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nchcfa-my.sharepoint.com/personal/samc_nchcfa_org/Documents/NCHCFA/Medicaid Rates/Rate Calculation/"/>
    </mc:Choice>
  </mc:AlternateContent>
  <xr:revisionPtr revIDLastSave="1265" documentId="8_{4C7E5465-ABB3-4560-B4CA-C15526CC12F6}" xr6:coauthVersionLast="47" xr6:coauthVersionMax="47" xr10:uidLastSave="{9E946DAE-D703-4881-AD19-C647193ED874}"/>
  <workbookProtection workbookAlgorithmName="SHA-512" workbookHashValue="E1slowe4GxuwcD84XZ89EsuFBhg9UxE8IfO/akXZlHNtWXd1fXawsiKn2LxV81F3/EUQEG4nBtnDy5K8Y74NmA==" workbookSaltValue="ruKwy6C1r+0iMC+OCqgFQQ==" workbookSpinCount="100000" lockStructure="1"/>
  <bookViews>
    <workbookView xWindow="-108" yWindow="-108" windowWidth="23256" windowHeight="12576" tabRatio="789" xr2:uid="{00000000-000D-0000-FFFF-FFFF00000000}"/>
  </bookViews>
  <sheets>
    <sheet name="Read Me" sheetId="11" r:id="rId1"/>
    <sheet name="Rate Calculation" sheetId="10" r:id="rId2"/>
    <sheet name="New Facilities" sheetId="19" state="hidden" r:id="rId3"/>
    <sheet name="FRV Instructions" sheetId="9" r:id="rId4"/>
    <sheet name="FRV Rate Calculation" sheetId="8" r:id="rId5"/>
    <sheet name="Capital Data Survey Info" sheetId="18" r:id="rId6"/>
    <sheet name="2016 and newer renovations" sheetId="17" state="hidden" r:id="rId7"/>
    <sheet name="RSMeans Factors" sheetId="2" state="hidden" r:id="rId8"/>
    <sheet name="Lookup Info" sheetId="14" state="hidden" r:id="rId9"/>
    <sheet name="April 2024 Fee Schedule" sheetId="16" r:id="rId10"/>
  </sheets>
  <externalReferences>
    <externalReference r:id="rId11"/>
  </externalReferences>
  <definedNames>
    <definedName name="_xlnm._FilterDatabase" localSheetId="9" hidden="1">'April 2024 Fee Schedule'!$A$21:$L$411</definedName>
    <definedName name="_xlnm._FilterDatabase" localSheetId="8" hidden="1">'Lookup Info'!$A$1:$AA$416</definedName>
    <definedName name="_xlnm._FilterDatabase" localSheetId="2" hidden="1">'New Facilities'!$A$1:$L$1</definedName>
    <definedName name="_xlnm.Print_Area" localSheetId="4">'FRV Rate Calculation'!$A$1:$I$73</definedName>
    <definedName name="_xlnm.Print_Area" localSheetId="1">'Rate Calculation'!$F$3:$J$22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8" l="1"/>
  <c r="B6" i="10" l="1"/>
  <c r="M369" i="14"/>
  <c r="M370" i="14"/>
  <c r="M371" i="14"/>
  <c r="M372" i="14"/>
  <c r="M373" i="14"/>
  <c r="M374" i="14"/>
  <c r="M375" i="14"/>
  <c r="M376" i="14"/>
  <c r="M377" i="14"/>
  <c r="M378" i="14"/>
  <c r="M379" i="14"/>
  <c r="M385" i="14"/>
  <c r="M386" i="14"/>
  <c r="M387" i="14"/>
  <c r="M388" i="14"/>
  <c r="L397" i="14"/>
  <c r="L398" i="14"/>
  <c r="L399" i="14"/>
  <c r="L400" i="14"/>
  <c r="L401" i="14"/>
  <c r="L402" i="14"/>
  <c r="L403" i="14"/>
  <c r="L404" i="14"/>
  <c r="L405" i="14"/>
  <c r="L406" i="14"/>
  <c r="L407" i="14"/>
  <c r="L408" i="14"/>
  <c r="L409" i="14"/>
  <c r="L410" i="14"/>
  <c r="L411" i="14"/>
  <c r="L412" i="14"/>
  <c r="L413" i="14"/>
  <c r="L414" i="14"/>
  <c r="L415" i="14"/>
  <c r="L416" i="14"/>
  <c r="L3" i="14"/>
  <c r="L4" i="14"/>
  <c r="L5" i="14"/>
  <c r="L6" i="14"/>
  <c r="L7" i="14"/>
  <c r="L8" i="14"/>
  <c r="L9" i="14"/>
  <c r="L10" i="14"/>
  <c r="L11" i="14"/>
  <c r="L12" i="14"/>
  <c r="L13" i="14"/>
  <c r="L14" i="14"/>
  <c r="L15" i="1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L44" i="14"/>
  <c r="L45" i="14"/>
  <c r="L46" i="14"/>
  <c r="L47" i="14"/>
  <c r="L48" i="14"/>
  <c r="L49" i="14"/>
  <c r="L50" i="14"/>
  <c r="L51" i="14"/>
  <c r="L52" i="14"/>
  <c r="L53" i="14"/>
  <c r="L54" i="14"/>
  <c r="L55" i="14"/>
  <c r="L56" i="14"/>
  <c r="L57" i="14"/>
  <c r="L58" i="14"/>
  <c r="L59" i="14"/>
  <c r="L60" i="14"/>
  <c r="L61" i="14"/>
  <c r="L62" i="14"/>
  <c r="L63" i="14"/>
  <c r="L64" i="14"/>
  <c r="L65" i="14"/>
  <c r="L66" i="14"/>
  <c r="L67" i="14"/>
  <c r="L68" i="14"/>
  <c r="L69" i="14"/>
  <c r="L70" i="14"/>
  <c r="L71" i="14"/>
  <c r="L72" i="14"/>
  <c r="L73" i="14"/>
  <c r="L74" i="14"/>
  <c r="L75" i="14"/>
  <c r="L76" i="14"/>
  <c r="L77" i="14"/>
  <c r="L78" i="14"/>
  <c r="L79" i="14"/>
  <c r="L80" i="14"/>
  <c r="L81" i="14"/>
  <c r="L82" i="14"/>
  <c r="L83" i="14"/>
  <c r="L84" i="14"/>
  <c r="L85" i="14"/>
  <c r="L86" i="14"/>
  <c r="L87" i="14"/>
  <c r="L88" i="14"/>
  <c r="L89" i="14"/>
  <c r="L90" i="14"/>
  <c r="L91" i="14"/>
  <c r="L92" i="14"/>
  <c r="L93" i="14"/>
  <c r="L94" i="14"/>
  <c r="L95" i="14"/>
  <c r="L96" i="14"/>
  <c r="L97" i="14"/>
  <c r="L98" i="14"/>
  <c r="L99" i="14"/>
  <c r="L100" i="14"/>
  <c r="L101" i="14"/>
  <c r="L102" i="14"/>
  <c r="L103" i="14"/>
  <c r="L104" i="14"/>
  <c r="L105" i="14"/>
  <c r="L106" i="14"/>
  <c r="L107" i="14"/>
  <c r="L108" i="14"/>
  <c r="L109" i="14"/>
  <c r="L110" i="14"/>
  <c r="L111" i="14"/>
  <c r="L112" i="14"/>
  <c r="L113" i="14"/>
  <c r="L114" i="14"/>
  <c r="L115" i="14"/>
  <c r="L116" i="14"/>
  <c r="L117" i="14"/>
  <c r="L118" i="14"/>
  <c r="L119" i="14"/>
  <c r="L120" i="14"/>
  <c r="L121" i="14"/>
  <c r="L122" i="14"/>
  <c r="L123" i="14"/>
  <c r="L124" i="14"/>
  <c r="L125" i="14"/>
  <c r="L126" i="14"/>
  <c r="L127" i="14"/>
  <c r="L128" i="14"/>
  <c r="L129" i="14"/>
  <c r="L130" i="14"/>
  <c r="L131" i="14"/>
  <c r="L132" i="14"/>
  <c r="L133" i="14"/>
  <c r="L134" i="14"/>
  <c r="L135" i="14"/>
  <c r="L136" i="14"/>
  <c r="L137" i="14"/>
  <c r="L138" i="14"/>
  <c r="L139" i="14"/>
  <c r="L140" i="14"/>
  <c r="L141" i="14"/>
  <c r="L142" i="14"/>
  <c r="L143" i="14"/>
  <c r="L144" i="14"/>
  <c r="L145" i="14"/>
  <c r="L146" i="14"/>
  <c r="L147" i="14"/>
  <c r="L148" i="14"/>
  <c r="L149" i="14"/>
  <c r="L150" i="14"/>
  <c r="L151" i="14"/>
  <c r="L152" i="14"/>
  <c r="L153" i="14"/>
  <c r="L154" i="14"/>
  <c r="L155" i="14"/>
  <c r="L156" i="14"/>
  <c r="L157" i="14"/>
  <c r="L158" i="14"/>
  <c r="L159" i="14"/>
  <c r="L160" i="14"/>
  <c r="L161" i="14"/>
  <c r="L162" i="14"/>
  <c r="L163" i="14"/>
  <c r="L164" i="14"/>
  <c r="L165" i="14"/>
  <c r="L166" i="14"/>
  <c r="L167" i="14"/>
  <c r="L168" i="14"/>
  <c r="L169" i="14"/>
  <c r="L170" i="14"/>
  <c r="L171" i="14"/>
  <c r="L172" i="14"/>
  <c r="L173" i="14"/>
  <c r="L174" i="14"/>
  <c r="L175" i="14"/>
  <c r="L176" i="14"/>
  <c r="L177" i="14"/>
  <c r="L178" i="14"/>
  <c r="L179" i="14"/>
  <c r="L180" i="14"/>
  <c r="L181" i="14"/>
  <c r="L182" i="14"/>
  <c r="L183" i="14"/>
  <c r="L184" i="14"/>
  <c r="L185" i="14"/>
  <c r="L186" i="14"/>
  <c r="L187" i="14"/>
  <c r="L188" i="14"/>
  <c r="L189" i="14"/>
  <c r="L190" i="14"/>
  <c r="L191" i="14"/>
  <c r="L192" i="14"/>
  <c r="L193" i="14"/>
  <c r="L194" i="14"/>
  <c r="L195" i="14"/>
  <c r="L196" i="14"/>
  <c r="L197" i="14"/>
  <c r="L198" i="14"/>
  <c r="L199" i="14"/>
  <c r="L200" i="14"/>
  <c r="L201" i="14"/>
  <c r="L202" i="14"/>
  <c r="L203" i="14"/>
  <c r="L204" i="14"/>
  <c r="L205" i="14"/>
  <c r="L206" i="14"/>
  <c r="L207" i="14"/>
  <c r="L208" i="14"/>
  <c r="L209" i="14"/>
  <c r="L210" i="14"/>
  <c r="L211" i="14"/>
  <c r="L212" i="14"/>
  <c r="L213" i="14"/>
  <c r="L214" i="14"/>
  <c r="L215" i="14"/>
  <c r="L216" i="14"/>
  <c r="L217" i="14"/>
  <c r="L218" i="14"/>
  <c r="L219" i="14"/>
  <c r="L220" i="14"/>
  <c r="L221" i="14"/>
  <c r="L222" i="14"/>
  <c r="L223" i="14"/>
  <c r="L224" i="14"/>
  <c r="L225" i="14"/>
  <c r="L226" i="14"/>
  <c r="L227" i="14"/>
  <c r="L228" i="14"/>
  <c r="L229" i="14"/>
  <c r="L230" i="14"/>
  <c r="L231" i="14"/>
  <c r="L232" i="14"/>
  <c r="L233" i="14"/>
  <c r="L234" i="14"/>
  <c r="L235" i="14"/>
  <c r="L236" i="14"/>
  <c r="L237" i="14"/>
  <c r="L238" i="14"/>
  <c r="L239" i="14"/>
  <c r="L240" i="14"/>
  <c r="L241" i="14"/>
  <c r="L242" i="14"/>
  <c r="L243" i="14"/>
  <c r="L244" i="14"/>
  <c r="L245" i="14"/>
  <c r="L246" i="14"/>
  <c r="L247" i="14"/>
  <c r="L248" i="14"/>
  <c r="L249" i="14"/>
  <c r="L250" i="14"/>
  <c r="L251" i="14"/>
  <c r="L252" i="14"/>
  <c r="L253" i="14"/>
  <c r="L254" i="14"/>
  <c r="L255" i="14"/>
  <c r="L256" i="14"/>
  <c r="L257" i="14"/>
  <c r="L258" i="14"/>
  <c r="L259" i="14"/>
  <c r="L260" i="14"/>
  <c r="L261" i="14"/>
  <c r="L262" i="14"/>
  <c r="L263" i="14"/>
  <c r="L264" i="14"/>
  <c r="L265" i="14"/>
  <c r="L266" i="14"/>
  <c r="L267" i="14"/>
  <c r="L268" i="14"/>
  <c r="L269" i="14"/>
  <c r="L270" i="14"/>
  <c r="L271" i="14"/>
  <c r="L272" i="14"/>
  <c r="L273" i="14"/>
  <c r="L274" i="14"/>
  <c r="L275" i="14"/>
  <c r="L276" i="14"/>
  <c r="L277" i="14"/>
  <c r="L278" i="14"/>
  <c r="L279" i="14"/>
  <c r="L280" i="14"/>
  <c r="L281" i="14"/>
  <c r="L282" i="14"/>
  <c r="L283" i="14"/>
  <c r="L284" i="14"/>
  <c r="L285" i="14"/>
  <c r="L286" i="14"/>
  <c r="L287" i="14"/>
  <c r="L288" i="14"/>
  <c r="L289" i="14"/>
  <c r="L290" i="14"/>
  <c r="L291" i="14"/>
  <c r="L292" i="14"/>
  <c r="L293" i="14"/>
  <c r="L294" i="14"/>
  <c r="L295" i="14"/>
  <c r="L296" i="14"/>
  <c r="L297" i="14"/>
  <c r="L298" i="14"/>
  <c r="L299" i="14"/>
  <c r="L300" i="14"/>
  <c r="L301" i="14"/>
  <c r="L302" i="14"/>
  <c r="L303" i="14"/>
  <c r="L304" i="14"/>
  <c r="L305" i="14"/>
  <c r="L306" i="14"/>
  <c r="L307" i="14"/>
  <c r="L308" i="14"/>
  <c r="L309" i="14"/>
  <c r="L310" i="14"/>
  <c r="L311" i="14"/>
  <c r="L312" i="14"/>
  <c r="L313" i="14"/>
  <c r="L314" i="14"/>
  <c r="L315" i="14"/>
  <c r="L316" i="14"/>
  <c r="L317" i="14"/>
  <c r="L318" i="14"/>
  <c r="L319" i="14"/>
  <c r="L320" i="14"/>
  <c r="L321" i="14"/>
  <c r="L322" i="14"/>
  <c r="L323" i="14"/>
  <c r="L324" i="14"/>
  <c r="L325" i="14"/>
  <c r="L326" i="14"/>
  <c r="L327" i="14"/>
  <c r="L328" i="14"/>
  <c r="L329" i="14"/>
  <c r="L330" i="14"/>
  <c r="L331" i="14"/>
  <c r="L332" i="14"/>
  <c r="L333" i="14"/>
  <c r="L334" i="14"/>
  <c r="L335" i="14"/>
  <c r="L336" i="14"/>
  <c r="L337" i="14"/>
  <c r="L338" i="14"/>
  <c r="L339" i="14"/>
  <c r="L340" i="14"/>
  <c r="L341" i="14"/>
  <c r="L342" i="14"/>
  <c r="L343" i="14"/>
  <c r="L344" i="14"/>
  <c r="L345" i="14"/>
  <c r="L346" i="14"/>
  <c r="L347" i="14"/>
  <c r="L348" i="14"/>
  <c r="L349" i="14"/>
  <c r="L350" i="14"/>
  <c r="L351" i="14"/>
  <c r="L352" i="14"/>
  <c r="L353" i="14"/>
  <c r="L354" i="14"/>
  <c r="L355" i="14"/>
  <c r="L356" i="14"/>
  <c r="L357" i="14"/>
  <c r="L358" i="14"/>
  <c r="L359" i="14"/>
  <c r="L360" i="14"/>
  <c r="L361" i="14"/>
  <c r="L362" i="14"/>
  <c r="L363" i="14"/>
  <c r="L364" i="14"/>
  <c r="L365" i="14"/>
  <c r="L366" i="14"/>
  <c r="L367" i="14"/>
  <c r="L368" i="14"/>
  <c r="L369" i="14"/>
  <c r="L370" i="14"/>
  <c r="L371" i="14"/>
  <c r="L372" i="14"/>
  <c r="L373" i="14"/>
  <c r="L374" i="14"/>
  <c r="L375" i="14"/>
  <c r="L376" i="14"/>
  <c r="L377" i="14"/>
  <c r="L378" i="14"/>
  <c r="L379" i="14"/>
  <c r="L380" i="14"/>
  <c r="L381" i="14"/>
  <c r="L382" i="14"/>
  <c r="L383" i="14"/>
  <c r="L384" i="14"/>
  <c r="L385" i="14"/>
  <c r="L386" i="14"/>
  <c r="L387" i="14"/>
  <c r="L388" i="14"/>
  <c r="L389" i="14"/>
  <c r="L390" i="14"/>
  <c r="L391" i="14"/>
  <c r="L392" i="14"/>
  <c r="L393" i="14"/>
  <c r="L394" i="14"/>
  <c r="L395" i="14"/>
  <c r="L396" i="14"/>
  <c r="L2" i="14"/>
  <c r="I369" i="14"/>
  <c r="I370" i="14"/>
  <c r="I371" i="14"/>
  <c r="I372" i="14"/>
  <c r="I373" i="14"/>
  <c r="I374" i="14"/>
  <c r="I375" i="14"/>
  <c r="I376" i="14"/>
  <c r="I377" i="14"/>
  <c r="I378" i="14"/>
  <c r="I379" i="14"/>
  <c r="I385" i="14"/>
  <c r="I386" i="14"/>
  <c r="I387" i="14"/>
  <c r="I388" i="14"/>
  <c r="G369" i="14"/>
  <c r="G370" i="14"/>
  <c r="G371" i="14"/>
  <c r="G372" i="14"/>
  <c r="G373" i="14"/>
  <c r="G374" i="14"/>
  <c r="G375" i="14"/>
  <c r="G376" i="14"/>
  <c r="G377" i="14"/>
  <c r="G378" i="14"/>
  <c r="G379" i="14"/>
  <c r="G385" i="14"/>
  <c r="G386" i="14"/>
  <c r="G387" i="14"/>
  <c r="G388" i="14"/>
  <c r="C369" i="14"/>
  <c r="D369" i="14"/>
  <c r="C370" i="14"/>
  <c r="D370" i="14"/>
  <c r="C371" i="14"/>
  <c r="D371" i="14"/>
  <c r="C372" i="14"/>
  <c r="D372" i="14"/>
  <c r="C373" i="14"/>
  <c r="D373" i="14"/>
  <c r="C374" i="14"/>
  <c r="D374" i="14"/>
  <c r="C375" i="14"/>
  <c r="D375" i="14"/>
  <c r="C376" i="14"/>
  <c r="D376" i="14"/>
  <c r="C377" i="14"/>
  <c r="D377" i="14"/>
  <c r="C378" i="14"/>
  <c r="D378" i="14"/>
  <c r="C379" i="14"/>
  <c r="D379" i="14"/>
  <c r="C385" i="14"/>
  <c r="D385" i="14"/>
  <c r="C386" i="14"/>
  <c r="D386" i="14"/>
  <c r="C387" i="14"/>
  <c r="D387" i="14"/>
  <c r="C388" i="14"/>
  <c r="D388" i="14"/>
  <c r="F387" i="14"/>
  <c r="F388" i="14"/>
  <c r="F369" i="14"/>
  <c r="F370" i="14"/>
  <c r="F371" i="14"/>
  <c r="F372" i="14"/>
  <c r="F373" i="14"/>
  <c r="F374" i="14"/>
  <c r="F375" i="14"/>
  <c r="F376" i="14"/>
  <c r="F377" i="14"/>
  <c r="F378" i="14"/>
  <c r="F379" i="14"/>
  <c r="F385" i="14"/>
  <c r="F386" i="14"/>
  <c r="E369" i="14"/>
  <c r="E370" i="14"/>
  <c r="E371" i="14"/>
  <c r="E372" i="14"/>
  <c r="E373" i="14"/>
  <c r="E374" i="14"/>
  <c r="E375" i="14"/>
  <c r="E376" i="14"/>
  <c r="E377" i="14"/>
  <c r="E378" i="14"/>
  <c r="E379" i="14"/>
  <c r="E385" i="14"/>
  <c r="E386" i="14"/>
  <c r="E387" i="14"/>
  <c r="E388" i="14"/>
  <c r="H374" i="14" l="1"/>
  <c r="H373" i="14"/>
  <c r="I9" i="10"/>
  <c r="B12" i="10"/>
  <c r="B4" i="10"/>
  <c r="H379" i="14"/>
  <c r="H371" i="14"/>
  <c r="H377" i="14"/>
  <c r="H369" i="14"/>
  <c r="H376" i="14"/>
  <c r="H375" i="14"/>
  <c r="H387" i="14"/>
  <c r="H386" i="14"/>
  <c r="H388" i="14"/>
  <c r="H378" i="14"/>
  <c r="H370" i="14"/>
  <c r="H385" i="14"/>
  <c r="H372" i="14"/>
  <c r="C74" i="8" l="1"/>
  <c r="I40" i="8"/>
  <c r="G5" i="2"/>
  <c r="G4" i="2"/>
  <c r="G3" i="2"/>
  <c r="F18" i="2" l="1"/>
  <c r="F17" i="2" s="1"/>
  <c r="F16" i="2" s="1"/>
  <c r="F15" i="2" s="1"/>
  <c r="F14" i="2" s="1"/>
  <c r="F13" i="2" s="1"/>
  <c r="F12" i="2" s="1"/>
  <c r="F11" i="2" s="1"/>
  <c r="F10" i="2" s="1"/>
  <c r="F9" i="2" s="1"/>
  <c r="F8" i="2" s="1"/>
  <c r="F7" i="2" s="1"/>
  <c r="F6" i="2" s="1"/>
  <c r="F5" i="2" s="1"/>
  <c r="F4" i="2" s="1"/>
  <c r="F20" i="2"/>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59" i="2" s="1"/>
  <c r="F60" i="2" s="1"/>
  <c r="F61" i="2" s="1"/>
  <c r="F62" i="2" s="1"/>
  <c r="F63" i="2" s="1"/>
  <c r="F64" i="2" s="1"/>
  <c r="F65" i="2" s="1"/>
  <c r="F66" i="2" s="1"/>
  <c r="F67" i="2" s="1"/>
  <c r="F68" i="2" s="1"/>
  <c r="F69" i="2" s="1"/>
  <c r="F70" i="2" s="1"/>
  <c r="F71" i="2" s="1"/>
  <c r="F72" i="2" s="1"/>
  <c r="F73" i="2" s="1"/>
  <c r="F74" i="2" s="1"/>
  <c r="F75" i="2" s="1"/>
  <c r="F76" i="2" s="1"/>
  <c r="C10" i="8" l="1"/>
  <c r="D10" i="8" s="1"/>
  <c r="E10" i="8" s="1"/>
  <c r="F10" i="8" s="1"/>
  <c r="O17" i="10" l="1"/>
  <c r="C66" i="8" l="1"/>
  <c r="C2" i="19" l="1"/>
  <c r="I11" i="10" s="1"/>
  <c r="G7" i="19" l="1"/>
  <c r="N15" i="10" l="1"/>
  <c r="H15" i="10"/>
  <c r="H14" i="10"/>
  <c r="N14" i="10"/>
  <c r="N13" i="10"/>
  <c r="H13" i="10"/>
  <c r="F12" i="10"/>
  <c r="L12" i="10" s="1"/>
  <c r="O11" i="10"/>
  <c r="H12" i="10"/>
  <c r="N12" i="10" s="1"/>
  <c r="I12" i="10"/>
  <c r="F6" i="10"/>
  <c r="L6" i="10" s="1"/>
  <c r="F11" i="10"/>
  <c r="L11" i="10" s="1"/>
  <c r="H11" i="10"/>
  <c r="N11" i="10" s="1"/>
  <c r="G8" i="19"/>
  <c r="G10" i="19" s="1"/>
  <c r="O12" i="10" l="1"/>
  <c r="G12" i="19"/>
  <c r="G15" i="19" s="1"/>
  <c r="B4" i="18"/>
  <c r="B6" i="18"/>
  <c r="O8" i="10"/>
  <c r="C2" i="8"/>
  <c r="E15" i="8"/>
  <c r="D15" i="8"/>
  <c r="D16" i="18" l="1"/>
  <c r="C16" i="18"/>
  <c r="B16" i="18"/>
  <c r="D15" i="18"/>
  <c r="B15" i="18"/>
  <c r="C15" i="18"/>
  <c r="C76" i="8"/>
  <c r="E30" i="8"/>
  <c r="D30" i="8"/>
  <c r="D2" i="8" l="1"/>
  <c r="F65" i="8" s="1"/>
  <c r="E2" i="8"/>
  <c r="D57" i="8"/>
  <c r="F2" i="8" l="1"/>
  <c r="F12" i="8" l="1"/>
  <c r="F40" i="8" s="1"/>
  <c r="F26" i="8" l="1"/>
  <c r="F3" i="2" l="1"/>
  <c r="C61" i="8" s="1"/>
  <c r="I19" i="10" l="1"/>
  <c r="O19" i="10" s="1"/>
  <c r="O9" i="10" l="1"/>
  <c r="O13" i="10" s="1"/>
  <c r="O14" i="10" l="1"/>
  <c r="O15" i="10" s="1"/>
  <c r="I8" i="10"/>
  <c r="I13" i="10"/>
  <c r="I14" i="10" l="1"/>
  <c r="I15" i="10" s="1"/>
  <c r="D14" i="18" l="1"/>
  <c r="D13" i="18"/>
  <c r="C12" i="18"/>
  <c r="B12" i="18"/>
  <c r="B11" i="18"/>
  <c r="D9" i="18"/>
  <c r="C9" i="18"/>
  <c r="C13" i="18"/>
  <c r="C14" i="18"/>
  <c r="D10" i="18"/>
  <c r="D11" i="18"/>
  <c r="B13" i="18"/>
  <c r="B9" i="18"/>
  <c r="C10" i="18"/>
  <c r="B14" i="18"/>
  <c r="D12" i="18"/>
  <c r="C11" i="18"/>
  <c r="B10" i="18"/>
  <c r="M403" i="14" l="1"/>
  <c r="M411" i="14"/>
  <c r="M5" i="14"/>
  <c r="M13" i="14"/>
  <c r="M21" i="14"/>
  <c r="M29" i="14"/>
  <c r="M37" i="14"/>
  <c r="M45" i="14"/>
  <c r="M53" i="14"/>
  <c r="M61" i="14"/>
  <c r="M69" i="14"/>
  <c r="M77" i="14"/>
  <c r="M85" i="14"/>
  <c r="M93" i="14"/>
  <c r="M101" i="14"/>
  <c r="M109" i="14"/>
  <c r="M117" i="14"/>
  <c r="M125" i="14"/>
  <c r="M133" i="14"/>
  <c r="M141" i="14"/>
  <c r="M149" i="14"/>
  <c r="M157" i="14"/>
  <c r="M165" i="14"/>
  <c r="M173" i="14"/>
  <c r="M181" i="14"/>
  <c r="M189" i="14"/>
  <c r="M197" i="14"/>
  <c r="M205" i="14"/>
  <c r="M213" i="14"/>
  <c r="M221" i="14"/>
  <c r="M229" i="14"/>
  <c r="M237" i="14"/>
  <c r="M245" i="14"/>
  <c r="M253" i="14"/>
  <c r="M261" i="14"/>
  <c r="M269" i="14"/>
  <c r="M277" i="14"/>
  <c r="M285" i="14"/>
  <c r="M293" i="14"/>
  <c r="M301" i="14"/>
  <c r="M309" i="14"/>
  <c r="M317" i="14"/>
  <c r="M325" i="14"/>
  <c r="M333" i="14"/>
  <c r="M341" i="14"/>
  <c r="M349" i="14"/>
  <c r="M357" i="14"/>
  <c r="M365" i="14"/>
  <c r="M381" i="14"/>
  <c r="M389" i="14"/>
  <c r="M2" i="14"/>
  <c r="M404" i="14"/>
  <c r="M412" i="14"/>
  <c r="M6" i="14"/>
  <c r="M14" i="14"/>
  <c r="M22" i="14"/>
  <c r="M30" i="14"/>
  <c r="M38" i="14"/>
  <c r="M46" i="14"/>
  <c r="M54" i="14"/>
  <c r="M62" i="14"/>
  <c r="M70" i="14"/>
  <c r="M78" i="14"/>
  <c r="M86" i="14"/>
  <c r="M94" i="14"/>
  <c r="M102" i="14"/>
  <c r="M110" i="14"/>
  <c r="M118" i="14"/>
  <c r="M126" i="14"/>
  <c r="M134" i="14"/>
  <c r="M142" i="14"/>
  <c r="M150" i="14"/>
  <c r="M158" i="14"/>
  <c r="M166" i="14"/>
  <c r="M174" i="14"/>
  <c r="M182" i="14"/>
  <c r="M190" i="14"/>
  <c r="M198" i="14"/>
  <c r="M206" i="14"/>
  <c r="M214" i="14"/>
  <c r="M222" i="14"/>
  <c r="M230" i="14"/>
  <c r="M238" i="14"/>
  <c r="M246" i="14"/>
  <c r="M254" i="14"/>
  <c r="M262" i="14"/>
  <c r="M270" i="14"/>
  <c r="M278" i="14"/>
  <c r="M286" i="14"/>
  <c r="M294" i="14"/>
  <c r="M302" i="14"/>
  <c r="M310" i="14"/>
  <c r="M318" i="14"/>
  <c r="M326" i="14"/>
  <c r="M334" i="14"/>
  <c r="M342" i="14"/>
  <c r="M350" i="14"/>
  <c r="M358" i="14"/>
  <c r="M366" i="14"/>
  <c r="M382" i="14"/>
  <c r="M390" i="14"/>
  <c r="M397" i="14"/>
  <c r="M405" i="14"/>
  <c r="M413" i="14"/>
  <c r="M7" i="14"/>
  <c r="M15" i="14"/>
  <c r="M23" i="14"/>
  <c r="M31" i="14"/>
  <c r="M39" i="14"/>
  <c r="M47" i="14"/>
  <c r="M55" i="14"/>
  <c r="M63" i="14"/>
  <c r="M71" i="14"/>
  <c r="M79" i="14"/>
  <c r="M87" i="14"/>
  <c r="M95" i="14"/>
  <c r="M103" i="14"/>
  <c r="M111" i="14"/>
  <c r="M119" i="14"/>
  <c r="M127" i="14"/>
  <c r="M135" i="14"/>
  <c r="M143" i="14"/>
  <c r="M151" i="14"/>
  <c r="M159" i="14"/>
  <c r="M167" i="14"/>
  <c r="M175" i="14"/>
  <c r="M183" i="14"/>
  <c r="M191" i="14"/>
  <c r="M199" i="14"/>
  <c r="M207" i="14"/>
  <c r="M215" i="14"/>
  <c r="M223" i="14"/>
  <c r="M231" i="14"/>
  <c r="M239" i="14"/>
  <c r="M247" i="14"/>
  <c r="M255" i="14"/>
  <c r="M263" i="14"/>
  <c r="M271" i="14"/>
  <c r="M279" i="14"/>
  <c r="M287" i="14"/>
  <c r="M295" i="14"/>
  <c r="M303" i="14"/>
  <c r="M311" i="14"/>
  <c r="M319" i="14"/>
  <c r="M327" i="14"/>
  <c r="M335" i="14"/>
  <c r="M343" i="14"/>
  <c r="M351" i="14"/>
  <c r="M359" i="14"/>
  <c r="M367" i="14"/>
  <c r="M383" i="14"/>
  <c r="M391" i="14"/>
  <c r="M398" i="14"/>
  <c r="M406" i="14"/>
  <c r="M414" i="14"/>
  <c r="M8" i="14"/>
  <c r="M16" i="14"/>
  <c r="M24" i="14"/>
  <c r="M32" i="14"/>
  <c r="M40" i="14"/>
  <c r="M48" i="14"/>
  <c r="M56" i="14"/>
  <c r="M64" i="14"/>
  <c r="M72" i="14"/>
  <c r="M80" i="14"/>
  <c r="M88" i="14"/>
  <c r="M96" i="14"/>
  <c r="M104" i="14"/>
  <c r="M112" i="14"/>
  <c r="M120" i="14"/>
  <c r="M128" i="14"/>
  <c r="M136" i="14"/>
  <c r="M144" i="14"/>
  <c r="M152" i="14"/>
  <c r="M160" i="14"/>
  <c r="M168" i="14"/>
  <c r="M176" i="14"/>
  <c r="M184" i="14"/>
  <c r="M192" i="14"/>
  <c r="M200" i="14"/>
  <c r="M208" i="14"/>
  <c r="M216" i="14"/>
  <c r="M224" i="14"/>
  <c r="M232" i="14"/>
  <c r="M240" i="14"/>
  <c r="M248" i="14"/>
  <c r="M256" i="14"/>
  <c r="M264" i="14"/>
  <c r="M272" i="14"/>
  <c r="M280" i="14"/>
  <c r="M288" i="14"/>
  <c r="M296" i="14"/>
  <c r="M304" i="14"/>
  <c r="M312" i="14"/>
  <c r="M320" i="14"/>
  <c r="M328" i="14"/>
  <c r="M336" i="14"/>
  <c r="M344" i="14"/>
  <c r="M352" i="14"/>
  <c r="M360" i="14"/>
  <c r="M368" i="14"/>
  <c r="M384" i="14"/>
  <c r="M392" i="14"/>
  <c r="M401" i="14"/>
  <c r="M409" i="14"/>
  <c r="M3" i="14"/>
  <c r="M11" i="14"/>
  <c r="M19" i="14"/>
  <c r="M27" i="14"/>
  <c r="M35" i="14"/>
  <c r="M43" i="14"/>
  <c r="M51" i="14"/>
  <c r="M59" i="14"/>
  <c r="M67" i="14"/>
  <c r="M75" i="14"/>
  <c r="M83" i="14"/>
  <c r="M91" i="14"/>
  <c r="M99" i="14"/>
  <c r="M107" i="14"/>
  <c r="M115" i="14"/>
  <c r="M123" i="14"/>
  <c r="M131" i="14"/>
  <c r="M139" i="14"/>
  <c r="M147" i="14"/>
  <c r="M155" i="14"/>
  <c r="M163" i="14"/>
  <c r="M171" i="14"/>
  <c r="M179" i="14"/>
  <c r="M187" i="14"/>
  <c r="M195" i="14"/>
  <c r="M203" i="14"/>
  <c r="M211" i="14"/>
  <c r="M219" i="14"/>
  <c r="M227" i="14"/>
  <c r="M235" i="14"/>
  <c r="M243" i="14"/>
  <c r="M251" i="14"/>
  <c r="M259" i="14"/>
  <c r="M267" i="14"/>
  <c r="M275" i="14"/>
  <c r="M283" i="14"/>
  <c r="M291" i="14"/>
  <c r="M299" i="14"/>
  <c r="M307" i="14"/>
  <c r="M315" i="14"/>
  <c r="M323" i="14"/>
  <c r="M331" i="14"/>
  <c r="M339" i="14"/>
  <c r="M347" i="14"/>
  <c r="M355" i="14"/>
  <c r="M363" i="14"/>
  <c r="M395" i="14"/>
  <c r="M415" i="14"/>
  <c r="M20" i="14"/>
  <c r="M42" i="14"/>
  <c r="M65" i="14"/>
  <c r="M84" i="14"/>
  <c r="M106" i="14"/>
  <c r="M129" i="14"/>
  <c r="M148" i="14"/>
  <c r="M170" i="14"/>
  <c r="M193" i="14"/>
  <c r="M212" i="14"/>
  <c r="M234" i="14"/>
  <c r="M257" i="14"/>
  <c r="M276" i="14"/>
  <c r="M298" i="14"/>
  <c r="M321" i="14"/>
  <c r="M340" i="14"/>
  <c r="M362" i="14"/>
  <c r="M416" i="14"/>
  <c r="M25" i="14"/>
  <c r="M44" i="14"/>
  <c r="M66" i="14"/>
  <c r="M89" i="14"/>
  <c r="M108" i="14"/>
  <c r="M130" i="14"/>
  <c r="M153" i="14"/>
  <c r="M172" i="14"/>
  <c r="M194" i="14"/>
  <c r="M217" i="14"/>
  <c r="M236" i="14"/>
  <c r="M258" i="14"/>
  <c r="M281" i="14"/>
  <c r="M300" i="14"/>
  <c r="M322" i="14"/>
  <c r="M345" i="14"/>
  <c r="M364" i="14"/>
  <c r="M399" i="14"/>
  <c r="M4" i="14"/>
  <c r="M26" i="14"/>
  <c r="M49" i="14"/>
  <c r="M68" i="14"/>
  <c r="M90" i="14"/>
  <c r="M113" i="14"/>
  <c r="M132" i="14"/>
  <c r="M154" i="14"/>
  <c r="M177" i="14"/>
  <c r="M196" i="14"/>
  <c r="M218" i="14"/>
  <c r="M241" i="14"/>
  <c r="M260" i="14"/>
  <c r="M282" i="14"/>
  <c r="M305" i="14"/>
  <c r="M324" i="14"/>
  <c r="M346" i="14"/>
  <c r="M393" i="14"/>
  <c r="M400" i="14"/>
  <c r="M9" i="14"/>
  <c r="M28" i="14"/>
  <c r="M50" i="14"/>
  <c r="M73" i="14"/>
  <c r="M92" i="14"/>
  <c r="M114" i="14"/>
  <c r="M137" i="14"/>
  <c r="M156" i="14"/>
  <c r="M178" i="14"/>
  <c r="M201" i="14"/>
  <c r="M220" i="14"/>
  <c r="M242" i="14"/>
  <c r="M265" i="14"/>
  <c r="M284" i="14"/>
  <c r="M306" i="14"/>
  <c r="M329" i="14"/>
  <c r="M348" i="14"/>
  <c r="M394" i="14"/>
  <c r="M17" i="14"/>
  <c r="M58" i="14"/>
  <c r="M100" i="14"/>
  <c r="M145" i="14"/>
  <c r="M186" i="14"/>
  <c r="M228" i="14"/>
  <c r="M273" i="14"/>
  <c r="M314" i="14"/>
  <c r="M356" i="14"/>
  <c r="M18" i="14"/>
  <c r="M60" i="14"/>
  <c r="M105" i="14"/>
  <c r="M146" i="14"/>
  <c r="M188" i="14"/>
  <c r="M233" i="14"/>
  <c r="M274" i="14"/>
  <c r="M316" i="14"/>
  <c r="M361" i="14"/>
  <c r="I383" i="14"/>
  <c r="M402" i="14"/>
  <c r="M33" i="14"/>
  <c r="M74" i="14"/>
  <c r="M116" i="14"/>
  <c r="M161" i="14"/>
  <c r="M202" i="14"/>
  <c r="M244" i="14"/>
  <c r="M289" i="14"/>
  <c r="M330" i="14"/>
  <c r="M396" i="14"/>
  <c r="I384" i="14"/>
  <c r="M407" i="14"/>
  <c r="M34" i="14"/>
  <c r="M76" i="14"/>
  <c r="M121" i="14"/>
  <c r="M162" i="14"/>
  <c r="M204" i="14"/>
  <c r="M249" i="14"/>
  <c r="M290" i="14"/>
  <c r="M332" i="14"/>
  <c r="G384" i="14"/>
  <c r="M10" i="14"/>
  <c r="M52" i="14"/>
  <c r="M97" i="14"/>
  <c r="M138" i="14"/>
  <c r="M180" i="14"/>
  <c r="M225" i="14"/>
  <c r="M266" i="14"/>
  <c r="M308" i="14"/>
  <c r="M353" i="14"/>
  <c r="M81" i="14"/>
  <c r="M185" i="14"/>
  <c r="M297" i="14"/>
  <c r="M380" i="14"/>
  <c r="D384" i="14"/>
  <c r="F402" i="14"/>
  <c r="F410" i="14"/>
  <c r="F396" i="14"/>
  <c r="F10" i="14"/>
  <c r="F18" i="14"/>
  <c r="F26" i="14"/>
  <c r="F34" i="14"/>
  <c r="F42" i="14"/>
  <c r="F50" i="14"/>
  <c r="F58" i="14"/>
  <c r="F66" i="14"/>
  <c r="F74" i="14"/>
  <c r="F82" i="14"/>
  <c r="F90" i="14"/>
  <c r="F98" i="14"/>
  <c r="F106" i="14"/>
  <c r="F114" i="14"/>
  <c r="F122" i="14"/>
  <c r="F130" i="14"/>
  <c r="F138" i="14"/>
  <c r="F146" i="14"/>
  <c r="F154" i="14"/>
  <c r="F162" i="14"/>
  <c r="F170" i="14"/>
  <c r="F178" i="14"/>
  <c r="F186" i="14"/>
  <c r="F194" i="14"/>
  <c r="F202" i="14"/>
  <c r="F210" i="14"/>
  <c r="F218" i="14"/>
  <c r="F226" i="14"/>
  <c r="F234" i="14"/>
  <c r="F242" i="14"/>
  <c r="F250" i="14"/>
  <c r="F258" i="14"/>
  <c r="F266" i="14"/>
  <c r="F274" i="14"/>
  <c r="F282" i="14"/>
  <c r="F290" i="14"/>
  <c r="F298" i="14"/>
  <c r="F306" i="14"/>
  <c r="F314" i="14"/>
  <c r="F322" i="14"/>
  <c r="M82" i="14"/>
  <c r="M209" i="14"/>
  <c r="M313" i="14"/>
  <c r="M408" i="14"/>
  <c r="M98" i="14"/>
  <c r="M210" i="14"/>
  <c r="M337" i="14"/>
  <c r="F404" i="14"/>
  <c r="F412" i="14"/>
  <c r="F390" i="14"/>
  <c r="F4" i="14"/>
  <c r="F12" i="14"/>
  <c r="F20" i="14"/>
  <c r="F28" i="14"/>
  <c r="F36" i="14"/>
  <c r="F44" i="14"/>
  <c r="F52" i="14"/>
  <c r="F60" i="14"/>
  <c r="F68" i="14"/>
  <c r="M410" i="14"/>
  <c r="M122" i="14"/>
  <c r="M226" i="14"/>
  <c r="M338" i="14"/>
  <c r="F397" i="14"/>
  <c r="F405" i="14"/>
  <c r="F413" i="14"/>
  <c r="F391" i="14"/>
  <c r="F5" i="14"/>
  <c r="F13" i="14"/>
  <c r="F21" i="14"/>
  <c r="F29" i="14"/>
  <c r="F37" i="14"/>
  <c r="F45" i="14"/>
  <c r="F53" i="14"/>
  <c r="F61" i="14"/>
  <c r="F69" i="14"/>
  <c r="F77" i="14"/>
  <c r="F85" i="14"/>
  <c r="F93" i="14"/>
  <c r="F101" i="14"/>
  <c r="F109" i="14"/>
  <c r="F117" i="14"/>
  <c r="F125" i="14"/>
  <c r="F133" i="14"/>
  <c r="F141" i="14"/>
  <c r="F149" i="14"/>
  <c r="F157" i="14"/>
  <c r="F165" i="14"/>
  <c r="F173" i="14"/>
  <c r="F181" i="14"/>
  <c r="F189" i="14"/>
  <c r="F197" i="14"/>
  <c r="F205" i="14"/>
  <c r="F213" i="14"/>
  <c r="F221" i="14"/>
  <c r="F229" i="14"/>
  <c r="F237" i="14"/>
  <c r="F245" i="14"/>
  <c r="F253" i="14"/>
  <c r="F261" i="14"/>
  <c r="F269" i="14"/>
  <c r="F277" i="14"/>
  <c r="F285" i="14"/>
  <c r="F293" i="14"/>
  <c r="F301" i="14"/>
  <c r="F309" i="14"/>
  <c r="F317" i="14"/>
  <c r="F325" i="14"/>
  <c r="F333" i="14"/>
  <c r="F341" i="14"/>
  <c r="F349" i="14"/>
  <c r="F357" i="14"/>
  <c r="M12" i="14"/>
  <c r="M124" i="14"/>
  <c r="M250" i="14"/>
  <c r="M354" i="14"/>
  <c r="M36" i="14"/>
  <c r="M140" i="14"/>
  <c r="M252" i="14"/>
  <c r="G383" i="14"/>
  <c r="M41" i="14"/>
  <c r="M164" i="14"/>
  <c r="M268" i="14"/>
  <c r="D383" i="14"/>
  <c r="F400" i="14"/>
  <c r="F408" i="14"/>
  <c r="F416" i="14"/>
  <c r="F394" i="14"/>
  <c r="F8" i="14"/>
  <c r="F16" i="14"/>
  <c r="F24" i="14"/>
  <c r="F32" i="14"/>
  <c r="F40" i="14"/>
  <c r="F48" i="14"/>
  <c r="F56" i="14"/>
  <c r="F64" i="14"/>
  <c r="F72" i="14"/>
  <c r="F80" i="14"/>
  <c r="F88" i="14"/>
  <c r="F96" i="14"/>
  <c r="F104" i="14"/>
  <c r="F112" i="14"/>
  <c r="F120" i="14"/>
  <c r="F128" i="14"/>
  <c r="F136" i="14"/>
  <c r="F144" i="14"/>
  <c r="F152" i="14"/>
  <c r="F160" i="14"/>
  <c r="F168" i="14"/>
  <c r="F176" i="14"/>
  <c r="F184" i="14"/>
  <c r="F192" i="14"/>
  <c r="F200" i="14"/>
  <c r="F208" i="14"/>
  <c r="F216" i="14"/>
  <c r="F224" i="14"/>
  <c r="F232" i="14"/>
  <c r="F240" i="14"/>
  <c r="F248" i="14"/>
  <c r="F256" i="14"/>
  <c r="F264" i="14"/>
  <c r="F272" i="14"/>
  <c r="F280" i="14"/>
  <c r="F288" i="14"/>
  <c r="F296" i="14"/>
  <c r="F304" i="14"/>
  <c r="F312" i="14"/>
  <c r="F320" i="14"/>
  <c r="F328" i="14"/>
  <c r="F336" i="14"/>
  <c r="F344" i="14"/>
  <c r="F403" i="14"/>
  <c r="F9" i="14"/>
  <c r="F25" i="14"/>
  <c r="F41" i="14"/>
  <c r="F57" i="14"/>
  <c r="F73" i="14"/>
  <c r="F86" i="14"/>
  <c r="F99" i="14"/>
  <c r="F111" i="14"/>
  <c r="F124" i="14"/>
  <c r="F137" i="14"/>
  <c r="F150" i="14"/>
  <c r="F163" i="14"/>
  <c r="F175" i="14"/>
  <c r="F188" i="14"/>
  <c r="F201" i="14"/>
  <c r="F214" i="14"/>
  <c r="F227" i="14"/>
  <c r="F239" i="14"/>
  <c r="F252" i="14"/>
  <c r="F265" i="14"/>
  <c r="F278" i="14"/>
  <c r="F291" i="14"/>
  <c r="F303" i="14"/>
  <c r="F316" i="14"/>
  <c r="F329" i="14"/>
  <c r="F339" i="14"/>
  <c r="F350" i="14"/>
  <c r="F359" i="14"/>
  <c r="F367" i="14"/>
  <c r="F383" i="14"/>
  <c r="E414" i="14"/>
  <c r="E406" i="14"/>
  <c r="E398" i="14"/>
  <c r="E9" i="14"/>
  <c r="E17" i="14"/>
  <c r="E25" i="14"/>
  <c r="E33" i="14"/>
  <c r="E41" i="14"/>
  <c r="E49" i="14"/>
  <c r="E57" i="14"/>
  <c r="E65" i="14"/>
  <c r="E73" i="14"/>
  <c r="E81" i="14"/>
  <c r="E89" i="14"/>
  <c r="E97" i="14"/>
  <c r="E105" i="14"/>
  <c r="F406" i="14"/>
  <c r="F389" i="14"/>
  <c r="F11" i="14"/>
  <c r="F27" i="14"/>
  <c r="F43" i="14"/>
  <c r="F59" i="14"/>
  <c r="F75" i="14"/>
  <c r="F87" i="14"/>
  <c r="F100" i="14"/>
  <c r="F113" i="14"/>
  <c r="F126" i="14"/>
  <c r="F139" i="14"/>
  <c r="F151" i="14"/>
  <c r="F164" i="14"/>
  <c r="F177" i="14"/>
  <c r="F190" i="14"/>
  <c r="F203" i="14"/>
  <c r="F215" i="14"/>
  <c r="F228" i="14"/>
  <c r="F241" i="14"/>
  <c r="F254" i="14"/>
  <c r="F267" i="14"/>
  <c r="F279" i="14"/>
  <c r="F292" i="14"/>
  <c r="F305" i="14"/>
  <c r="F318" i="14"/>
  <c r="F330" i="14"/>
  <c r="F340" i="14"/>
  <c r="F351" i="14"/>
  <c r="F360" i="14"/>
  <c r="F368" i="14"/>
  <c r="F384" i="14"/>
  <c r="E413" i="14"/>
  <c r="E405" i="14"/>
  <c r="E397" i="14"/>
  <c r="E10" i="14"/>
  <c r="E18" i="14"/>
  <c r="E26" i="14"/>
  <c r="E34" i="14"/>
  <c r="E42" i="14"/>
  <c r="E50" i="14"/>
  <c r="E58" i="14"/>
  <c r="E66" i="14"/>
  <c r="M57" i="14"/>
  <c r="C383" i="14"/>
  <c r="F407" i="14"/>
  <c r="F392" i="14"/>
  <c r="F14" i="14"/>
  <c r="F30" i="14"/>
  <c r="F46" i="14"/>
  <c r="F62" i="14"/>
  <c r="F76" i="14"/>
  <c r="F89" i="14"/>
  <c r="F102" i="14"/>
  <c r="F115" i="14"/>
  <c r="F127" i="14"/>
  <c r="F140" i="14"/>
  <c r="F153" i="14"/>
  <c r="F166" i="14"/>
  <c r="F179" i="14"/>
  <c r="F191" i="14"/>
  <c r="F204" i="14"/>
  <c r="F217" i="14"/>
  <c r="F230" i="14"/>
  <c r="F243" i="14"/>
  <c r="F255" i="14"/>
  <c r="F268" i="14"/>
  <c r="M169" i="14"/>
  <c r="C384" i="14"/>
  <c r="F409" i="14"/>
  <c r="F393" i="14"/>
  <c r="F15" i="14"/>
  <c r="F31" i="14"/>
  <c r="F47" i="14"/>
  <c r="F63" i="14"/>
  <c r="F78" i="14"/>
  <c r="F91" i="14"/>
  <c r="F103" i="14"/>
  <c r="F116" i="14"/>
  <c r="F129" i="14"/>
  <c r="F142" i="14"/>
  <c r="F155" i="14"/>
  <c r="F167" i="14"/>
  <c r="F180" i="14"/>
  <c r="F193" i="14"/>
  <c r="F206" i="14"/>
  <c r="F219" i="14"/>
  <c r="F231" i="14"/>
  <c r="F244" i="14"/>
  <c r="F257" i="14"/>
  <c r="F270" i="14"/>
  <c r="F283" i="14"/>
  <c r="F295" i="14"/>
  <c r="F308" i="14"/>
  <c r="F321" i="14"/>
  <c r="F332" i="14"/>
  <c r="F343" i="14"/>
  <c r="F353" i="14"/>
  <c r="F362" i="14"/>
  <c r="E411" i="14"/>
  <c r="E403" i="14"/>
  <c r="E4" i="14"/>
  <c r="E12" i="14"/>
  <c r="E20" i="14"/>
  <c r="E28" i="14"/>
  <c r="E36" i="14"/>
  <c r="E44" i="14"/>
  <c r="M292" i="14"/>
  <c r="F411" i="14"/>
  <c r="F395" i="14"/>
  <c r="F17" i="14"/>
  <c r="F33" i="14"/>
  <c r="F49" i="14"/>
  <c r="F65" i="14"/>
  <c r="F79" i="14"/>
  <c r="F92" i="14"/>
  <c r="F105" i="14"/>
  <c r="F118" i="14"/>
  <c r="F131" i="14"/>
  <c r="F143" i="14"/>
  <c r="F156" i="14"/>
  <c r="F169" i="14"/>
  <c r="F182" i="14"/>
  <c r="F195" i="14"/>
  <c r="F207" i="14"/>
  <c r="F220" i="14"/>
  <c r="F233" i="14"/>
  <c r="F246" i="14"/>
  <c r="F259" i="14"/>
  <c r="F271" i="14"/>
  <c r="F284" i="14"/>
  <c r="F297" i="14"/>
  <c r="F310" i="14"/>
  <c r="F323" i="14"/>
  <c r="F334" i="14"/>
  <c r="F345" i="14"/>
  <c r="F354" i="14"/>
  <c r="F363" i="14"/>
  <c r="F2" i="14"/>
  <c r="E410" i="14"/>
  <c r="E402" i="14"/>
  <c r="E5" i="14"/>
  <c r="E13" i="14"/>
  <c r="E21" i="14"/>
  <c r="E29" i="14"/>
  <c r="E37" i="14"/>
  <c r="E45" i="14"/>
  <c r="F398" i="14"/>
  <c r="F414" i="14"/>
  <c r="F3" i="14"/>
  <c r="F19" i="14"/>
  <c r="F35" i="14"/>
  <c r="F51" i="14"/>
  <c r="F67" i="14"/>
  <c r="F81" i="14"/>
  <c r="F94" i="14"/>
  <c r="F107" i="14"/>
  <c r="F119" i="14"/>
  <c r="F132" i="14"/>
  <c r="F145" i="14"/>
  <c r="F158" i="14"/>
  <c r="F171" i="14"/>
  <c r="F183" i="14"/>
  <c r="F196" i="14"/>
  <c r="F209" i="14"/>
  <c r="F222" i="14"/>
  <c r="F235" i="14"/>
  <c r="F247" i="14"/>
  <c r="F260" i="14"/>
  <c r="F22" i="14"/>
  <c r="F83" i="14"/>
  <c r="F134" i="14"/>
  <c r="F185" i="14"/>
  <c r="F236" i="14"/>
  <c r="F276" i="14"/>
  <c r="F302" i="14"/>
  <c r="F327" i="14"/>
  <c r="F348" i="14"/>
  <c r="F366" i="14"/>
  <c r="E404" i="14"/>
  <c r="E11" i="14"/>
  <c r="E27" i="14"/>
  <c r="E43" i="14"/>
  <c r="E55" i="14"/>
  <c r="E67" i="14"/>
  <c r="E76" i="14"/>
  <c r="E85" i="14"/>
  <c r="E94" i="14"/>
  <c r="E103" i="14"/>
  <c r="E112" i="14"/>
  <c r="E120" i="14"/>
  <c r="E128" i="14"/>
  <c r="E136" i="14"/>
  <c r="E144" i="14"/>
  <c r="E152" i="14"/>
  <c r="E160" i="14"/>
  <c r="E168" i="14"/>
  <c r="E176" i="14"/>
  <c r="E184" i="14"/>
  <c r="E192" i="14"/>
  <c r="E200" i="14"/>
  <c r="E208" i="14"/>
  <c r="E216" i="14"/>
  <c r="E224" i="14"/>
  <c r="E232" i="14"/>
  <c r="E240" i="14"/>
  <c r="E248" i="14"/>
  <c r="E256" i="14"/>
  <c r="E264" i="14"/>
  <c r="E272" i="14"/>
  <c r="E280" i="14"/>
  <c r="E288" i="14"/>
  <c r="E296" i="14"/>
  <c r="E304" i="14"/>
  <c r="E312" i="14"/>
  <c r="E320" i="14"/>
  <c r="E328" i="14"/>
  <c r="E336" i="14"/>
  <c r="E344" i="14"/>
  <c r="E352" i="14"/>
  <c r="E360" i="14"/>
  <c r="E368" i="14"/>
  <c r="E384" i="14"/>
  <c r="E392" i="14"/>
  <c r="E301" i="14"/>
  <c r="E349" i="14"/>
  <c r="E389" i="14"/>
  <c r="F7" i="14"/>
  <c r="F326" i="14"/>
  <c r="E40" i="14"/>
  <c r="E135" i="14"/>
  <c r="E191" i="14"/>
  <c r="E239" i="14"/>
  <c r="E303" i="14"/>
  <c r="E359" i="14"/>
  <c r="F399" i="14"/>
  <c r="F23" i="14"/>
  <c r="F84" i="14"/>
  <c r="F135" i="14"/>
  <c r="F187" i="14"/>
  <c r="F238" i="14"/>
  <c r="F281" i="14"/>
  <c r="F307" i="14"/>
  <c r="F331" i="14"/>
  <c r="F352" i="14"/>
  <c r="E2" i="14"/>
  <c r="E401" i="14"/>
  <c r="E14" i="14"/>
  <c r="E30" i="14"/>
  <c r="E46" i="14"/>
  <c r="E56" i="14"/>
  <c r="E68" i="14"/>
  <c r="E77" i="14"/>
  <c r="E86" i="14"/>
  <c r="E95" i="14"/>
  <c r="E104" i="14"/>
  <c r="E113" i="14"/>
  <c r="E121" i="14"/>
  <c r="E129" i="14"/>
  <c r="E137" i="14"/>
  <c r="E145" i="14"/>
  <c r="E153" i="14"/>
  <c r="E161" i="14"/>
  <c r="E169" i="14"/>
  <c r="E177" i="14"/>
  <c r="E185" i="14"/>
  <c r="E193" i="14"/>
  <c r="E201" i="14"/>
  <c r="E209" i="14"/>
  <c r="E217" i="14"/>
  <c r="E225" i="14"/>
  <c r="E233" i="14"/>
  <c r="E241" i="14"/>
  <c r="E249" i="14"/>
  <c r="E257" i="14"/>
  <c r="E265" i="14"/>
  <c r="E273" i="14"/>
  <c r="E281" i="14"/>
  <c r="E289" i="14"/>
  <c r="E297" i="14"/>
  <c r="E305" i="14"/>
  <c r="E313" i="14"/>
  <c r="E321" i="14"/>
  <c r="E329" i="14"/>
  <c r="E337" i="14"/>
  <c r="E345" i="14"/>
  <c r="E353" i="14"/>
  <c r="E361" i="14"/>
  <c r="E393" i="14"/>
  <c r="E194" i="14"/>
  <c r="E210" i="14"/>
  <c r="E226" i="14"/>
  <c r="E234" i="14"/>
  <c r="E250" i="14"/>
  <c r="E266" i="14"/>
  <c r="E274" i="14"/>
  <c r="E290" i="14"/>
  <c r="E298" i="14"/>
  <c r="E314" i="14"/>
  <c r="E330" i="14"/>
  <c r="E338" i="14"/>
  <c r="E354" i="14"/>
  <c r="E394" i="14"/>
  <c r="E38" i="14"/>
  <c r="E82" i="14"/>
  <c r="E125" i="14"/>
  <c r="E157" i="14"/>
  <c r="E189" i="14"/>
  <c r="E221" i="14"/>
  <c r="E253" i="14"/>
  <c r="E285" i="14"/>
  <c r="E333" i="14"/>
  <c r="E381" i="14"/>
  <c r="F225" i="14"/>
  <c r="E407" i="14"/>
  <c r="E75" i="14"/>
  <c r="E127" i="14"/>
  <c r="E167" i="14"/>
  <c r="E207" i="14"/>
  <c r="E263" i="14"/>
  <c r="E311" i="14"/>
  <c r="E367" i="14"/>
  <c r="F401" i="14"/>
  <c r="F38" i="14"/>
  <c r="F95" i="14"/>
  <c r="F147" i="14"/>
  <c r="F198" i="14"/>
  <c r="F249" i="14"/>
  <c r="F286" i="14"/>
  <c r="F311" i="14"/>
  <c r="F335" i="14"/>
  <c r="F355" i="14"/>
  <c r="E416" i="14"/>
  <c r="E400" i="14"/>
  <c r="E15" i="14"/>
  <c r="E31" i="14"/>
  <c r="E47" i="14"/>
  <c r="E59" i="14"/>
  <c r="E69" i="14"/>
  <c r="E78" i="14"/>
  <c r="E87" i="14"/>
  <c r="E96" i="14"/>
  <c r="E106" i="14"/>
  <c r="E114" i="14"/>
  <c r="E122" i="14"/>
  <c r="E130" i="14"/>
  <c r="E138" i="14"/>
  <c r="E146" i="14"/>
  <c r="E154" i="14"/>
  <c r="E162" i="14"/>
  <c r="E170" i="14"/>
  <c r="E178" i="14"/>
  <c r="E186" i="14"/>
  <c r="E202" i="14"/>
  <c r="E218" i="14"/>
  <c r="E242" i="14"/>
  <c r="E258" i="14"/>
  <c r="E282" i="14"/>
  <c r="E306" i="14"/>
  <c r="E322" i="14"/>
  <c r="E346" i="14"/>
  <c r="E362" i="14"/>
  <c r="E22" i="14"/>
  <c r="E100" i="14"/>
  <c r="E149" i="14"/>
  <c r="E205" i="14"/>
  <c r="E269" i="14"/>
  <c r="E325" i="14"/>
  <c r="F300" i="14"/>
  <c r="E84" i="14"/>
  <c r="E175" i="14"/>
  <c r="E255" i="14"/>
  <c r="E319" i="14"/>
  <c r="F415" i="14"/>
  <c r="F39" i="14"/>
  <c r="F97" i="14"/>
  <c r="F148" i="14"/>
  <c r="F199" i="14"/>
  <c r="F251" i="14"/>
  <c r="F287" i="14"/>
  <c r="F313" i="14"/>
  <c r="F337" i="14"/>
  <c r="F356" i="14"/>
  <c r="E415" i="14"/>
  <c r="E399" i="14"/>
  <c r="E16" i="14"/>
  <c r="E32" i="14"/>
  <c r="E48" i="14"/>
  <c r="E60" i="14"/>
  <c r="E70" i="14"/>
  <c r="E79" i="14"/>
  <c r="E88" i="14"/>
  <c r="E98" i="14"/>
  <c r="E107" i="14"/>
  <c r="E115" i="14"/>
  <c r="E123" i="14"/>
  <c r="E131" i="14"/>
  <c r="E139" i="14"/>
  <c r="E147" i="14"/>
  <c r="E155" i="14"/>
  <c r="E163" i="14"/>
  <c r="E171" i="14"/>
  <c r="E179" i="14"/>
  <c r="E187" i="14"/>
  <c r="E195" i="14"/>
  <c r="E203" i="14"/>
  <c r="E211" i="14"/>
  <c r="E219" i="14"/>
  <c r="E227" i="14"/>
  <c r="E235" i="14"/>
  <c r="E243" i="14"/>
  <c r="E251" i="14"/>
  <c r="E259" i="14"/>
  <c r="E267" i="14"/>
  <c r="E275" i="14"/>
  <c r="E283" i="14"/>
  <c r="E291" i="14"/>
  <c r="E299" i="14"/>
  <c r="E307" i="14"/>
  <c r="E315" i="14"/>
  <c r="E323" i="14"/>
  <c r="E331" i="14"/>
  <c r="E339" i="14"/>
  <c r="E347" i="14"/>
  <c r="E355" i="14"/>
  <c r="E363" i="14"/>
  <c r="E395" i="14"/>
  <c r="E409" i="14"/>
  <c r="E62" i="14"/>
  <c r="E91" i="14"/>
  <c r="E133" i="14"/>
  <c r="E181" i="14"/>
  <c r="E229" i="14"/>
  <c r="E261" i="14"/>
  <c r="E309" i="14"/>
  <c r="E357" i="14"/>
  <c r="F71" i="14"/>
  <c r="F365" i="14"/>
  <c r="E54" i="14"/>
  <c r="E111" i="14"/>
  <c r="E159" i="14"/>
  <c r="E215" i="14"/>
  <c r="E271" i="14"/>
  <c r="E327" i="14"/>
  <c r="E383" i="14"/>
  <c r="F54" i="14"/>
  <c r="F108" i="14"/>
  <c r="F159" i="14"/>
  <c r="F211" i="14"/>
  <c r="F262" i="14"/>
  <c r="F289" i="14"/>
  <c r="F315" i="14"/>
  <c r="F338" i="14"/>
  <c r="F358" i="14"/>
  <c r="F380" i="14"/>
  <c r="E412" i="14"/>
  <c r="E3" i="14"/>
  <c r="E19" i="14"/>
  <c r="E35" i="14"/>
  <c r="E51" i="14"/>
  <c r="E61" i="14"/>
  <c r="E71" i="14"/>
  <c r="E80" i="14"/>
  <c r="E90" i="14"/>
  <c r="E99" i="14"/>
  <c r="E108" i="14"/>
  <c r="E116" i="14"/>
  <c r="E124" i="14"/>
  <c r="E132" i="14"/>
  <c r="E140" i="14"/>
  <c r="E148" i="14"/>
  <c r="E156" i="14"/>
  <c r="E164" i="14"/>
  <c r="E172" i="14"/>
  <c r="E180" i="14"/>
  <c r="E188" i="14"/>
  <c r="E196" i="14"/>
  <c r="E204" i="14"/>
  <c r="E212" i="14"/>
  <c r="E220" i="14"/>
  <c r="E228" i="14"/>
  <c r="E236" i="14"/>
  <c r="E244" i="14"/>
  <c r="E252" i="14"/>
  <c r="E260" i="14"/>
  <c r="E268" i="14"/>
  <c r="E276" i="14"/>
  <c r="E284" i="14"/>
  <c r="E292" i="14"/>
  <c r="E300" i="14"/>
  <c r="E308" i="14"/>
  <c r="E316" i="14"/>
  <c r="E324" i="14"/>
  <c r="E332" i="14"/>
  <c r="E340" i="14"/>
  <c r="E348" i="14"/>
  <c r="E356" i="14"/>
  <c r="E364" i="14"/>
  <c r="E380" i="14"/>
  <c r="E396" i="14"/>
  <c r="F161" i="14"/>
  <c r="F212" i="14"/>
  <c r="F263" i="14"/>
  <c r="F294" i="14"/>
  <c r="F319" i="14"/>
  <c r="F342" i="14"/>
  <c r="F361" i="14"/>
  <c r="F381" i="14"/>
  <c r="E6" i="14"/>
  <c r="E52" i="14"/>
  <c r="E72" i="14"/>
  <c r="E109" i="14"/>
  <c r="E141" i="14"/>
  <c r="E165" i="14"/>
  <c r="E197" i="14"/>
  <c r="E237" i="14"/>
  <c r="E277" i="14"/>
  <c r="E317" i="14"/>
  <c r="E365" i="14"/>
  <c r="F123" i="14"/>
  <c r="F347" i="14"/>
  <c r="E24" i="14"/>
  <c r="E93" i="14"/>
  <c r="E143" i="14"/>
  <c r="E199" i="14"/>
  <c r="E247" i="14"/>
  <c r="E287" i="14"/>
  <c r="E343" i="14"/>
  <c r="F55" i="14"/>
  <c r="F110" i="14"/>
  <c r="E117" i="14"/>
  <c r="E173" i="14"/>
  <c r="E213" i="14"/>
  <c r="E245" i="14"/>
  <c r="E293" i="14"/>
  <c r="E341" i="14"/>
  <c r="F174" i="14"/>
  <c r="E64" i="14"/>
  <c r="E119" i="14"/>
  <c r="E183" i="14"/>
  <c r="E231" i="14"/>
  <c r="E295" i="14"/>
  <c r="E351" i="14"/>
  <c r="F6" i="14"/>
  <c r="F70" i="14"/>
  <c r="F121" i="14"/>
  <c r="F172" i="14"/>
  <c r="F223" i="14"/>
  <c r="F273" i="14"/>
  <c r="F299" i="14"/>
  <c r="F324" i="14"/>
  <c r="F346" i="14"/>
  <c r="F364" i="14"/>
  <c r="F382" i="14"/>
  <c r="E408" i="14"/>
  <c r="E7" i="14"/>
  <c r="E23" i="14"/>
  <c r="E39" i="14"/>
  <c r="E53" i="14"/>
  <c r="E63" i="14"/>
  <c r="E74" i="14"/>
  <c r="E83" i="14"/>
  <c r="E92" i="14"/>
  <c r="E101" i="14"/>
  <c r="E110" i="14"/>
  <c r="E118" i="14"/>
  <c r="E126" i="14"/>
  <c r="E134" i="14"/>
  <c r="E142" i="14"/>
  <c r="E150" i="14"/>
  <c r="E158" i="14"/>
  <c r="E166" i="14"/>
  <c r="E174" i="14"/>
  <c r="E182" i="14"/>
  <c r="E190" i="14"/>
  <c r="E198" i="14"/>
  <c r="E206" i="14"/>
  <c r="E214" i="14"/>
  <c r="E222" i="14"/>
  <c r="E230" i="14"/>
  <c r="E238" i="14"/>
  <c r="E246" i="14"/>
  <c r="E254" i="14"/>
  <c r="E262" i="14"/>
  <c r="E270" i="14"/>
  <c r="E278" i="14"/>
  <c r="E286" i="14"/>
  <c r="E294" i="14"/>
  <c r="E302" i="14"/>
  <c r="E310" i="14"/>
  <c r="E318" i="14"/>
  <c r="E326" i="14"/>
  <c r="E334" i="14"/>
  <c r="E342" i="14"/>
  <c r="E350" i="14"/>
  <c r="E358" i="14"/>
  <c r="E366" i="14"/>
  <c r="E382" i="14"/>
  <c r="E390" i="14"/>
  <c r="F275" i="14"/>
  <c r="E8" i="14"/>
  <c r="E102" i="14"/>
  <c r="E151" i="14"/>
  <c r="E223" i="14"/>
  <c r="E279" i="14"/>
  <c r="E335" i="14"/>
  <c r="E391" i="14"/>
  <c r="C6" i="8" l="1"/>
  <c r="E6" i="8" s="1"/>
  <c r="E17" i="8" s="1"/>
  <c r="C7" i="8"/>
  <c r="D7" i="8" s="1"/>
  <c r="D12" i="8" s="1"/>
  <c r="H383" i="14"/>
  <c r="H384" i="14"/>
  <c r="D6" i="8" l="1"/>
  <c r="D17" i="8" s="1"/>
  <c r="C17" i="8"/>
  <c r="I17" i="8" s="1"/>
  <c r="E7" i="8"/>
  <c r="E3" i="8" s="1"/>
  <c r="C12" i="8"/>
  <c r="D40" i="8"/>
  <c r="D26" i="8"/>
  <c r="C40" i="8" l="1"/>
  <c r="I12" i="8"/>
  <c r="F6" i="8"/>
  <c r="F17" i="8" s="1"/>
  <c r="E12" i="8"/>
  <c r="E40" i="8" s="1"/>
  <c r="C26" i="8"/>
  <c r="E11" i="8"/>
  <c r="E13" i="8" s="1"/>
  <c r="E16" i="8" s="1"/>
  <c r="E18" i="8" s="1"/>
  <c r="E4" i="8"/>
  <c r="E26" i="8" l="1"/>
  <c r="E29" i="8" s="1"/>
  <c r="E32" i="8" s="1"/>
  <c r="E33" i="8" s="1"/>
  <c r="E22" i="8"/>
  <c r="E34" i="8" l="1"/>
  <c r="E38" i="8" s="1"/>
  <c r="C416" i="14" l="1"/>
  <c r="C358" i="14"/>
  <c r="C344" i="14"/>
  <c r="C296" i="14"/>
  <c r="C236" i="14"/>
  <c r="C230" i="14"/>
  <c r="C207" i="14"/>
  <c r="C187" i="14"/>
  <c r="C183" i="14"/>
  <c r="C180" i="14"/>
  <c r="C172" i="14"/>
  <c r="C171" i="14"/>
  <c r="C142" i="14"/>
  <c r="C107" i="14"/>
  <c r="C77" i="14"/>
  <c r="C415" i="14"/>
  <c r="C66" i="14"/>
  <c r="C57" i="14"/>
  <c r="C47" i="14"/>
  <c r="C38" i="14"/>
  <c r="C37" i="14"/>
  <c r="C35" i="14"/>
  <c r="C33" i="14"/>
  <c r="C25" i="14"/>
  <c r="C23" i="14"/>
  <c r="C6" i="14"/>
  <c r="C159" i="14" l="1"/>
  <c r="C160" i="14"/>
  <c r="C108" i="14"/>
  <c r="C211" i="14"/>
  <c r="C345" i="14" l="1"/>
  <c r="C79" i="14"/>
  <c r="C334" i="14"/>
  <c r="C135" i="14"/>
  <c r="C325" i="14"/>
  <c r="C74" i="14"/>
  <c r="C317" i="14"/>
  <c r="C356" i="14"/>
  <c r="C214" i="14"/>
  <c r="C311" i="14"/>
  <c r="C229" i="14"/>
  <c r="C306" i="14"/>
  <c r="C301" i="14"/>
  <c r="C285" i="14"/>
  <c r="C381" i="14"/>
  <c r="C174" i="14"/>
  <c r="C123" i="14"/>
  <c r="C201" i="14"/>
  <c r="C263" i="14"/>
  <c r="C260" i="14"/>
  <c r="C299" i="14"/>
  <c r="C148" i="14"/>
  <c r="C250" i="14"/>
  <c r="C362" i="14"/>
  <c r="C96" i="14"/>
  <c r="C146" i="14"/>
  <c r="C238" i="14"/>
  <c r="C232" i="14"/>
  <c r="C223" i="14"/>
  <c r="C218" i="14"/>
  <c r="C247" i="14"/>
  <c r="C202" i="14"/>
  <c r="C199" i="14"/>
  <c r="C365" i="14"/>
  <c r="C353" i="14"/>
  <c r="C357" i="14"/>
  <c r="C100" i="14"/>
  <c r="C165" i="14"/>
  <c r="C414" i="14"/>
  <c r="C153" i="14"/>
  <c r="C145" i="14"/>
  <c r="C295" i="14"/>
  <c r="C143" i="14"/>
  <c r="C351" i="14"/>
  <c r="C84" i="14"/>
  <c r="C95" i="14"/>
  <c r="C110" i="14"/>
  <c r="C72" i="14"/>
  <c r="C60" i="14"/>
  <c r="C51" i="14"/>
  <c r="C36" i="14"/>
  <c r="C412" i="14"/>
  <c r="C22" i="14"/>
  <c r="C15" i="14"/>
  <c r="C406" i="14"/>
  <c r="C4" i="14"/>
  <c r="C32" i="14"/>
  <c r="C176" i="14"/>
  <c r="C70" i="14"/>
  <c r="C131" i="14"/>
  <c r="C177" i="14"/>
  <c r="C342" i="14"/>
  <c r="C338" i="14"/>
  <c r="C333" i="14"/>
  <c r="C329" i="14"/>
  <c r="C258" i="14"/>
  <c r="C402" i="14"/>
  <c r="C316" i="14"/>
  <c r="C392" i="14"/>
  <c r="C400" i="14"/>
  <c r="C128" i="14"/>
  <c r="C308" i="14"/>
  <c r="C305" i="14"/>
  <c r="C222" i="14"/>
  <c r="C284" i="14"/>
  <c r="C279" i="14"/>
  <c r="C195" i="14"/>
  <c r="C271" i="14"/>
  <c r="C175" i="14"/>
  <c r="C262" i="14"/>
  <c r="C255" i="14"/>
  <c r="C264" i="14"/>
  <c r="C150" i="14"/>
  <c r="C87" i="14"/>
  <c r="C245" i="14"/>
  <c r="C257" i="14"/>
  <c r="C104" i="14"/>
  <c r="C179" i="14"/>
  <c r="C290" i="14"/>
  <c r="C112" i="14"/>
  <c r="C212" i="14"/>
  <c r="C213" i="14"/>
  <c r="C205" i="14"/>
  <c r="C198" i="14"/>
  <c r="C90" i="14"/>
  <c r="C188" i="14"/>
  <c r="C121" i="14"/>
  <c r="C168" i="14"/>
  <c r="C163" i="14"/>
  <c r="C157" i="14"/>
  <c r="C151" i="14"/>
  <c r="C144" i="14"/>
  <c r="C141" i="14"/>
  <c r="C125" i="14"/>
  <c r="C133" i="14"/>
  <c r="C404" i="14"/>
  <c r="C127" i="14"/>
  <c r="C115" i="14"/>
  <c r="C114" i="14"/>
  <c r="C67" i="14"/>
  <c r="C59" i="14"/>
  <c r="C50" i="14"/>
  <c r="C288" i="14"/>
  <c r="C30" i="14"/>
  <c r="C21" i="14"/>
  <c r="C14" i="14"/>
  <c r="C8" i="14"/>
  <c r="C224" i="14"/>
  <c r="C68" i="14"/>
  <c r="C53" i="14"/>
  <c r="C182" i="14"/>
  <c r="C46" i="14"/>
  <c r="C289" i="14"/>
  <c r="C347" i="14"/>
  <c r="C103" i="14"/>
  <c r="C228" i="14"/>
  <c r="C332" i="14"/>
  <c r="C328" i="14"/>
  <c r="C323" i="14"/>
  <c r="C320" i="14"/>
  <c r="C44" i="14"/>
  <c r="C313" i="14"/>
  <c r="C217" i="14"/>
  <c r="C310" i="14"/>
  <c r="C307" i="14"/>
  <c r="C191" i="14"/>
  <c r="C294" i="14"/>
  <c r="C283" i="14"/>
  <c r="C278" i="14"/>
  <c r="C126" i="14"/>
  <c r="C270" i="14"/>
  <c r="C339" i="14"/>
  <c r="C261" i="14"/>
  <c r="C254" i="14"/>
  <c r="C389" i="14"/>
  <c r="C398" i="14"/>
  <c r="C249" i="14"/>
  <c r="C244" i="14"/>
  <c r="C124" i="14"/>
  <c r="C403" i="14"/>
  <c r="C359" i="14"/>
  <c r="C259" i="14"/>
  <c r="C91" i="14"/>
  <c r="C210" i="14"/>
  <c r="C147" i="14"/>
  <c r="C204" i="14"/>
  <c r="C196" i="14"/>
  <c r="C354" i="14"/>
  <c r="C368" i="14"/>
  <c r="C83" i="14"/>
  <c r="C97" i="14"/>
  <c r="C162" i="14"/>
  <c r="C89" i="14"/>
  <c r="C10" i="14"/>
  <c r="C40" i="14"/>
  <c r="C408" i="14"/>
  <c r="C139" i="14"/>
  <c r="C220" i="14"/>
  <c r="C130" i="14"/>
  <c r="C119" i="14"/>
  <c r="C39" i="14"/>
  <c r="C393" i="14"/>
  <c r="C64" i="14"/>
  <c r="C58" i="14"/>
  <c r="C49" i="14"/>
  <c r="C42" i="14"/>
  <c r="C29" i="14"/>
  <c r="C20" i="14"/>
  <c r="C12" i="14"/>
  <c r="C7" i="14"/>
  <c r="C286" i="14"/>
  <c r="C27" i="14"/>
  <c r="C335" i="14"/>
  <c r="C34" i="14"/>
  <c r="C45" i="14"/>
  <c r="C346" i="14"/>
  <c r="C343" i="14"/>
  <c r="C396" i="14"/>
  <c r="C331" i="14"/>
  <c r="C327" i="14"/>
  <c r="C233" i="14"/>
  <c r="C319" i="14"/>
  <c r="C241" i="14"/>
  <c r="C407" i="14"/>
  <c r="C309" i="14"/>
  <c r="C5" i="14"/>
  <c r="C304" i="14"/>
  <c r="C282" i="14"/>
  <c r="C409" i="14"/>
  <c r="C277" i="14"/>
  <c r="C275" i="14"/>
  <c r="C269" i="14"/>
  <c r="C251" i="14"/>
  <c r="C82" i="14"/>
  <c r="C405" i="14"/>
  <c r="C314" i="14"/>
  <c r="C298" i="14"/>
  <c r="C75" i="14"/>
  <c r="C361" i="14"/>
  <c r="C248" i="14"/>
  <c r="C360" i="14"/>
  <c r="C94" i="14"/>
  <c r="C231" i="14"/>
  <c r="C109" i="14"/>
  <c r="C209" i="14"/>
  <c r="C266" i="14"/>
  <c r="C203" i="14"/>
  <c r="C355" i="14"/>
  <c r="C190" i="14"/>
  <c r="C186" i="14"/>
  <c r="C88" i="14"/>
  <c r="C80" i="14"/>
  <c r="C185" i="14"/>
  <c r="C156" i="14"/>
  <c r="C149" i="14"/>
  <c r="C352" i="14"/>
  <c r="C13" i="14"/>
  <c r="C93" i="14"/>
  <c r="C253" i="14"/>
  <c r="C367" i="14"/>
  <c r="C118" i="14"/>
  <c r="C43" i="14"/>
  <c r="C413" i="14"/>
  <c r="C63" i="14"/>
  <c r="C56" i="14"/>
  <c r="C48" i="14"/>
  <c r="C31" i="14"/>
  <c r="C99" i="14"/>
  <c r="C19" i="14"/>
  <c r="C11" i="14"/>
  <c r="C395" i="14"/>
  <c r="C3" i="14"/>
  <c r="C225" i="14"/>
  <c r="C265" i="14"/>
  <c r="C256" i="14"/>
  <c r="C194" i="14"/>
  <c r="C287" i="14"/>
  <c r="C341" i="14"/>
  <c r="C337" i="14"/>
  <c r="C102" i="14"/>
  <c r="C164" i="14"/>
  <c r="C322" i="14"/>
  <c r="C318" i="14"/>
  <c r="C181" i="14"/>
  <c r="C216" i="14"/>
  <c r="C293" i="14"/>
  <c r="C397" i="14"/>
  <c r="C280" i="14"/>
  <c r="C303" i="14"/>
  <c r="C221" i="14"/>
  <c r="C281" i="14"/>
  <c r="C292" i="14"/>
  <c r="C274" i="14"/>
  <c r="C268" i="14"/>
  <c r="C92" i="14"/>
  <c r="C17" i="14"/>
  <c r="C237" i="14"/>
  <c r="C184" i="14"/>
  <c r="C86" i="14"/>
  <c r="C315" i="14"/>
  <c r="C291" i="14"/>
  <c r="C122" i="14"/>
  <c r="C390" i="14"/>
  <c r="C235" i="14"/>
  <c r="C227" i="14"/>
  <c r="C219" i="14"/>
  <c r="C208" i="14"/>
  <c r="C349" i="14"/>
  <c r="C134" i="14"/>
  <c r="C85" i="14"/>
  <c r="C410" i="14"/>
  <c r="C178" i="14"/>
  <c r="C167" i="14"/>
  <c r="C161" i="14"/>
  <c r="C155" i="14"/>
  <c r="C243" i="14"/>
  <c r="C169" i="14"/>
  <c r="C140" i="14"/>
  <c r="C138" i="14"/>
  <c r="C136" i="14"/>
  <c r="C129" i="14"/>
  <c r="C117" i="14"/>
  <c r="C113" i="14"/>
  <c r="C106" i="14"/>
  <c r="C62" i="14"/>
  <c r="C54" i="14"/>
  <c r="C69" i="14"/>
  <c r="C98" i="14"/>
  <c r="C401" i="14"/>
  <c r="C18" i="14"/>
  <c r="C399" i="14"/>
  <c r="C411" i="14"/>
  <c r="C2" i="14"/>
  <c r="C26" i="14"/>
  <c r="C65" i="14"/>
  <c r="C170" i="14"/>
  <c r="C193" i="14"/>
  <c r="C366" i="14"/>
  <c r="C340" i="14"/>
  <c r="C336" i="14"/>
  <c r="C330" i="14"/>
  <c r="C326" i="14"/>
  <c r="C321" i="14"/>
  <c r="C394" i="14"/>
  <c r="C297" i="14"/>
  <c r="C215" i="14"/>
  <c r="C312" i="14"/>
  <c r="C192" i="14"/>
  <c r="C41" i="14"/>
  <c r="C302" i="14"/>
  <c r="C364" i="14"/>
  <c r="C105" i="14"/>
  <c r="C276" i="14"/>
  <c r="C272" i="14"/>
  <c r="C267" i="14"/>
  <c r="C101" i="14"/>
  <c r="C363" i="14"/>
  <c r="C300" i="14"/>
  <c r="C152" i="14"/>
  <c r="C252" i="14"/>
  <c r="C246" i="14"/>
  <c r="C382" i="14"/>
  <c r="C120" i="14"/>
  <c r="C239" i="14"/>
  <c r="C234" i="14"/>
  <c r="C226" i="14"/>
  <c r="C78" i="14"/>
  <c r="C206" i="14"/>
  <c r="C240" i="14"/>
  <c r="C200" i="14"/>
  <c r="C173" i="14"/>
  <c r="C189" i="14"/>
  <c r="C242" i="14"/>
  <c r="C81" i="14"/>
  <c r="C166" i="14"/>
  <c r="C158" i="14"/>
  <c r="C154" i="14"/>
  <c r="C324" i="14"/>
  <c r="C197" i="14"/>
  <c r="C273" i="14"/>
  <c r="C137" i="14"/>
  <c r="C132" i="14"/>
  <c r="C76" i="14"/>
  <c r="C116" i="14"/>
  <c r="C111" i="14"/>
  <c r="C28" i="14"/>
  <c r="C61" i="14"/>
  <c r="C52" i="14"/>
  <c r="C350" i="14"/>
  <c r="C391" i="14"/>
  <c r="C73" i="14"/>
  <c r="C16" i="14"/>
  <c r="C9" i="14"/>
  <c r="C348" i="14"/>
  <c r="C380" i="14"/>
  <c r="C55" i="14"/>
  <c r="C71" i="14"/>
  <c r="C24" i="14"/>
  <c r="I410" i="14" l="1"/>
  <c r="H410" i="14" s="1"/>
  <c r="I409" i="14"/>
  <c r="H409" i="14" s="1"/>
  <c r="I406" i="14"/>
  <c r="H406" i="14" s="1"/>
  <c r="I405" i="14"/>
  <c r="H405" i="14" s="1"/>
  <c r="I404" i="14"/>
  <c r="H404" i="14" s="1"/>
  <c r="I402" i="14"/>
  <c r="H402" i="14" s="1"/>
  <c r="I368" i="14"/>
  <c r="H368" i="14" s="1"/>
  <c r="I401" i="14"/>
  <c r="H401" i="14" s="1"/>
  <c r="I400" i="14"/>
  <c r="I399" i="14"/>
  <c r="H399" i="14" s="1"/>
  <c r="I398" i="14"/>
  <c r="H398" i="14" s="1"/>
  <c r="I396" i="14"/>
  <c r="H396" i="14" s="1"/>
  <c r="I394" i="14"/>
  <c r="H394" i="14" s="1"/>
  <c r="I382" i="14"/>
  <c r="H382" i="14" s="1"/>
  <c r="I389" i="14"/>
  <c r="H389" i="14" s="1"/>
  <c r="I380" i="14"/>
  <c r="H380" i="14" s="1"/>
  <c r="I358" i="14"/>
  <c r="H358" i="14" s="1"/>
  <c r="I357" i="14"/>
  <c r="H357" i="14" s="1"/>
  <c r="I353" i="14"/>
  <c r="H353" i="14" s="1"/>
  <c r="I347" i="14"/>
  <c r="H347" i="14" s="1"/>
  <c r="I345" i="14"/>
  <c r="H345" i="14" s="1"/>
  <c r="I343" i="14"/>
  <c r="H343" i="14" s="1"/>
  <c r="I341" i="14"/>
  <c r="H341" i="14" s="1"/>
  <c r="I339" i="14"/>
  <c r="H339" i="14" s="1"/>
  <c r="I336" i="14"/>
  <c r="H336" i="14" s="1"/>
  <c r="I335" i="14"/>
  <c r="H335" i="14" s="1"/>
  <c r="I334" i="14"/>
  <c r="H334" i="14" s="1"/>
  <c r="I333" i="14"/>
  <c r="H333" i="14" s="1"/>
  <c r="I332" i="14"/>
  <c r="H332" i="14" s="1"/>
  <c r="I331" i="14"/>
  <c r="H331" i="14" s="1"/>
  <c r="I330" i="14"/>
  <c r="H330" i="14" s="1"/>
  <c r="I329" i="14"/>
  <c r="H329" i="14" s="1"/>
  <c r="I327" i="14"/>
  <c r="H327" i="14" s="1"/>
  <c r="I325" i="14"/>
  <c r="H325" i="14" s="1"/>
  <c r="I323" i="14"/>
  <c r="H323" i="14" s="1"/>
  <c r="I322" i="14"/>
  <c r="H322" i="14" s="1"/>
  <c r="I317" i="14"/>
  <c r="H317" i="14" s="1"/>
  <c r="I320" i="14"/>
  <c r="H320" i="14" s="1"/>
  <c r="I319" i="14"/>
  <c r="H319" i="14" s="1"/>
  <c r="I318" i="14"/>
  <c r="H318" i="14" s="1"/>
  <c r="I316" i="14"/>
  <c r="H316" i="14" s="1"/>
  <c r="I314" i="14"/>
  <c r="H314" i="14" s="1"/>
  <c r="I310" i="14"/>
  <c r="H310" i="14" s="1"/>
  <c r="I308" i="14"/>
  <c r="H308" i="14" s="1"/>
  <c r="I300" i="14"/>
  <c r="H300" i="14" s="1"/>
  <c r="I299" i="14"/>
  <c r="H299" i="14" s="1"/>
  <c r="I298" i="14"/>
  <c r="H298" i="14" s="1"/>
  <c r="I297" i="14"/>
  <c r="H297" i="14" s="1"/>
  <c r="I296" i="14"/>
  <c r="H296" i="14" s="1"/>
  <c r="I293" i="14"/>
  <c r="H293" i="14" s="1"/>
  <c r="I292" i="14"/>
  <c r="H292" i="14" s="1"/>
  <c r="I291" i="14"/>
  <c r="H291" i="14" s="1"/>
  <c r="I290" i="14"/>
  <c r="H290" i="14" s="1"/>
  <c r="I289" i="14"/>
  <c r="H289" i="14" s="1"/>
  <c r="I287" i="14"/>
  <c r="H287" i="14" s="1"/>
  <c r="I286" i="14"/>
  <c r="H286" i="14" s="1"/>
  <c r="I279" i="14"/>
  <c r="H279" i="14" s="1"/>
  <c r="I278" i="14"/>
  <c r="H278" i="14" s="1"/>
  <c r="I277" i="14"/>
  <c r="H277" i="14" s="1"/>
  <c r="I270" i="14"/>
  <c r="H270" i="14" s="1"/>
  <c r="I266" i="14"/>
  <c r="H266" i="14" s="1"/>
  <c r="I264" i="14"/>
  <c r="H264" i="14" s="1"/>
  <c r="I257" i="14"/>
  <c r="H257" i="14" s="1"/>
  <c r="I256" i="14"/>
  <c r="H256" i="14" s="1"/>
  <c r="I253" i="14"/>
  <c r="H253" i="14" s="1"/>
  <c r="I252" i="14"/>
  <c r="H252" i="14" s="1"/>
  <c r="I251" i="14"/>
  <c r="H251" i="14" s="1"/>
  <c r="I248" i="14"/>
  <c r="H248" i="14" s="1"/>
  <c r="I247" i="14"/>
  <c r="H247" i="14" s="1"/>
  <c r="I315" i="14"/>
  <c r="H315" i="14" s="1"/>
  <c r="I243" i="14"/>
  <c r="H243" i="14" s="1"/>
  <c r="I241" i="14"/>
  <c r="H241" i="14" s="1"/>
  <c r="I239" i="14"/>
  <c r="H239" i="14" s="1"/>
  <c r="I237" i="14"/>
  <c r="H237" i="14" s="1"/>
  <c r="I236" i="14"/>
  <c r="H236" i="14" s="1"/>
  <c r="I235" i="14"/>
  <c r="H235" i="14" s="1"/>
  <c r="I231" i="14"/>
  <c r="H231" i="14" s="1"/>
  <c r="I224" i="14"/>
  <c r="H224" i="14" s="1"/>
  <c r="I223" i="14"/>
  <c r="H223" i="14" s="1"/>
  <c r="I220" i="14"/>
  <c r="H220" i="14" s="1"/>
  <c r="I217" i="14"/>
  <c r="H217" i="14" s="1"/>
  <c r="I216" i="14"/>
  <c r="H216" i="14" s="1"/>
  <c r="I214" i="14"/>
  <c r="H214" i="14" s="1"/>
  <c r="I218" i="14"/>
  <c r="H218" i="14" s="1"/>
  <c r="I213" i="14"/>
  <c r="H213" i="14" s="1"/>
  <c r="I212" i="14"/>
  <c r="H212" i="14" s="1"/>
  <c r="I211" i="14"/>
  <c r="H211" i="14" s="1"/>
  <c r="I209" i="14"/>
  <c r="H209" i="14" s="1"/>
  <c r="I208" i="14"/>
  <c r="H208" i="14" s="1"/>
  <c r="I207" i="14"/>
  <c r="H207" i="14" s="1"/>
  <c r="I199" i="14"/>
  <c r="H199" i="14" s="1"/>
  <c r="I198" i="14"/>
  <c r="H198" i="14" s="1"/>
  <c r="I196" i="14"/>
  <c r="H196" i="14" s="1"/>
  <c r="I195" i="14"/>
  <c r="H195" i="14" s="1"/>
  <c r="I192" i="14"/>
  <c r="H192" i="14" s="1"/>
  <c r="I150" i="14"/>
  <c r="H150" i="14" s="1"/>
  <c r="I189" i="14"/>
  <c r="H189" i="14" s="1"/>
  <c r="I187" i="14"/>
  <c r="H187" i="14" s="1"/>
  <c r="I186" i="14"/>
  <c r="H186" i="14" s="1"/>
  <c r="I185" i="14"/>
  <c r="H185" i="14" s="1"/>
  <c r="I184" i="14"/>
  <c r="H184" i="14" s="1"/>
  <c r="I181" i="14"/>
  <c r="H181" i="14" s="1"/>
  <c r="I179" i="14"/>
  <c r="H179" i="14" s="1"/>
  <c r="I178" i="14"/>
  <c r="H178" i="14" s="1"/>
  <c r="I174" i="14"/>
  <c r="H174" i="14" s="1"/>
  <c r="I173" i="14"/>
  <c r="H173" i="14" s="1"/>
  <c r="I167" i="14"/>
  <c r="H167" i="14" s="1"/>
  <c r="I161" i="14"/>
  <c r="H161" i="14" s="1"/>
  <c r="I160" i="14"/>
  <c r="H160" i="14" s="1"/>
  <c r="I159" i="14"/>
  <c r="H159" i="14" s="1"/>
  <c r="I158" i="14"/>
  <c r="H158" i="14" s="1"/>
  <c r="I155" i="14"/>
  <c r="H155" i="14" s="1"/>
  <c r="I152" i="14"/>
  <c r="H152" i="14" s="1"/>
  <c r="I149" i="14"/>
  <c r="H149" i="14" s="1"/>
  <c r="I148" i="14"/>
  <c r="H148" i="14" s="1"/>
  <c r="I147" i="14"/>
  <c r="H147" i="14" s="1"/>
  <c r="I146" i="14"/>
  <c r="H146" i="14" s="1"/>
  <c r="I145" i="14"/>
  <c r="H145" i="14" s="1"/>
  <c r="I143" i="14"/>
  <c r="H143" i="14" s="1"/>
  <c r="I133" i="14"/>
  <c r="H133" i="14" s="1"/>
  <c r="I132" i="14"/>
  <c r="H132" i="14" s="1"/>
  <c r="I130" i="14"/>
  <c r="H130" i="14" s="1"/>
  <c r="I367" i="14"/>
  <c r="H367" i="14" s="1"/>
  <c r="I129" i="14"/>
  <c r="H129" i="14" s="1"/>
  <c r="I128" i="14"/>
  <c r="H128" i="14" s="1"/>
  <c r="I127" i="14"/>
  <c r="H127" i="14" s="1"/>
  <c r="I126" i="14"/>
  <c r="H126" i="14" s="1"/>
  <c r="I125" i="14"/>
  <c r="H125" i="14" s="1"/>
  <c r="I124" i="14"/>
  <c r="H124" i="14" s="1"/>
  <c r="I123" i="14"/>
  <c r="H123" i="14" s="1"/>
  <c r="I122" i="14"/>
  <c r="H122" i="14" s="1"/>
  <c r="I121" i="14"/>
  <c r="H121" i="14" s="1"/>
  <c r="I120" i="14"/>
  <c r="H120" i="14" s="1"/>
  <c r="I118" i="14"/>
  <c r="H118" i="14" s="1"/>
  <c r="I115" i="14"/>
  <c r="H115" i="14" s="1"/>
  <c r="I113" i="14"/>
  <c r="H113" i="14" s="1"/>
  <c r="I112" i="14"/>
  <c r="H112" i="14" s="1"/>
  <c r="I110" i="14"/>
  <c r="H110" i="14" s="1"/>
  <c r="I108" i="14"/>
  <c r="H108" i="14" s="1"/>
  <c r="I103" i="14"/>
  <c r="H103" i="14" s="1"/>
  <c r="I102" i="14"/>
  <c r="H102" i="14" s="1"/>
  <c r="I101" i="14"/>
  <c r="H101" i="14" s="1"/>
  <c r="I100" i="14"/>
  <c r="H100" i="14" s="1"/>
  <c r="I99" i="14"/>
  <c r="H99" i="14" s="1"/>
  <c r="I98" i="14"/>
  <c r="H98" i="14" s="1"/>
  <c r="I97" i="14"/>
  <c r="H97" i="14" s="1"/>
  <c r="I96" i="14"/>
  <c r="H96" i="14" s="1"/>
  <c r="I95" i="14"/>
  <c r="H95" i="14" s="1"/>
  <c r="I94" i="14"/>
  <c r="H94" i="14" s="1"/>
  <c r="I93" i="14"/>
  <c r="H93" i="14" s="1"/>
  <c r="I92" i="14"/>
  <c r="H92" i="14" s="1"/>
  <c r="I91" i="14"/>
  <c r="H91" i="14" s="1"/>
  <c r="I90" i="14"/>
  <c r="H90" i="14" s="1"/>
  <c r="I89" i="14"/>
  <c r="H89" i="14" s="1"/>
  <c r="I88" i="14"/>
  <c r="H88" i="14" s="1"/>
  <c r="I87" i="14"/>
  <c r="H87" i="14" s="1"/>
  <c r="I86" i="14"/>
  <c r="H86" i="14" s="1"/>
  <c r="I85" i="14"/>
  <c r="H85" i="14" s="1"/>
  <c r="I84" i="14"/>
  <c r="H84" i="14" s="1"/>
  <c r="I83" i="14"/>
  <c r="H83" i="14" s="1"/>
  <c r="I82" i="14"/>
  <c r="H82" i="14" s="1"/>
  <c r="I81" i="14"/>
  <c r="H81" i="14" s="1"/>
  <c r="I80" i="14"/>
  <c r="H80" i="14" s="1"/>
  <c r="I79" i="14"/>
  <c r="H79" i="14" s="1"/>
  <c r="I78" i="14"/>
  <c r="H78" i="14" s="1"/>
  <c r="I77" i="14"/>
  <c r="H77" i="14" s="1"/>
  <c r="I76" i="14"/>
  <c r="H76" i="14" s="1"/>
  <c r="I75" i="14"/>
  <c r="H75" i="14" s="1"/>
  <c r="I381" i="14"/>
  <c r="H381" i="14" s="1"/>
  <c r="I74" i="14"/>
  <c r="H74" i="14" s="1"/>
  <c r="I73" i="14"/>
  <c r="H73" i="14" s="1"/>
  <c r="I71" i="14"/>
  <c r="H71" i="14" s="1"/>
  <c r="I69" i="14"/>
  <c r="H69" i="14" s="1"/>
  <c r="I55" i="14"/>
  <c r="H55" i="14" s="1"/>
  <c r="I51" i="14"/>
  <c r="H51" i="14" s="1"/>
  <c r="I49" i="14"/>
  <c r="H49" i="14" s="1"/>
  <c r="I48" i="14"/>
  <c r="H48" i="14" s="1"/>
  <c r="I46" i="14"/>
  <c r="H46" i="14" s="1"/>
  <c r="I66" i="14"/>
  <c r="H66" i="14" s="1"/>
  <c r="I65" i="14"/>
  <c r="H65" i="14" s="1"/>
  <c r="I64" i="14"/>
  <c r="H64" i="14" s="1"/>
  <c r="I63" i="14"/>
  <c r="H63" i="14" s="1"/>
  <c r="I62" i="14"/>
  <c r="H62" i="14" s="1"/>
  <c r="I61" i="14"/>
  <c r="H61" i="14" s="1"/>
  <c r="I60" i="14"/>
  <c r="H60" i="14" s="1"/>
  <c r="I59" i="14"/>
  <c r="H59" i="14" s="1"/>
  <c r="I58" i="14"/>
  <c r="H58" i="14" s="1"/>
  <c r="I57" i="14"/>
  <c r="H57" i="14" s="1"/>
  <c r="I56" i="14"/>
  <c r="H56" i="14" s="1"/>
  <c r="I54" i="14"/>
  <c r="H54" i="14" s="1"/>
  <c r="I52" i="14"/>
  <c r="H52" i="14" s="1"/>
  <c r="I67" i="14"/>
  <c r="H67" i="14" s="1"/>
  <c r="I50" i="14"/>
  <c r="H50" i="14" s="1"/>
  <c r="I47" i="14"/>
  <c r="H47" i="14" s="1"/>
  <c r="I44" i="14"/>
  <c r="H44" i="14" s="1"/>
  <c r="I40" i="14"/>
  <c r="H40" i="14" s="1"/>
  <c r="I39" i="14"/>
  <c r="H39" i="14" s="1"/>
  <c r="I37" i="14"/>
  <c r="H37" i="14" s="1"/>
  <c r="I36" i="14"/>
  <c r="H36" i="14" s="1"/>
  <c r="I35" i="14"/>
  <c r="H35" i="14" s="1"/>
  <c r="I34" i="14"/>
  <c r="H34" i="14" s="1"/>
  <c r="I31" i="14"/>
  <c r="H31" i="14" s="1"/>
  <c r="I30" i="14"/>
  <c r="H30" i="14" s="1"/>
  <c r="I29" i="14"/>
  <c r="H29" i="14" s="1"/>
  <c r="I27" i="14"/>
  <c r="H27" i="14" s="1"/>
  <c r="I26" i="14"/>
  <c r="H26" i="14" s="1"/>
  <c r="I25" i="14"/>
  <c r="H25" i="14" s="1"/>
  <c r="I24" i="14"/>
  <c r="H24" i="14" s="1"/>
  <c r="I23" i="14"/>
  <c r="H23" i="14" s="1"/>
  <c r="I21" i="14"/>
  <c r="H21" i="14" s="1"/>
  <c r="I20" i="14"/>
  <c r="H20" i="14" s="1"/>
  <c r="I19" i="14"/>
  <c r="H19" i="14" s="1"/>
  <c r="I18" i="14"/>
  <c r="H18" i="14" s="1"/>
  <c r="I16" i="14"/>
  <c r="H16" i="14" s="1"/>
  <c r="I15" i="14"/>
  <c r="H15" i="14" s="1"/>
  <c r="I14" i="14"/>
  <c r="H14" i="14" s="1"/>
  <c r="I13" i="14"/>
  <c r="H13" i="14" s="1"/>
  <c r="I12" i="14"/>
  <c r="H12" i="14" s="1"/>
  <c r="I11" i="14"/>
  <c r="H11" i="14" s="1"/>
  <c r="I9" i="14"/>
  <c r="H9" i="14" s="1"/>
  <c r="I8" i="14"/>
  <c r="H8" i="14" s="1"/>
  <c r="I7" i="14"/>
  <c r="H7" i="14" s="1"/>
  <c r="I6" i="14"/>
  <c r="H6" i="14" s="1"/>
  <c r="I5" i="14"/>
  <c r="H5" i="14" s="1"/>
  <c r="I2" i="14"/>
  <c r="H400" i="14" l="1"/>
  <c r="H2" i="14"/>
  <c r="I215" i="14"/>
  <c r="H215" i="14" s="1"/>
  <c r="I193" i="14"/>
  <c r="H193" i="14" s="1"/>
  <c r="I407" i="14"/>
  <c r="H407" i="14" s="1"/>
  <c r="D413" i="14" l="1"/>
  <c r="D415" i="14" l="1"/>
  <c r="D10" i="14"/>
  <c r="D262" i="14"/>
  <c r="D368" i="14"/>
  <c r="D362" i="14"/>
  <c r="D5" i="14"/>
  <c r="D263" i="14"/>
  <c r="D414" i="14"/>
  <c r="D408" i="14" l="1"/>
  <c r="D409" i="14"/>
  <c r="D411" i="14"/>
  <c r="D410" i="14"/>
  <c r="D412" i="14"/>
  <c r="G76" i="14" l="1"/>
  <c r="G23" i="14" l="1"/>
  <c r="G99" i="14"/>
  <c r="G193" i="14" l="1"/>
  <c r="G19" i="14" l="1"/>
  <c r="G2" i="14" l="1"/>
  <c r="D193" i="14" l="1"/>
  <c r="D2" i="14" l="1"/>
  <c r="G3" i="14"/>
  <c r="I3" i="14" l="1"/>
  <c r="H3" i="14" s="1"/>
  <c r="D3" i="14"/>
  <c r="G5" i="14"/>
  <c r="D6" i="14" l="1"/>
  <c r="G6" i="14"/>
  <c r="G407" i="14" l="1"/>
  <c r="G344" i="14"/>
  <c r="G402" i="14"/>
  <c r="G405" i="14"/>
  <c r="G400" i="14"/>
  <c r="G278" i="14"/>
  <c r="G406" i="14"/>
  <c r="G382" i="14"/>
  <c r="G347" i="14"/>
  <c r="G391" i="14"/>
  <c r="G394" i="14"/>
  <c r="G380" i="14"/>
  <c r="G396" i="14"/>
  <c r="G412" i="14"/>
  <c r="G338" i="14"/>
  <c r="G326" i="14"/>
  <c r="G346" i="14"/>
  <c r="G297" i="14"/>
  <c r="G299" i="14"/>
  <c r="G358" i="14"/>
  <c r="G415" i="14"/>
  <c r="G348" i="14"/>
  <c r="G403" i="14"/>
  <c r="G343" i="14"/>
  <c r="G353" i="14"/>
  <c r="G408" i="14"/>
  <c r="G270" i="14"/>
  <c r="G12" i="14"/>
  <c r="G359" i="14"/>
  <c r="G409" i="14"/>
  <c r="G316" i="14"/>
  <c r="G416" i="14"/>
  <c r="G350" i="14"/>
  <c r="G413" i="14"/>
  <c r="G395" i="14"/>
  <c r="G361" i="14"/>
  <c r="G362" i="14"/>
  <c r="G301" i="14"/>
  <c r="G313" i="14"/>
  <c r="G365" i="14"/>
  <c r="G411" i="14"/>
  <c r="G381" i="14"/>
  <c r="G398" i="14"/>
  <c r="G355" i="14"/>
  <c r="G322" i="14"/>
  <c r="G390" i="14"/>
  <c r="G334" i="14"/>
  <c r="G339" i="14"/>
  <c r="G323" i="14"/>
  <c r="G304" i="14"/>
  <c r="G340" i="14"/>
  <c r="G332" i="14"/>
  <c r="G311" i="14"/>
  <c r="G404" i="14"/>
  <c r="G341" i="14"/>
  <c r="G360" i="14"/>
  <c r="G224" i="14"/>
  <c r="G414" i="14"/>
  <c r="G367" i="14"/>
  <c r="G342" i="14"/>
  <c r="G309" i="14"/>
  <c r="G349" i="14"/>
  <c r="G345" i="14"/>
  <c r="G271" i="14"/>
  <c r="G235" i="14"/>
  <c r="G219" i="14"/>
  <c r="G231" i="14"/>
  <c r="G227" i="14"/>
  <c r="G223" i="14"/>
  <c r="G222" i="14"/>
  <c r="G141" i="14"/>
  <c r="G225" i="14"/>
  <c r="G201" i="14"/>
  <c r="G210" i="14"/>
  <c r="G165" i="14"/>
  <c r="G134" i="14"/>
  <c r="G180" i="14"/>
  <c r="G152" i="14"/>
  <c r="G135" i="14"/>
  <c r="G319" i="14"/>
  <c r="G330" i="14"/>
  <c r="G281" i="14"/>
  <c r="G266" i="14"/>
  <c r="G285" i="14"/>
  <c r="G312" i="14"/>
  <c r="G324" i="14"/>
  <c r="G307" i="14"/>
  <c r="G302" i="14"/>
  <c r="G269" i="14"/>
  <c r="G288" i="14"/>
  <c r="G317" i="14"/>
  <c r="G275" i="14"/>
  <c r="G287" i="14"/>
  <c r="G255" i="14"/>
  <c r="G211" i="14"/>
  <c r="G295" i="14"/>
  <c r="G245" i="14"/>
  <c r="G205" i="14"/>
  <c r="G291" i="14"/>
  <c r="G242" i="14"/>
  <c r="G229" i="14"/>
  <c r="G187" i="14"/>
  <c r="G146" i="14"/>
  <c r="G169" i="14"/>
  <c r="G153" i="14"/>
  <c r="G192" i="14"/>
  <c r="G401" i="14"/>
  <c r="G397" i="14"/>
  <c r="G357" i="14"/>
  <c r="G315" i="14"/>
  <c r="G321" i="14"/>
  <c r="G279" i="14"/>
  <c r="G318" i="14"/>
  <c r="G239" i="14"/>
  <c r="G206" i="14"/>
  <c r="G268" i="14"/>
  <c r="G209" i="14"/>
  <c r="G283" i="14"/>
  <c r="G207" i="14"/>
  <c r="G280" i="14"/>
  <c r="G264" i="14"/>
  <c r="G277" i="14"/>
  <c r="G276" i="14"/>
  <c r="G213" i="14"/>
  <c r="G230" i="14"/>
  <c r="G203" i="14"/>
  <c r="G155" i="14"/>
  <c r="G168" i="14"/>
  <c r="G67" i="14"/>
  <c r="G163" i="14"/>
  <c r="G156" i="14"/>
  <c r="G162" i="14"/>
  <c r="G114" i="14"/>
  <c r="G176" i="14"/>
  <c r="G337" i="14"/>
  <c r="G410" i="14"/>
  <c r="G300" i="14"/>
  <c r="G393" i="14"/>
  <c r="G331" i="14"/>
  <c r="G333" i="14"/>
  <c r="G293" i="14"/>
  <c r="G284" i="14"/>
  <c r="G261" i="14"/>
  <c r="G236" i="14"/>
  <c r="G174" i="14"/>
  <c r="G259" i="14"/>
  <c r="G253" i="14"/>
  <c r="G218" i="14"/>
  <c r="G249" i="14"/>
  <c r="G194" i="14"/>
  <c r="G184" i="14"/>
  <c r="G214" i="14"/>
  <c r="G7" i="14"/>
  <c r="G226" i="14"/>
  <c r="G130" i="14"/>
  <c r="G167" i="14"/>
  <c r="G329" i="14"/>
  <c r="G352" i="14"/>
  <c r="G336" i="14"/>
  <c r="G310" i="14"/>
  <c r="G354" i="14"/>
  <c r="G389" i="14"/>
  <c r="G314" i="14"/>
  <c r="G199" i="14"/>
  <c r="G215" i="14"/>
  <c r="G272" i="14"/>
  <c r="G335" i="14"/>
  <c r="G172" i="14"/>
  <c r="G232" i="14"/>
  <c r="G216" i="14"/>
  <c r="G202" i="14"/>
  <c r="G124" i="14"/>
  <c r="G191" i="14"/>
  <c r="G195" i="14"/>
  <c r="G178" i="14"/>
  <c r="G150" i="14"/>
  <c r="G164" i="14"/>
  <c r="G126" i="14"/>
  <c r="G158" i="14"/>
  <c r="G136" i="14"/>
  <c r="G189" i="14"/>
  <c r="G142" i="14"/>
  <c r="G399" i="14"/>
  <c r="G363" i="14"/>
  <c r="G292" i="14"/>
  <c r="G327" i="14"/>
  <c r="G320" i="14"/>
  <c r="G256" i="14"/>
  <c r="G196" i="14"/>
  <c r="G263" i="14"/>
  <c r="G294" i="14"/>
  <c r="G240" i="14"/>
  <c r="G273" i="14"/>
  <c r="G247" i="14"/>
  <c r="G243" i="14"/>
  <c r="G298" i="14"/>
  <c r="G228" i="14"/>
  <c r="G182" i="14"/>
  <c r="G233" i="14"/>
  <c r="G175" i="14"/>
  <c r="G181" i="14"/>
  <c r="G188" i="14"/>
  <c r="G179" i="14"/>
  <c r="G160" i="14"/>
  <c r="G351" i="14"/>
  <c r="G368" i="14"/>
  <c r="G198" i="14"/>
  <c r="G364" i="14"/>
  <c r="G328" i="14"/>
  <c r="G257" i="14"/>
  <c r="G325" i="14"/>
  <c r="G296" i="14"/>
  <c r="G250" i="14"/>
  <c r="G274" i="14"/>
  <c r="G290" i="14"/>
  <c r="G237" i="14"/>
  <c r="G265" i="14"/>
  <c r="G262" i="14"/>
  <c r="G286" i="14"/>
  <c r="G234" i="14"/>
  <c r="G258" i="14"/>
  <c r="G282" i="14"/>
  <c r="G220" i="14"/>
  <c r="G173" i="14"/>
  <c r="G200" i="14"/>
  <c r="G197" i="14"/>
  <c r="G217" i="14"/>
  <c r="G183" i="14"/>
  <c r="G149" i="14"/>
  <c r="G154" i="14"/>
  <c r="G356" i="14"/>
  <c r="G392" i="14"/>
  <c r="G308" i="14"/>
  <c r="G366" i="14"/>
  <c r="G303" i="14"/>
  <c r="G267" i="14"/>
  <c r="G306" i="14"/>
  <c r="G305" i="14"/>
  <c r="G289" i="14"/>
  <c r="G260" i="14"/>
  <c r="G254" i="14"/>
  <c r="G212" i="14"/>
  <c r="G244" i="14"/>
  <c r="G251" i="14"/>
  <c r="G252" i="14"/>
  <c r="G246" i="14"/>
  <c r="G241" i="14"/>
  <c r="G248" i="14"/>
  <c r="G238" i="14"/>
  <c r="G208" i="14"/>
  <c r="G221" i="14"/>
  <c r="G190" i="14"/>
  <c r="G186" i="14"/>
  <c r="G166" i="14"/>
  <c r="G171" i="14"/>
  <c r="G133" i="14"/>
  <c r="G144" i="14"/>
  <c r="G70" i="14"/>
  <c r="G94" i="14"/>
  <c r="G43" i="14"/>
  <c r="G86" i="14"/>
  <c r="G39" i="14"/>
  <c r="G40" i="14"/>
  <c r="G27" i="14"/>
  <c r="G148" i="14"/>
  <c r="G117" i="14"/>
  <c r="G102" i="14"/>
  <c r="G63" i="14"/>
  <c r="G38" i="14"/>
  <c r="G139" i="14"/>
  <c r="G177" i="14"/>
  <c r="G159" i="14"/>
  <c r="G121" i="14"/>
  <c r="G151" i="14"/>
  <c r="G129" i="14"/>
  <c r="G98" i="14"/>
  <c r="G69" i="14"/>
  <c r="G74" i="14"/>
  <c r="G65" i="14"/>
  <c r="G52" i="14"/>
  <c r="G24" i="14"/>
  <c r="G30" i="14"/>
  <c r="G36" i="14"/>
  <c r="G16" i="14"/>
  <c r="G13" i="14"/>
  <c r="G41" i="14"/>
  <c r="G123" i="14"/>
  <c r="G111" i="14"/>
  <c r="G17" i="14"/>
  <c r="G112" i="14"/>
  <c r="G88" i="14"/>
  <c r="G110" i="14"/>
  <c r="G54" i="14"/>
  <c r="G145" i="14"/>
  <c r="G157" i="14"/>
  <c r="G56" i="14"/>
  <c r="G127" i="14"/>
  <c r="G92" i="14"/>
  <c r="G109" i="14"/>
  <c r="G47" i="14"/>
  <c r="G73" i="14"/>
  <c r="G59" i="14"/>
  <c r="G35" i="14"/>
  <c r="G46" i="14"/>
  <c r="G44" i="14"/>
  <c r="G51" i="14"/>
  <c r="G21" i="14"/>
  <c r="G105" i="14"/>
  <c r="G131" i="14"/>
  <c r="G4" i="14"/>
  <c r="G53" i="14"/>
  <c r="G143" i="14"/>
  <c r="G103" i="14"/>
  <c r="G71" i="14"/>
  <c r="G82" i="14"/>
  <c r="G185" i="14"/>
  <c r="G147" i="14"/>
  <c r="G115" i="14"/>
  <c r="G140" i="14"/>
  <c r="G108" i="14"/>
  <c r="G83" i="14"/>
  <c r="G128" i="14"/>
  <c r="G75" i="14"/>
  <c r="G90" i="14"/>
  <c r="G60" i="14"/>
  <c r="G57" i="14"/>
  <c r="G26" i="14"/>
  <c r="G50" i="14"/>
  <c r="G28" i="14"/>
  <c r="G49" i="14"/>
  <c r="G33" i="14"/>
  <c r="G22" i="14"/>
  <c r="G87" i="14"/>
  <c r="G29" i="14"/>
  <c r="G122" i="14"/>
  <c r="G64" i="14"/>
  <c r="G170" i="14"/>
  <c r="G113" i="14"/>
  <c r="G120" i="14"/>
  <c r="G138" i="14"/>
  <c r="G107" i="14"/>
  <c r="G116" i="14"/>
  <c r="G119" i="14"/>
  <c r="G66" i="14"/>
  <c r="G72" i="14"/>
  <c r="G125" i="14"/>
  <c r="G95" i="14"/>
  <c r="G104" i="14"/>
  <c r="G78" i="14"/>
  <c r="G34" i="14"/>
  <c r="G48" i="14"/>
  <c r="G14" i="14"/>
  <c r="G25" i="14"/>
  <c r="G68" i="14"/>
  <c r="G58" i="14"/>
  <c r="G18" i="14"/>
  <c r="G93" i="14"/>
  <c r="G77" i="14"/>
  <c r="G89" i="14"/>
  <c r="G62" i="14"/>
  <c r="G20" i="14"/>
  <c r="G161" i="14"/>
  <c r="G132" i="14"/>
  <c r="G81" i="14"/>
  <c r="G137" i="14"/>
  <c r="G79" i="14"/>
  <c r="G106" i="14"/>
  <c r="G100" i="14"/>
  <c r="G97" i="14"/>
  <c r="G85" i="14"/>
  <c r="G10" i="14"/>
  <c r="G101" i="14"/>
  <c r="G91" i="14"/>
  <c r="G84" i="14"/>
  <c r="G55" i="14"/>
  <c r="G42" i="14"/>
  <c r="G37" i="14"/>
  <c r="G11" i="14"/>
  <c r="G45" i="14"/>
  <c r="G9" i="14"/>
  <c r="G118" i="14"/>
  <c r="G80" i="14"/>
  <c r="G96" i="14"/>
  <c r="G204" i="14"/>
  <c r="G61" i="14"/>
  <c r="G15" i="14"/>
  <c r="G32" i="14"/>
  <c r="G31" i="14"/>
  <c r="G8" i="14"/>
  <c r="C14" i="8" l="1"/>
  <c r="C30" i="8" s="1"/>
  <c r="I32" i="14"/>
  <c r="H32" i="14" s="1"/>
  <c r="I107" i="14"/>
  <c r="H107" i="14" s="1"/>
  <c r="I140" i="14"/>
  <c r="H140" i="14" s="1"/>
  <c r="I45" i="14"/>
  <c r="H45" i="14" s="1"/>
  <c r="I42" i="14"/>
  <c r="H42" i="14" s="1"/>
  <c r="I137" i="14"/>
  <c r="H137" i="14" s="1"/>
  <c r="I170" i="14"/>
  <c r="H170" i="14" s="1"/>
  <c r="I131" i="14"/>
  <c r="H131" i="14" s="1"/>
  <c r="I157" i="14"/>
  <c r="H157" i="14" s="1"/>
  <c r="I38" i="14"/>
  <c r="H38" i="14" s="1"/>
  <c r="I43" i="14"/>
  <c r="H43" i="14" s="1"/>
  <c r="I144" i="14"/>
  <c r="I166" i="14"/>
  <c r="H166" i="14" s="1"/>
  <c r="I221" i="14"/>
  <c r="H221" i="14" s="1"/>
  <c r="I238" i="14"/>
  <c r="H238" i="14" s="1"/>
  <c r="I246" i="14"/>
  <c r="H246" i="14" s="1"/>
  <c r="I244" i="14"/>
  <c r="H244" i="14" s="1"/>
  <c r="I306" i="14"/>
  <c r="H306" i="14" s="1"/>
  <c r="I267" i="14"/>
  <c r="H267" i="14" s="1"/>
  <c r="I356" i="14"/>
  <c r="H356" i="14" s="1"/>
  <c r="I197" i="14"/>
  <c r="H197" i="14" s="1"/>
  <c r="I262" i="14"/>
  <c r="H262" i="14" s="1"/>
  <c r="I274" i="14"/>
  <c r="H274" i="14" s="1"/>
  <c r="I328" i="14"/>
  <c r="H328" i="14" s="1"/>
  <c r="I294" i="14"/>
  <c r="H294" i="14" s="1"/>
  <c r="I352" i="14"/>
  <c r="H352" i="14" s="1"/>
  <c r="I194" i="14"/>
  <c r="H194" i="14" s="1"/>
  <c r="I261" i="14"/>
  <c r="H261" i="14" s="1"/>
  <c r="I284" i="14"/>
  <c r="H284" i="14" s="1"/>
  <c r="I156" i="14"/>
  <c r="H156" i="14" s="1"/>
  <c r="I230" i="14"/>
  <c r="H230" i="14" s="1"/>
  <c r="I276" i="14"/>
  <c r="H276" i="14" s="1"/>
  <c r="I283" i="14"/>
  <c r="H283" i="14" s="1"/>
  <c r="I206" i="14"/>
  <c r="H206" i="14" s="1"/>
  <c r="I242" i="14"/>
  <c r="H242" i="14" s="1"/>
  <c r="I307" i="14"/>
  <c r="H307" i="14" s="1"/>
  <c r="I312" i="14"/>
  <c r="H312" i="14" s="1"/>
  <c r="I180" i="14"/>
  <c r="H180" i="14" s="1"/>
  <c r="I349" i="14"/>
  <c r="H349" i="14" s="1"/>
  <c r="I340" i="14"/>
  <c r="H340" i="14" s="1"/>
  <c r="I365" i="14"/>
  <c r="H365" i="14" s="1"/>
  <c r="I362" i="14"/>
  <c r="H362" i="14" s="1"/>
  <c r="I361" i="14"/>
  <c r="H361" i="14" s="1"/>
  <c r="I350" i="14"/>
  <c r="H350" i="14" s="1"/>
  <c r="I348" i="14"/>
  <c r="H348" i="14" s="1"/>
  <c r="I412" i="14"/>
  <c r="H412" i="14" s="1"/>
  <c r="I10" i="14"/>
  <c r="H10" i="14" s="1"/>
  <c r="I119" i="14"/>
  <c r="H119" i="14" s="1"/>
  <c r="I68" i="14"/>
  <c r="H68" i="14" s="1"/>
  <c r="I104" i="14"/>
  <c r="H104" i="14" s="1"/>
  <c r="I116" i="14"/>
  <c r="H116" i="14" s="1"/>
  <c r="I138" i="14"/>
  <c r="H138" i="14" s="1"/>
  <c r="I22" i="14"/>
  <c r="H22" i="14" s="1"/>
  <c r="I4" i="14"/>
  <c r="H4" i="14" s="1"/>
  <c r="I105" i="14"/>
  <c r="H105" i="14" s="1"/>
  <c r="I17" i="14"/>
  <c r="H17" i="14" s="1"/>
  <c r="I41" i="14"/>
  <c r="H41" i="14" s="1"/>
  <c r="I117" i="14"/>
  <c r="H117" i="14" s="1"/>
  <c r="I70" i="14"/>
  <c r="H70" i="14" s="1"/>
  <c r="I303" i="14"/>
  <c r="H303" i="14" s="1"/>
  <c r="I154" i="14"/>
  <c r="H154" i="14" s="1"/>
  <c r="I282" i="14"/>
  <c r="H282" i="14" s="1"/>
  <c r="I175" i="14"/>
  <c r="H175" i="14" s="1"/>
  <c r="I182" i="14"/>
  <c r="H182" i="14" s="1"/>
  <c r="I273" i="14"/>
  <c r="H273" i="14" s="1"/>
  <c r="I263" i="14"/>
  <c r="H263" i="14" s="1"/>
  <c r="I363" i="14"/>
  <c r="H363" i="14" s="1"/>
  <c r="I202" i="14"/>
  <c r="H202" i="14" s="1"/>
  <c r="I172" i="14"/>
  <c r="H172" i="14" s="1"/>
  <c r="I272" i="14"/>
  <c r="H272" i="14" s="1"/>
  <c r="I249" i="14"/>
  <c r="H249" i="14" s="1"/>
  <c r="I176" i="14"/>
  <c r="H176" i="14" s="1"/>
  <c r="I163" i="14"/>
  <c r="H163" i="14" s="1"/>
  <c r="I321" i="14"/>
  <c r="H321" i="14" s="1"/>
  <c r="I229" i="14"/>
  <c r="H229" i="14" s="1"/>
  <c r="I255" i="14"/>
  <c r="H255" i="14" s="1"/>
  <c r="I269" i="14"/>
  <c r="H269" i="14" s="1"/>
  <c r="I285" i="14"/>
  <c r="H285" i="14" s="1"/>
  <c r="I135" i="14"/>
  <c r="H135" i="14" s="1"/>
  <c r="I201" i="14"/>
  <c r="H201" i="14" s="1"/>
  <c r="I141" i="14"/>
  <c r="H141" i="14" s="1"/>
  <c r="I227" i="14"/>
  <c r="H227" i="14" s="1"/>
  <c r="I271" i="14"/>
  <c r="H271" i="14" s="1"/>
  <c r="I309" i="14"/>
  <c r="H309" i="14" s="1"/>
  <c r="I390" i="14"/>
  <c r="H390" i="14" s="1"/>
  <c r="I355" i="14"/>
  <c r="H355" i="14" s="1"/>
  <c r="I301" i="14"/>
  <c r="H301" i="14" s="1"/>
  <c r="I359" i="14"/>
  <c r="H359" i="14" s="1"/>
  <c r="I408" i="14"/>
  <c r="H408" i="14" s="1"/>
  <c r="I415" i="14"/>
  <c r="H415" i="14" s="1"/>
  <c r="I346" i="14"/>
  <c r="H346" i="14" s="1"/>
  <c r="I326" i="14"/>
  <c r="H326" i="14" s="1"/>
  <c r="I344" i="14"/>
  <c r="H344" i="14" s="1"/>
  <c r="I106" i="14"/>
  <c r="H106" i="14" s="1"/>
  <c r="I151" i="14"/>
  <c r="H151" i="14" s="1"/>
  <c r="I177" i="14"/>
  <c r="H177" i="14" s="1"/>
  <c r="I171" i="14"/>
  <c r="H171" i="14" s="1"/>
  <c r="I254" i="14"/>
  <c r="H254" i="14" s="1"/>
  <c r="I305" i="14"/>
  <c r="H305" i="14" s="1"/>
  <c r="I366" i="14"/>
  <c r="H366" i="14" s="1"/>
  <c r="I183" i="14"/>
  <c r="H183" i="14" s="1"/>
  <c r="I258" i="14"/>
  <c r="H258" i="14" s="1"/>
  <c r="I234" i="14"/>
  <c r="H234" i="14" s="1"/>
  <c r="I351" i="14"/>
  <c r="H351" i="14" s="1"/>
  <c r="I164" i="14"/>
  <c r="H164" i="14" s="1"/>
  <c r="I191" i="14"/>
  <c r="H191" i="14" s="1"/>
  <c r="I354" i="14"/>
  <c r="H354" i="14" s="1"/>
  <c r="I393" i="14"/>
  <c r="H393" i="14" s="1"/>
  <c r="I114" i="14"/>
  <c r="H114" i="14" s="1"/>
  <c r="I203" i="14"/>
  <c r="H203" i="14" s="1"/>
  <c r="I280" i="14"/>
  <c r="I169" i="14"/>
  <c r="H169" i="14" s="1"/>
  <c r="I205" i="14"/>
  <c r="H205" i="14" s="1"/>
  <c r="I245" i="14"/>
  <c r="H245" i="14" s="1"/>
  <c r="I302" i="14"/>
  <c r="H302" i="14" s="1"/>
  <c r="I324" i="14"/>
  <c r="H324" i="14" s="1"/>
  <c r="I165" i="14"/>
  <c r="H165" i="14" s="1"/>
  <c r="I222" i="14"/>
  <c r="H222" i="14" s="1"/>
  <c r="I219" i="14"/>
  <c r="H219" i="14" s="1"/>
  <c r="I414" i="14"/>
  <c r="H414" i="14" s="1"/>
  <c r="I311" i="14"/>
  <c r="H311" i="14" s="1"/>
  <c r="I413" i="14"/>
  <c r="H413" i="14" s="1"/>
  <c r="I416" i="14"/>
  <c r="H416" i="14" s="1"/>
  <c r="I391" i="14"/>
  <c r="H391" i="14" s="1"/>
  <c r="I109" i="14"/>
  <c r="H109" i="14" s="1"/>
  <c r="I204" i="14"/>
  <c r="H204" i="14" s="1"/>
  <c r="I72" i="14"/>
  <c r="H72" i="14" s="1"/>
  <c r="I33" i="14"/>
  <c r="H33" i="14" s="1"/>
  <c r="I28" i="14"/>
  <c r="H28" i="14" s="1"/>
  <c r="I53" i="14"/>
  <c r="H53" i="14" s="1"/>
  <c r="I111" i="14"/>
  <c r="H111" i="14" s="1"/>
  <c r="I139" i="14"/>
  <c r="H139" i="14" s="1"/>
  <c r="I190" i="14"/>
  <c r="H190" i="14" s="1"/>
  <c r="I260" i="14"/>
  <c r="H260" i="14" s="1"/>
  <c r="I392" i="14"/>
  <c r="H392" i="14" s="1"/>
  <c r="I200" i="14"/>
  <c r="H200" i="14" s="1"/>
  <c r="I265" i="14"/>
  <c r="H265" i="14" s="1"/>
  <c r="I250" i="14"/>
  <c r="H250" i="14" s="1"/>
  <c r="I364" i="14"/>
  <c r="H364" i="14" s="1"/>
  <c r="I188" i="14"/>
  <c r="H188" i="14" s="1"/>
  <c r="I233" i="14"/>
  <c r="H233" i="14" s="1"/>
  <c r="I228" i="14"/>
  <c r="H228" i="14" s="1"/>
  <c r="I240" i="14"/>
  <c r="H240" i="14" s="1"/>
  <c r="I142" i="14"/>
  <c r="H142" i="14" s="1"/>
  <c r="I136" i="14"/>
  <c r="H136" i="14" s="1"/>
  <c r="I232" i="14"/>
  <c r="H232" i="14" s="1"/>
  <c r="I226" i="14"/>
  <c r="H226" i="14" s="1"/>
  <c r="I259" i="14"/>
  <c r="H259" i="14" s="1"/>
  <c r="I337" i="14"/>
  <c r="H337" i="14" s="1"/>
  <c r="I162" i="14"/>
  <c r="H162" i="14" s="1"/>
  <c r="I168" i="14"/>
  <c r="H168" i="14" s="1"/>
  <c r="I268" i="14"/>
  <c r="H268" i="14" s="1"/>
  <c r="I397" i="14"/>
  <c r="H397" i="14" s="1"/>
  <c r="I153" i="14"/>
  <c r="H153" i="14" s="1"/>
  <c r="I295" i="14"/>
  <c r="H295" i="14" s="1"/>
  <c r="I275" i="14"/>
  <c r="H275" i="14" s="1"/>
  <c r="I288" i="14"/>
  <c r="H288" i="14" s="1"/>
  <c r="I281" i="14"/>
  <c r="H281" i="14" s="1"/>
  <c r="I134" i="14"/>
  <c r="H134" i="14" s="1"/>
  <c r="I210" i="14"/>
  <c r="H210" i="14" s="1"/>
  <c r="I225" i="14"/>
  <c r="H225" i="14" s="1"/>
  <c r="I342" i="14"/>
  <c r="H342" i="14" s="1"/>
  <c r="I360" i="14"/>
  <c r="H360" i="14" s="1"/>
  <c r="I304" i="14"/>
  <c r="H304" i="14" s="1"/>
  <c r="I411" i="14"/>
  <c r="H411" i="14" s="1"/>
  <c r="I313" i="14"/>
  <c r="H313" i="14" s="1"/>
  <c r="I395" i="14"/>
  <c r="H395" i="14" s="1"/>
  <c r="I403" i="14"/>
  <c r="H403" i="14" s="1"/>
  <c r="I338" i="14"/>
  <c r="H338" i="14" s="1"/>
  <c r="D281" i="14"/>
  <c r="D307" i="14"/>
  <c r="D407" i="14"/>
  <c r="D9" i="14"/>
  <c r="D44" i="14"/>
  <c r="D398" i="14"/>
  <c r="D249" i="14"/>
  <c r="D7" i="14"/>
  <c r="D94" i="14"/>
  <c r="D50" i="14"/>
  <c r="D161" i="14"/>
  <c r="D280" i="14"/>
  <c r="D73" i="14"/>
  <c r="D129" i="14"/>
  <c r="D48" i="14"/>
  <c r="D137" i="14"/>
  <c r="D49" i="14"/>
  <c r="D107" i="14"/>
  <c r="D41" i="14"/>
  <c r="D110" i="14"/>
  <c r="D122" i="14"/>
  <c r="D22" i="14"/>
  <c r="D82" i="14"/>
  <c r="D221" i="14"/>
  <c r="D250" i="14"/>
  <c r="D305" i="14"/>
  <c r="D162" i="14"/>
  <c r="D212" i="14"/>
  <c r="D328" i="14"/>
  <c r="D236" i="14"/>
  <c r="D183" i="14"/>
  <c r="D245" i="14"/>
  <c r="D152" i="14"/>
  <c r="D179" i="14"/>
  <c r="D199" i="14"/>
  <c r="D290" i="14"/>
  <c r="D319" i="14"/>
  <c r="D223" i="14"/>
  <c r="D195" i="14"/>
  <c r="D338" i="14"/>
  <c r="D358" i="14"/>
  <c r="D316" i="14"/>
  <c r="D71" i="14"/>
  <c r="D194" i="14"/>
  <c r="D265" i="14"/>
  <c r="D100" i="14"/>
  <c r="D258" i="14"/>
  <c r="D301" i="14"/>
  <c r="D180" i="14"/>
  <c r="D178" i="14"/>
  <c r="D360" i="14"/>
  <c r="D133" i="14"/>
  <c r="D40" i="14"/>
  <c r="D97" i="14"/>
  <c r="D157" i="14"/>
  <c r="D128" i="14"/>
  <c r="D95" i="14"/>
  <c r="D80" i="14"/>
  <c r="D61" i="14"/>
  <c r="D124" i="14"/>
  <c r="D93" i="14"/>
  <c r="D168" i="14"/>
  <c r="D239" i="14"/>
  <c r="D247" i="14"/>
  <c r="D169" i="14"/>
  <c r="D256" i="14"/>
  <c r="D317" i="14"/>
  <c r="D298" i="14"/>
  <c r="D337" i="14"/>
  <c r="D214" i="14"/>
  <c r="D192" i="14"/>
  <c r="D323" i="14"/>
  <c r="D347" i="14"/>
  <c r="D289" i="14"/>
  <c r="D170" i="14"/>
  <c r="D167" i="14"/>
  <c r="D174" i="14"/>
  <c r="D321" i="14"/>
  <c r="D141" i="14"/>
  <c r="D228" i="14"/>
  <c r="D175" i="14"/>
  <c r="D363" i="14"/>
  <c r="D303" i="14"/>
  <c r="D330" i="14"/>
  <c r="D406" i="14"/>
  <c r="D357" i="14"/>
  <c r="D102" i="14"/>
  <c r="D53" i="14"/>
  <c r="D66" i="14"/>
  <c r="D389" i="14"/>
  <c r="D34" i="14"/>
  <c r="D83" i="14"/>
  <c r="D79" i="14"/>
  <c r="D242" i="14"/>
  <c r="D181" i="14"/>
  <c r="D68" i="14"/>
  <c r="D86" i="14"/>
  <c r="D30" i="14"/>
  <c r="D144" i="14"/>
  <c r="D57" i="14"/>
  <c r="D90" i="14"/>
  <c r="D77" i="14"/>
  <c r="D132" i="14"/>
  <c r="D52" i="14"/>
  <c r="D64" i="14"/>
  <c r="D70" i="14"/>
  <c r="D13" i="14"/>
  <c r="D278" i="14"/>
  <c r="D208" i="14"/>
  <c r="D294" i="14"/>
  <c r="D231" i="14"/>
  <c r="D138" i="14"/>
  <c r="D220" i="14"/>
  <c r="D270" i="14"/>
  <c r="D134" i="14"/>
  <c r="D164" i="14"/>
  <c r="D293" i="14"/>
  <c r="D309" i="14"/>
  <c r="D189" i="14"/>
  <c r="D186" i="14"/>
  <c r="D404" i="14"/>
  <c r="D45" i="14"/>
  <c r="D266" i="14"/>
  <c r="D59" i="14"/>
  <c r="D136" i="14"/>
  <c r="D325" i="14"/>
  <c r="D187" i="14"/>
  <c r="D367" i="14"/>
  <c r="D14" i="14"/>
  <c r="D38" i="14"/>
  <c r="D74" i="14"/>
  <c r="D76" i="14"/>
  <c r="D140" i="14"/>
  <c r="D78" i="14"/>
  <c r="D101" i="14"/>
  <c r="D92" i="14"/>
  <c r="D60" i="14"/>
  <c r="D106" i="14"/>
  <c r="D139" i="14"/>
  <c r="D153" i="14"/>
  <c r="D28" i="14"/>
  <c r="D31" i="14"/>
  <c r="D176" i="14"/>
  <c r="D252" i="14"/>
  <c r="D160" i="14"/>
  <c r="D173" i="14"/>
  <c r="D235" i="14"/>
  <c r="D216" i="14"/>
  <c r="D177" i="14"/>
  <c r="D292" i="14"/>
  <c r="D123" i="14"/>
  <c r="D207" i="14"/>
  <c r="D333" i="14"/>
  <c r="D269" i="14"/>
  <c r="D230" i="14"/>
  <c r="D198" i="14"/>
  <c r="D272" i="14"/>
  <c r="D306" i="14"/>
  <c r="D165" i="14"/>
  <c r="D296" i="14"/>
  <c r="D147" i="14"/>
  <c r="D146" i="14"/>
  <c r="D246" i="14"/>
  <c r="D219" i="14"/>
  <c r="D284" i="14"/>
  <c r="D351" i="14"/>
  <c r="D392" i="14"/>
  <c r="D405" i="14"/>
  <c r="D311" i="14"/>
  <c r="D402" i="14"/>
  <c r="D69" i="14"/>
  <c r="D282" i="14"/>
  <c r="D21" i="14"/>
  <c r="D4" i="14"/>
  <c r="D148" i="14"/>
  <c r="D65" i="14"/>
  <c r="D126" i="14"/>
  <c r="D109" i="14"/>
  <c r="D241" i="14"/>
  <c r="D251" i="14"/>
  <c r="D300" i="14"/>
  <c r="D172" i="14"/>
  <c r="D253" i="14"/>
  <c r="D343" i="14"/>
  <c r="D390" i="14"/>
  <c r="D226" i="14"/>
  <c r="D259" i="14"/>
  <c r="D171" i="14"/>
  <c r="D184" i="14"/>
  <c r="D268" i="14"/>
  <c r="D308" i="14"/>
  <c r="D339" i="14"/>
  <c r="D348" i="14"/>
  <c r="D331" i="14"/>
  <c r="D356" i="14"/>
  <c r="D395" i="14"/>
  <c r="D353" i="14"/>
  <c r="D191" i="14"/>
  <c r="D366" i="14"/>
  <c r="D218" i="14"/>
  <c r="D12" i="14"/>
  <c r="D88" i="14"/>
  <c r="D26" i="14"/>
  <c r="D120" i="14"/>
  <c r="D27" i="14"/>
  <c r="D43" i="14"/>
  <c r="D87" i="14"/>
  <c r="D67" i="14"/>
  <c r="D233" i="14"/>
  <c r="D322" i="14"/>
  <c r="D182" i="14"/>
  <c r="D286" i="14"/>
  <c r="D155" i="14"/>
  <c r="D112" i="14"/>
  <c r="D85" i="14"/>
  <c r="D75" i="14"/>
  <c r="D89" i="14"/>
  <c r="D145" i="14"/>
  <c r="D23" i="14"/>
  <c r="D32" i="14"/>
  <c r="D99" i="14"/>
  <c r="D142" i="14"/>
  <c r="D121" i="14"/>
  <c r="D248" i="14"/>
  <c r="D396" i="14"/>
  <c r="D297" i="14"/>
  <c r="D352" i="14"/>
  <c r="D327" i="14"/>
  <c r="D261" i="14"/>
  <c r="D320" i="14"/>
  <c r="D115" i="14"/>
  <c r="D222" i="14"/>
  <c r="D205" i="14"/>
  <c r="D211" i="14"/>
  <c r="D273" i="14"/>
  <c r="D197" i="14"/>
  <c r="D400" i="14"/>
  <c r="C5" i="8" s="1"/>
  <c r="D304" i="14"/>
  <c r="D326" i="14"/>
  <c r="D393" i="14"/>
  <c r="D342" i="14"/>
  <c r="D11" i="14"/>
  <c r="D46" i="14"/>
  <c r="D125" i="14"/>
  <c r="D188" i="14"/>
  <c r="D401" i="14"/>
  <c r="D355" i="14"/>
  <c r="D364" i="14"/>
  <c r="D185" i="14"/>
  <c r="D154" i="14"/>
  <c r="D275" i="14"/>
  <c r="D361" i="14"/>
  <c r="D354" i="14"/>
  <c r="D227" i="14"/>
  <c r="D271" i="14"/>
  <c r="D334" i="14"/>
  <c r="D394" i="14"/>
  <c r="D349" i="14"/>
  <c r="D302" i="14"/>
  <c r="D283" i="14"/>
  <c r="D416" i="14"/>
  <c r="D274" i="14"/>
  <c r="D143" i="14"/>
  <c r="D16" i="14"/>
  <c r="D104" i="14"/>
  <c r="D116" i="14"/>
  <c r="D105" i="14"/>
  <c r="D108" i="14"/>
  <c r="D17" i="14"/>
  <c r="D103" i="14"/>
  <c r="D111" i="14"/>
  <c r="D33" i="14"/>
  <c r="D19" i="14"/>
  <c r="D149" i="14"/>
  <c r="D117" i="14"/>
  <c r="D20" i="14"/>
  <c r="D244" i="14"/>
  <c r="D403" i="14"/>
  <c r="D232" i="14"/>
  <c r="D335" i="14"/>
  <c r="D341" i="14"/>
  <c r="D238" i="14"/>
  <c r="D54" i="14"/>
  <c r="D55" i="14"/>
  <c r="D113" i="14"/>
  <c r="D127" i="14"/>
  <c r="D135" i="14"/>
  <c r="D255" i="14"/>
  <c r="D299" i="14"/>
  <c r="D215" i="14"/>
  <c r="D288" i="14"/>
  <c r="D257" i="14"/>
  <c r="D295" i="14"/>
  <c r="D350" i="14"/>
  <c r="D344" i="14"/>
  <c r="D365" i="14"/>
  <c r="D399" i="14"/>
  <c r="D114" i="14"/>
  <c r="D24" i="14"/>
  <c r="D58" i="14"/>
  <c r="D18" i="14"/>
  <c r="D29" i="14"/>
  <c r="D25" i="14"/>
  <c r="D47" i="14"/>
  <c r="D206" i="14"/>
  <c r="D224" i="14"/>
  <c r="D229" i="14"/>
  <c r="D329" i="14"/>
  <c r="D243" i="14"/>
  <c r="D279" i="14"/>
  <c r="D391" i="14"/>
  <c r="D397" i="14"/>
  <c r="D15" i="14"/>
  <c r="D151" i="14"/>
  <c r="D156" i="14"/>
  <c r="D150" i="14"/>
  <c r="D8" i="14"/>
  <c r="D62" i="14"/>
  <c r="D98" i="14"/>
  <c r="D118" i="14"/>
  <c r="D81" i="14"/>
  <c r="D203" i="14"/>
  <c r="D314" i="14"/>
  <c r="D324" i="14"/>
  <c r="D163" i="14"/>
  <c r="D315" i="14"/>
  <c r="D264" i="14"/>
  <c r="D291" i="14"/>
  <c r="D166" i="14"/>
  <c r="D380" i="14"/>
  <c r="D96" i="14"/>
  <c r="D84" i="14"/>
  <c r="D359" i="14"/>
  <c r="D332" i="14"/>
  <c r="D210" i="14"/>
  <c r="D345" i="14"/>
  <c r="D209" i="14"/>
  <c r="D312" i="14"/>
  <c r="D346" i="14"/>
  <c r="D204" i="14"/>
  <c r="D217" i="14"/>
  <c r="D56" i="14"/>
  <c r="D119" i="14"/>
  <c r="D131" i="14"/>
  <c r="D63" i="14"/>
  <c r="D36" i="14"/>
  <c r="D42" i="14"/>
  <c r="D35" i="14"/>
  <c r="D72" i="14"/>
  <c r="D91" i="14"/>
  <c r="D130" i="14"/>
  <c r="D277" i="14"/>
  <c r="D200" i="14"/>
  <c r="D213" i="14"/>
  <c r="D267" i="14"/>
  <c r="D237" i="14"/>
  <c r="D240" i="14"/>
  <c r="D310" i="14"/>
  <c r="D287" i="14"/>
  <c r="D202" i="14"/>
  <c r="D158" i="14"/>
  <c r="D313" i="14"/>
  <c r="D340" i="14"/>
  <c r="D318" i="14"/>
  <c r="D190" i="14"/>
  <c r="D51" i="14"/>
  <c r="D37" i="14"/>
  <c r="D39" i="14"/>
  <c r="D234" i="14"/>
  <c r="D254" i="14"/>
  <c r="D260" i="14"/>
  <c r="D196" i="14"/>
  <c r="D276" i="14"/>
  <c r="D225" i="14"/>
  <c r="D159" i="14"/>
  <c r="D285" i="14"/>
  <c r="D201" i="14"/>
  <c r="D382" i="14"/>
  <c r="D336" i="14"/>
  <c r="D381" i="14"/>
  <c r="D65" i="8" l="1"/>
  <c r="C65" i="8" s="1"/>
  <c r="E83" i="8" s="1"/>
  <c r="C15" i="8"/>
  <c r="I15" i="8" s="1"/>
  <c r="H280" i="14"/>
  <c r="C3" i="8" s="1"/>
  <c r="C4" i="8"/>
  <c r="D4" i="8" s="1"/>
  <c r="H144" i="14"/>
  <c r="C39" i="8"/>
  <c r="C41" i="8" s="1"/>
  <c r="G42" i="8"/>
  <c r="D79" i="8" l="1"/>
  <c r="C69" i="8"/>
  <c r="C67" i="8" s="1"/>
  <c r="C68" i="8" s="1"/>
  <c r="C71" i="8" s="1"/>
  <c r="F14" i="8" s="1"/>
  <c r="C11" i="8"/>
  <c r="D3" i="8"/>
  <c r="D11" i="8" s="1"/>
  <c r="D13" i="8" s="1"/>
  <c r="D16" i="8" s="1"/>
  <c r="D18" i="8" s="1"/>
  <c r="F11" i="8"/>
  <c r="F13" i="8" s="1"/>
  <c r="D5" i="8"/>
  <c r="D39" i="8" s="1"/>
  <c r="D41" i="8" s="1"/>
  <c r="E5" i="8"/>
  <c r="E39" i="8" s="1"/>
  <c r="E41" i="8" s="1"/>
  <c r="E42" i="8" s="1"/>
  <c r="C75" i="8" l="1"/>
  <c r="C77" i="8" s="1"/>
  <c r="C80" i="8" s="1"/>
  <c r="E80" i="8" s="1"/>
  <c r="D67" i="8"/>
  <c r="D68" i="8" s="1"/>
  <c r="D71" i="8" s="1"/>
  <c r="C13" i="8"/>
  <c r="I11" i="8"/>
  <c r="F5" i="8"/>
  <c r="F39" i="8" s="1"/>
  <c r="F41" i="8" s="1"/>
  <c r="D22" i="8"/>
  <c r="D29" i="8"/>
  <c r="D32" i="8" s="1"/>
  <c r="D33" i="8" s="1"/>
  <c r="F15" i="8"/>
  <c r="F16" i="8" s="1"/>
  <c r="F18" i="8" s="1"/>
  <c r="F30" i="8"/>
  <c r="C79" i="8" l="1"/>
  <c r="E79" i="8" s="1"/>
  <c r="E81" i="8" s="1"/>
  <c r="E68" i="8"/>
  <c r="H8" i="8" s="1"/>
  <c r="C16" i="8"/>
  <c r="I13" i="8"/>
  <c r="D34" i="8"/>
  <c r="D38" i="8" s="1"/>
  <c r="D42" i="8" s="1"/>
  <c r="F29" i="8"/>
  <c r="F32" i="8" s="1"/>
  <c r="F33" i="8" s="1"/>
  <c r="F22" i="8"/>
  <c r="E65" i="8"/>
  <c r="D54" i="8"/>
  <c r="C81" i="8" l="1"/>
  <c r="E82" i="8" s="1"/>
  <c r="E84" i="8" s="1"/>
  <c r="I16" i="8"/>
  <c r="H3" i="8"/>
  <c r="C18" i="8"/>
  <c r="F34" i="8"/>
  <c r="F38" i="8" s="1"/>
  <c r="I18" i="8" l="1"/>
  <c r="C29" i="8"/>
  <c r="C22" i="8"/>
  <c r="I22" i="8" s="1"/>
  <c r="C32" i="8" l="1"/>
  <c r="I29" i="8"/>
  <c r="C33" i="8" l="1"/>
  <c r="I32" i="8"/>
  <c r="I33" i="8" l="1"/>
  <c r="C34" i="8"/>
  <c r="C38" i="8" l="1"/>
  <c r="I34" i="8"/>
  <c r="I38" i="8" l="1"/>
  <c r="C42" i="8"/>
  <c r="F42" i="8" l="1"/>
  <c r="D58" i="8" s="1"/>
  <c r="B10" i="10"/>
  <c r="O18" i="10"/>
  <c r="O21" i="10" s="1"/>
  <c r="O24" i="10" s="1"/>
  <c r="D55" i="8"/>
  <c r="J43" i="8"/>
  <c r="E54" i="8"/>
  <c r="D59" i="8"/>
  <c r="E57" i="8" l="1"/>
  <c r="I18" i="10"/>
  <c r="I21" i="10" l="1"/>
  <c r="I24" i="10" s="1"/>
  <c r="O25"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 Clark</author>
  </authors>
  <commentList>
    <comment ref="C1" authorId="0" shapeId="0" xr:uid="{794852A9-F02A-4507-9DF5-177B0B170B94}">
      <text>
        <r>
          <rPr>
            <b/>
            <sz val="9"/>
            <color indexed="81"/>
            <rFont val="Tahoma"/>
            <family val="2"/>
          </rPr>
          <t>This column presents the calculation methodology from the Medicaid rate model.</t>
        </r>
      </text>
    </comment>
    <comment ref="D1" authorId="0" shapeId="0" xr:uid="{AE8B98F3-8159-4C4B-B37D-94F44D44CB8D}">
      <text>
        <r>
          <rPr>
            <sz val="9"/>
            <color indexed="81"/>
            <rFont val="Tahoma"/>
            <family val="2"/>
          </rPr>
          <t>This column shows the FRV calculation of the facility in column C renovated to a "new" facility.</t>
        </r>
      </text>
    </comment>
    <comment ref="E1" authorId="0" shapeId="0" xr:uid="{65917A22-2E71-4CAA-A50E-0E560165C56E}">
      <text>
        <r>
          <rPr>
            <b/>
            <sz val="9"/>
            <color indexed="81"/>
            <rFont val="Tahoma"/>
            <family val="2"/>
          </rPr>
          <t>This column shows the FRV calculation of the facility in column C renovated to a "new" facility with 700 sq ft per bed.</t>
        </r>
      </text>
    </comment>
    <comment ref="E3" authorId="0" shapeId="0" xr:uid="{9FAEEDAD-A1C3-4439-9B9D-71E3E18493EB}">
      <text>
        <r>
          <rPr>
            <b/>
            <sz val="9"/>
            <color indexed="81"/>
            <rFont val="Tahoma"/>
            <family val="2"/>
          </rPr>
          <t>Assumed to be 700 sq ft per bed.</t>
        </r>
      </text>
    </comment>
    <comment ref="F3" authorId="0" shapeId="0" xr:uid="{36224338-39E7-4B63-8144-28DB03C8253D}">
      <text>
        <r>
          <rPr>
            <b/>
            <sz val="9"/>
            <color indexed="81"/>
            <rFont val="Tahoma"/>
            <family val="2"/>
          </rPr>
          <t>Enter the proposed number of square feet attributed to the nursing portion of the facility.</t>
        </r>
      </text>
    </comment>
    <comment ref="F8" authorId="0" shapeId="0" xr:uid="{112FDB47-C5D0-4E28-B2E2-8A10FE8E9FCD}">
      <text>
        <r>
          <rPr>
            <b/>
            <sz val="9"/>
            <color indexed="81"/>
            <rFont val="Tahoma"/>
            <family val="2"/>
          </rPr>
          <t>Enter the amount of a proposed renovation.</t>
        </r>
      </text>
    </comment>
    <comment ref="D14" authorId="0" shapeId="0" xr:uid="{A96D4013-9802-4F15-9BFF-D997A15E112B}">
      <text>
        <r>
          <rPr>
            <b/>
            <sz val="9"/>
            <color indexed="81"/>
            <rFont val="Tahoma"/>
            <family val="2"/>
          </rPr>
          <t>Assumed to be age of 1 for a completely renovated facility.</t>
        </r>
      </text>
    </comment>
    <comment ref="E14" authorId="0" shapeId="0" xr:uid="{90060E3C-53E4-46D0-9EE6-0B00AD95D5CE}">
      <text>
        <r>
          <rPr>
            <b/>
            <sz val="9"/>
            <color indexed="81"/>
            <rFont val="Tahoma"/>
            <family val="2"/>
          </rPr>
          <t>Assumed to be age of 1 for a new facility.</t>
        </r>
      </text>
    </comment>
    <comment ref="F14" authorId="0" shapeId="0" xr:uid="{5CC7D6DA-0389-426B-863D-04C723486F2F}">
      <text>
        <r>
          <rPr>
            <b/>
            <sz val="9"/>
            <color indexed="81"/>
            <rFont val="Tahoma"/>
            <family val="2"/>
          </rPr>
          <t>Estimated facility age after proposed renovation.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 Clark</author>
  </authors>
  <commentList>
    <comment ref="H28" authorId="0" shapeId="0" xr:uid="{7AC615E5-9634-42BE-A684-676F5A5C8BC4}">
      <text>
        <r>
          <rPr>
            <b/>
            <sz val="9"/>
            <color indexed="81"/>
            <rFont val="Tahoma"/>
            <family val="2"/>
          </rPr>
          <t>Sam Clark:</t>
        </r>
        <r>
          <rPr>
            <sz val="9"/>
            <color indexed="81"/>
            <rFont val="Tahoma"/>
            <family val="2"/>
          </rPr>
          <t xml:space="preserve">
Dropped from current book.  Previous year carried forward.</t>
        </r>
      </text>
    </comment>
  </commentList>
</comments>
</file>

<file path=xl/sharedStrings.xml><?xml version="1.0" encoding="utf-8"?>
<sst xmlns="http://schemas.openxmlformats.org/spreadsheetml/2006/main" count="4261" uniqueCount="807">
  <si>
    <t>City</t>
  </si>
  <si>
    <t>Greensboro</t>
  </si>
  <si>
    <t>Winston-Salem</t>
  </si>
  <si>
    <t>Raleigh</t>
  </si>
  <si>
    <t>Rocky Mount</t>
  </si>
  <si>
    <t>Elizabeth City</t>
  </si>
  <si>
    <t>Gastonia</t>
  </si>
  <si>
    <t>Charlotte</t>
  </si>
  <si>
    <t>Fayetteville</t>
  </si>
  <si>
    <t>Wilmington</t>
  </si>
  <si>
    <t>Kinston</t>
  </si>
  <si>
    <t>Hickory</t>
  </si>
  <si>
    <t>Asheville</t>
  </si>
  <si>
    <t>Murphy</t>
  </si>
  <si>
    <t>Zip Factor</t>
  </si>
  <si>
    <t>Year</t>
  </si>
  <si>
    <t>Type (1-3)</t>
  </si>
  <si>
    <t>Nursing Days</t>
  </si>
  <si>
    <t>Location Factor</t>
  </si>
  <si>
    <t>Land Percentage</t>
  </si>
  <si>
    <t>ZIP Code</t>
  </si>
  <si>
    <t>Cost per Square Foot</t>
  </si>
  <si>
    <t>Durham</t>
  </si>
  <si>
    <t>Instructions for Use:</t>
  </si>
  <si>
    <t>North Carolina Nursing Facility Fair Rental Value</t>
  </si>
  <si>
    <t>Medicaid Rate Calculation</t>
  </si>
  <si>
    <t>FRV Daily Rate</t>
  </si>
  <si>
    <t>Provider Assessment</t>
  </si>
  <si>
    <t xml:space="preserve">     i.  CCRC - $0 per day </t>
  </si>
  <si>
    <t>North Carolina Nursing Facility</t>
  </si>
  <si>
    <t>Rate Calculation</t>
  </si>
  <si>
    <t>% of Rate to Case-Mix Adjust</t>
  </si>
  <si>
    <t>Medicaid Case-Mix Index</t>
  </si>
  <si>
    <t>Indirect Rate</t>
  </si>
  <si>
    <t>Provider Assessment Daily Rate***</t>
  </si>
  <si>
    <t>*** - The Provider Assessment daily rate is determined as follows:</t>
  </si>
  <si>
    <t>Fair Rental Value Daily Rate**</t>
  </si>
  <si>
    <t>a</t>
  </si>
  <si>
    <t>b</t>
  </si>
  <si>
    <t>c</t>
  </si>
  <si>
    <t>d</t>
  </si>
  <si>
    <t>e</t>
  </si>
  <si>
    <t>f</t>
  </si>
  <si>
    <t>g</t>
  </si>
  <si>
    <t>h</t>
  </si>
  <si>
    <t>i</t>
  </si>
  <si>
    <t xml:space="preserve">The North Carolina nursing facility Medicaid rate uses a Fair Rental Value (FRV) system of capital reimbursement.  Under the FRV system, facilities will receive individualized rates based on the characteristics of their buildings. </t>
  </si>
  <si>
    <t>Please direct any questions or comments on the use of this rate calculation spreadsheet to Sam Clark, NCHCFA Vice President of Finance, at samc@nchcfa.org.</t>
  </si>
  <si>
    <t>NPI</t>
  </si>
  <si>
    <t>Historical Cost Index</t>
  </si>
  <si>
    <t>Average</t>
  </si>
  <si>
    <t>Bed Value</t>
  </si>
  <si>
    <t>Actual Facility Data</t>
  </si>
  <si>
    <t>Current Facility Renovated to the Age of a New Building</t>
  </si>
  <si>
    <t>Replacement Building w/ 700 sq ft per bed</t>
  </si>
  <si>
    <t>User Defined Variables</t>
  </si>
  <si>
    <t>Facility NPI</t>
  </si>
  <si>
    <t>Nursing Beds</t>
  </si>
  <si>
    <t>BUILDING</t>
  </si>
  <si>
    <t>Sq Ft per Bed (b/c)</t>
  </si>
  <si>
    <t>Facility Age (imported from rate model)</t>
  </si>
  <si>
    <t>Sq Footage Floor (based on age)</t>
  </si>
  <si>
    <t>Calculation Sq Ft (max of f or (min of 700 or d))</t>
  </si>
  <si>
    <t>Location Factor (based on ZIP)</t>
  </si>
  <si>
    <t>Replacement Value (a*c*g*h)</t>
  </si>
  <si>
    <t xml:space="preserve">LAND  </t>
  </si>
  <si>
    <t>j</t>
  </si>
  <si>
    <t>k</t>
  </si>
  <si>
    <t>Land Value (i*j)</t>
  </si>
  <si>
    <t>EQUIPMENT</t>
  </si>
  <si>
    <t>l</t>
  </si>
  <si>
    <t>Equipment Allowance per Bed</t>
  </si>
  <si>
    <t>m</t>
  </si>
  <si>
    <t>Replacement Value (c*l)</t>
  </si>
  <si>
    <t>REPLACEMENT VALUE</t>
  </si>
  <si>
    <t>n</t>
  </si>
  <si>
    <t>Bldg/Equip Replacement Value (i+m)</t>
  </si>
  <si>
    <t>o</t>
  </si>
  <si>
    <t>Age</t>
  </si>
  <si>
    <t>p</t>
  </si>
  <si>
    <t>Depreciation per Year</t>
  </si>
  <si>
    <t>q</t>
  </si>
  <si>
    <t>Depreciation (n*o*p)</t>
  </si>
  <si>
    <t>r</t>
  </si>
  <si>
    <t>Depreciated Replacement Value (n-q)</t>
  </si>
  <si>
    <t>s</t>
  </si>
  <si>
    <t>Total Replacement Value+Land (k+r)</t>
  </si>
  <si>
    <t>RATE PER DAY</t>
  </si>
  <si>
    <t>t</t>
  </si>
  <si>
    <t>Rental Rate</t>
  </si>
  <si>
    <t>u</t>
  </si>
  <si>
    <t>Rental Amount (s*t)</t>
  </si>
  <si>
    <t>v</t>
  </si>
  <si>
    <t>w</t>
  </si>
  <si>
    <t>x</t>
  </si>
  <si>
    <t>y</t>
  </si>
  <si>
    <t>FRV Rate per Day (u/x)</t>
  </si>
  <si>
    <t>Estimated cost to renovate this facility to the age of a new facility:</t>
  </si>
  <si>
    <t>Estimated rate difference between current age and "new" facility age:</t>
  </si>
  <si>
    <t>Amount of proposed renovation:</t>
  </si>
  <si>
    <t>Estimated FRV rate after proposed renovation:</t>
  </si>
  <si>
    <t>Estimated rate difference between current age and renovated facility:</t>
  </si>
  <si>
    <t>R=A x (E/(S x C x AD))</t>
  </si>
  <si>
    <t>Assumptions</t>
  </si>
  <si>
    <r>
      <t xml:space="preserve">Age </t>
    </r>
    <r>
      <rPr>
        <b/>
        <sz val="11"/>
        <color theme="1"/>
        <rFont val="Calibri"/>
        <family val="2"/>
        <scheme val="minor"/>
      </rPr>
      <t>(A)</t>
    </r>
  </si>
  <si>
    <r>
      <t xml:space="preserve">Expenditure </t>
    </r>
    <r>
      <rPr>
        <b/>
        <sz val="11"/>
        <color theme="1"/>
        <rFont val="Calibri"/>
        <family val="2"/>
        <scheme val="minor"/>
      </rPr>
      <t>(E)</t>
    </r>
  </si>
  <si>
    <r>
      <t xml:space="preserve">Accumulated Depreciation Percent </t>
    </r>
    <r>
      <rPr>
        <b/>
        <sz val="11"/>
        <color theme="1"/>
        <rFont val="Calibri"/>
        <family val="2"/>
        <scheme val="minor"/>
      </rPr>
      <t>(AD)</t>
    </r>
  </si>
  <si>
    <t>Depreciation rate/year</t>
  </si>
  <si>
    <t>Proof</t>
  </si>
  <si>
    <t>Beds</t>
  </si>
  <si>
    <t>Acc Depr/Bed</t>
  </si>
  <si>
    <t>Cost</t>
  </si>
  <si>
    <t>New Bed Equivalent</t>
  </si>
  <si>
    <t>Old</t>
  </si>
  <si>
    <t>New</t>
  </si>
  <si>
    <t>Prior Age</t>
  </si>
  <si>
    <t>Difference</t>
  </si>
  <si>
    <t>Minimum Age (includes ages above this amount)</t>
  </si>
  <si>
    <t>Sq Ft Floor</t>
  </si>
  <si>
    <t>-----&gt;</t>
  </si>
  <si>
    <t>Abernethy Laurels</t>
  </si>
  <si>
    <t>Accordius Health at Aberdeen</t>
  </si>
  <si>
    <t>Accordius Health at Charlotte</t>
  </si>
  <si>
    <t>Accordius Health At Concord</t>
  </si>
  <si>
    <t>Accordius Health at Gatesville</t>
  </si>
  <si>
    <t>Accordius Health at Greensboro</t>
  </si>
  <si>
    <t>Accordius Health at Hendersonville</t>
  </si>
  <si>
    <t>Accordius Health at Midwood</t>
  </si>
  <si>
    <t>Accordius Health at Monroe</t>
  </si>
  <si>
    <t>Accordius Health at Mooresville</t>
  </si>
  <si>
    <t>Accordius Health at Rose Manor</t>
  </si>
  <si>
    <t>Accordius Health at Rutherfordton</t>
  </si>
  <si>
    <t>Accordius Health at Statesville</t>
  </si>
  <si>
    <t>ACCORDIUS HEALTH AT WILKESBORO</t>
  </si>
  <si>
    <t>ACCORDIUS HEALTH AT WILSON</t>
  </si>
  <si>
    <t>Alamance Health Care Center</t>
  </si>
  <si>
    <t>Alpine Health and Rehab</t>
  </si>
  <si>
    <t>Aston Park Health Care, Inc.</t>
  </si>
  <si>
    <t>Autumn Care Of Biscoe</t>
  </si>
  <si>
    <t>Autumn Care Of Drexel</t>
  </si>
  <si>
    <t>Autumn Care Of Marion</t>
  </si>
  <si>
    <t>Autumn Care Of Marshville</t>
  </si>
  <si>
    <t>Autumn Care Of Myrtle Grove</t>
  </si>
  <si>
    <t>Autumn Care Of Nash</t>
  </si>
  <si>
    <t>Autumn Care Of Raeford</t>
  </si>
  <si>
    <t>Autumn Care Of Salisbury</t>
  </si>
  <si>
    <t>Autumn Care Of Saluda</t>
  </si>
  <si>
    <t>Autumn Care Of Shallotte</t>
  </si>
  <si>
    <t>Autumn Care Of Statesville</t>
  </si>
  <si>
    <t>Autumn Care Of Waynesville</t>
  </si>
  <si>
    <t>Bayview Nursing &amp; Rehabilitation Center</t>
  </si>
  <si>
    <t>Belaire Health Care Center</t>
  </si>
  <si>
    <t>Bermuda Commons</t>
  </si>
  <si>
    <t>Bethesda Health Care Facility</t>
  </si>
  <si>
    <t>Big Elm Retirement And Nursing Ctr, Inc</t>
  </si>
  <si>
    <t>Brantwood Nursing &amp; Retirement Center</t>
  </si>
  <si>
    <t>Brookridge Retirement Community</t>
  </si>
  <si>
    <t>Brunswick Cove Nursing Center</t>
  </si>
  <si>
    <t>Cardinal Healthcare &amp; Rehab Center</t>
  </si>
  <si>
    <t>Carolina Pines at Greensboro</t>
  </si>
  <si>
    <t>Carolina Rehab Center Of Burke</t>
  </si>
  <si>
    <t>Carver Living Center</t>
  </si>
  <si>
    <t>Cary Health &amp; Rehab Center</t>
  </si>
  <si>
    <t>Central Continuing Care</t>
  </si>
  <si>
    <t>Charlotte Health &amp; Rehab Center</t>
  </si>
  <si>
    <t>Clay County Care Center</t>
  </si>
  <si>
    <t>Clear Creek Nursing &amp; Rehabilitation Center</t>
  </si>
  <si>
    <t>Cleveland Pines</t>
  </si>
  <si>
    <t>College Pines Rehabilitation and Skilled Nursing Facility</t>
  </si>
  <si>
    <t xml:space="preserve">Compass Healthcare and Rehab Guilford </t>
  </si>
  <si>
    <t>COMPASS HEALTHCARE AND REHAB HAWFIE</t>
  </si>
  <si>
    <t>Compass Healthcare and Rehab Rowan</t>
  </si>
  <si>
    <t>Conover Nursing &amp; Rehab Center</t>
  </si>
  <si>
    <t>Courtland Terrace</t>
  </si>
  <si>
    <t>Croasdaile Village</t>
  </si>
  <si>
    <t>Cross Creek Health Care</t>
  </si>
  <si>
    <t>Crystal Bluffs Rehabilitation &amp; Health Care Center</t>
  </si>
  <si>
    <t>Currituck Health &amp; Rehab Center</t>
  </si>
  <si>
    <t>Cypress Pointe Rehabilitation Center</t>
  </si>
  <si>
    <t>Davie Nursing &amp; Rehabilitation Center</t>
  </si>
  <si>
    <t>Davis Health Care Center</t>
  </si>
  <si>
    <t>Deer Park Health &amp; Rehabilitation</t>
  </si>
  <si>
    <t xml:space="preserve">Eckerd Living Center </t>
  </si>
  <si>
    <t>Edgewood Place At The Village-Brookwood</t>
  </si>
  <si>
    <t>Elderberry Health Care</t>
  </si>
  <si>
    <t>Emerald Health &amp; Rehab Center</t>
  </si>
  <si>
    <t>Emerald Ridge Rehab &amp; Care Center</t>
  </si>
  <si>
    <t>Fair Haven Home, Inc.</t>
  </si>
  <si>
    <t>Flesher'S Fairview Healthcare Center</t>
  </si>
  <si>
    <t>Forrest Oakes Healthcare Center</t>
  </si>
  <si>
    <t>Fountains At The Albemarle</t>
  </si>
  <si>
    <t>Friends Homes - Guilford</t>
  </si>
  <si>
    <t>Friends Homes - West</t>
  </si>
  <si>
    <t>Givens Health Center</t>
  </si>
  <si>
    <t xml:space="preserve">Givens Highland Farms </t>
  </si>
  <si>
    <t>Glenaire, Inc.</t>
  </si>
  <si>
    <t>Glenbridge Health And Rehabilitation</t>
  </si>
  <si>
    <t>Glenflora</t>
  </si>
  <si>
    <t xml:space="preserve">Grace Heights Rehabilitation and Skilled Nursing Facility </t>
  </si>
  <si>
    <t>Graybrier Nursing And Retirement Center</t>
  </si>
  <si>
    <t>Guilford Health Care Center</t>
  </si>
  <si>
    <t>Haymount Rehab &amp; Nursing Center</t>
  </si>
  <si>
    <t>Heartland Living &amp; Rehab @ The Moses H Cone Mem</t>
  </si>
  <si>
    <t>Hillcrest Convalescent Center, Inc.</t>
  </si>
  <si>
    <t>Hillside Nursing Center</t>
  </si>
  <si>
    <t>Hugh Chatham Memorial Hospital</t>
  </si>
  <si>
    <t>Hunter Woods Nursing And Rehab Center</t>
  </si>
  <si>
    <t>Huntersville Health &amp; Rehab</t>
  </si>
  <si>
    <t>Huntersville Oaks</t>
  </si>
  <si>
    <t>Iredell Memorial Hospital, Incorporated</t>
  </si>
  <si>
    <t>Jesse Helms Nursing Center</t>
  </si>
  <si>
    <t>Kindred Hospital-Greensboro</t>
  </si>
  <si>
    <t>Lake Park Nursing And Rehab Center</t>
  </si>
  <si>
    <t>Lenoir Healthcare Center</t>
  </si>
  <si>
    <t>Lexington Health Care Center</t>
  </si>
  <si>
    <t>Liberty Commons N&amp;R Ctr Of Columbus Cty</t>
  </si>
  <si>
    <t>Liberty Commons N&amp;R Ctr. Of Halifax Cty</t>
  </si>
  <si>
    <t>Liberty Commons N&amp;R Ctr. Of Johnston Cty</t>
  </si>
  <si>
    <t>Liberty Commons N&amp;R Ctr. Of Lee County</t>
  </si>
  <si>
    <t>Liberty Commons N&amp;R Ctr. Of Rowan County</t>
  </si>
  <si>
    <t>Liberty Commons Nursing &amp; Rehab Center of Alamance Cty</t>
  </si>
  <si>
    <t>Liberty Commons Nursing &amp; Rehab Center of Southport</t>
  </si>
  <si>
    <t>Liberty Commons Nursing &amp; Rehab Center of Watauga County</t>
  </si>
  <si>
    <t>Liberty Commons Nursing &amp; Rehab Ctr of Person Cty</t>
  </si>
  <si>
    <t>Liberty Commons Nursing And Rehab Center Of Bladen County</t>
  </si>
  <si>
    <t>Liberty Commons Nursing And Rehab Center Of Franklin County</t>
  </si>
  <si>
    <t>Liberty Commons Nursing And Rehab Center Of Moore County</t>
  </si>
  <si>
    <t>Liberty Commons Rehabilitation Center</t>
  </si>
  <si>
    <t>Life Care Center Of Banner Elk</t>
  </si>
  <si>
    <t>Life Care Center Of Hendersonville</t>
  </si>
  <si>
    <t>Lincolnton Rehabilitation Center</t>
  </si>
  <si>
    <t>Litchford Falls Healthcare &amp; Rehab</t>
  </si>
  <si>
    <t>Lutheran Home At Trinity Oaks, Inc.</t>
  </si>
  <si>
    <t>Mary Gran Nursing Center</t>
  </si>
  <si>
    <t>Maryfield Nursing Home</t>
  </si>
  <si>
    <t>Mountain Ridge Wellness Center</t>
  </si>
  <si>
    <t>Mountain View Manor</t>
  </si>
  <si>
    <t>Mountain Vista Health Park</t>
  </si>
  <si>
    <t>Northern Hospital Of Surry County-Ltc</t>
  </si>
  <si>
    <t>Oak Grove Health Care Center</t>
  </si>
  <si>
    <t>Our Community Hospital-Ltc</t>
  </si>
  <si>
    <t>Peak Resources - Brookshire</t>
  </si>
  <si>
    <t>Peak Resources - Charlotte</t>
  </si>
  <si>
    <t>Peak Resources - Cherryville</t>
  </si>
  <si>
    <t>Peak Resources - Gastonia</t>
  </si>
  <si>
    <t>Peak Resources - Pinelake</t>
  </si>
  <si>
    <t>Peak Resources - Shelby</t>
  </si>
  <si>
    <t>Peak Resources Alamance</t>
  </si>
  <si>
    <t>Peak Resources Outer Banks</t>
  </si>
  <si>
    <t>Peak Resources-Wilmington</t>
  </si>
  <si>
    <t>Pelican Health at Asheville</t>
  </si>
  <si>
    <t xml:space="preserve">Pelican Health at Charlotte </t>
  </si>
  <si>
    <t>Pelican Health Henderson</t>
  </si>
  <si>
    <t>Pelican Health Randolph</t>
  </si>
  <si>
    <t>Pelican Health Reidsville</t>
  </si>
  <si>
    <t>Pelican Health Thomasville</t>
  </si>
  <si>
    <t>Pender Memorial Hospital Snf</t>
  </si>
  <si>
    <t>Penick Village</t>
  </si>
  <si>
    <t>Penn Nursing Center</t>
  </si>
  <si>
    <t>Pettigrew Rehabilitation Center</t>
  </si>
  <si>
    <t>Piedmont Crossing</t>
  </si>
  <si>
    <t>Pineville Rehab &amp; Living Center</t>
  </si>
  <si>
    <t>Pisgah Manor, Inc.</t>
  </si>
  <si>
    <t>Prodigy Transitional Rehab</t>
  </si>
  <si>
    <t>Raleigh Rehabilitation Center</t>
  </si>
  <si>
    <t>Rex Rehab &amp; Nursing Center of Apex</t>
  </si>
  <si>
    <t>Rex Rehab &amp; Nursing Center of Raleigh</t>
  </si>
  <si>
    <t>Ridgewood Living &amp; Rehabilitation Center</t>
  </si>
  <si>
    <t>River Landing At Sandy Ridge</t>
  </si>
  <si>
    <t>Rocky Mount Rehabilitation Center</t>
  </si>
  <si>
    <t>Salemtowne</t>
  </si>
  <si>
    <t>Sanford Health And Rehabilitation</t>
  </si>
  <si>
    <t>Sardis Oaks</t>
  </si>
  <si>
    <t>Saturn Nursing And Rehabilitation</t>
  </si>
  <si>
    <t>Scotia Village</t>
  </si>
  <si>
    <t>Shaire Nursing Center</t>
  </si>
  <si>
    <t>Shoreland Healthcare</t>
  </si>
  <si>
    <t>Silas Creek Rehabilitation Center</t>
  </si>
  <si>
    <t>Silver Bluff, Inc.</t>
  </si>
  <si>
    <t>Skyland Care Center</t>
  </si>
  <si>
    <t>Smoky Ridge Health &amp; Rehabilitation</t>
  </si>
  <si>
    <t>Southwood Nursing &amp; Retirement Center</t>
  </si>
  <si>
    <t>St Joseph Of The Pines</t>
  </si>
  <si>
    <t>Stanley Total Living Center</t>
  </si>
  <si>
    <t>Stanly Manor,Inc.</t>
  </si>
  <si>
    <t>Stokes County Nursing Home</t>
  </si>
  <si>
    <t>Sunnybrook Rehabilitation Center</t>
  </si>
  <si>
    <t>The Carrolton of Plymouth</t>
  </si>
  <si>
    <t>THE CITADEL AT MOORESVILLE</t>
  </si>
  <si>
    <t>The Citadel at Myers Park</t>
  </si>
  <si>
    <t>THE CITADEL AT SALISBURY</t>
  </si>
  <si>
    <t>The Citadel at Winston Salem</t>
  </si>
  <si>
    <t>The Ivy at Gastonia</t>
  </si>
  <si>
    <t>The Laurels Of Chatham</t>
  </si>
  <si>
    <t>The Laurels Of Forest Glenn</t>
  </si>
  <si>
    <t>The Laurels Of Greentree Ridge</t>
  </si>
  <si>
    <t>The Laurels Of Hendersonville</t>
  </si>
  <si>
    <t>The Laurels Of Salisbury</t>
  </si>
  <si>
    <t>The Laurels Of Summit Ridge</t>
  </si>
  <si>
    <t>The Lodge at Rocky Mount</t>
  </si>
  <si>
    <t>The Oaks At Sweeten Creek</t>
  </si>
  <si>
    <t>The Oaks-Brevard</t>
  </si>
  <si>
    <t>The Shannon Gray Rehab &amp; Recovery Center</t>
  </si>
  <si>
    <t>Three Rivers Health And Rehab Center</t>
  </si>
  <si>
    <t>Ths Of Kannapolis</t>
  </si>
  <si>
    <t>Trent Village Nursing Home</t>
  </si>
  <si>
    <t>Treyburn Rehabilitation Center</t>
  </si>
  <si>
    <t>Trinity Elms</t>
  </si>
  <si>
    <t>Trinity Glen</t>
  </si>
  <si>
    <t>Trinity Grove</t>
  </si>
  <si>
    <t>Trinity Place</t>
  </si>
  <si>
    <t>Trinity Ridge</t>
  </si>
  <si>
    <t>Trinity Village</t>
  </si>
  <si>
    <t>Twin Lakes Community</t>
  </si>
  <si>
    <t>UNC Rockingham Rehabilitation &amp; Nursing Care Center</t>
  </si>
  <si>
    <t>Universal Health Care Greenville</t>
  </si>
  <si>
    <t>Universal Health Care Lillington</t>
  </si>
  <si>
    <t>Universal Health Care Oxford</t>
  </si>
  <si>
    <t>Universal Healthcare - Blumenthal</t>
  </si>
  <si>
    <t>Universal Healthcare - King</t>
  </si>
  <si>
    <t>Universal Healthcare - North Raleigh</t>
  </si>
  <si>
    <t>Universal Healthcare / Brunswick Inc.</t>
  </si>
  <si>
    <t>Universal Healthcare And Rehabilitation</t>
  </si>
  <si>
    <t>Universal Healthcare/Fuquay-Varina</t>
  </si>
  <si>
    <t>Valley Nursing Center</t>
  </si>
  <si>
    <t>Valley View Care &amp; Rehab Center</t>
  </si>
  <si>
    <t>Vero Health &amp; Rehab of Sylva</t>
  </si>
  <si>
    <t>Village Care Of King</t>
  </si>
  <si>
    <t>Wadesboro Health &amp; Rehab Center</t>
  </si>
  <si>
    <t>Walnut Cove Healthcare Center</t>
  </si>
  <si>
    <t>Warren Hills Nursing Center</t>
  </si>
  <si>
    <t>Wesley Pines</t>
  </si>
  <si>
    <t>Westchester Manor At Providence Place</t>
  </si>
  <si>
    <t>Westwood Health &amp; Rehab Center</t>
  </si>
  <si>
    <t>Whispering Pines Nursing Home</t>
  </si>
  <si>
    <t>White Oak Manor Burlington Inc</t>
  </si>
  <si>
    <t>White Oak Manor Charlotte Inc</t>
  </si>
  <si>
    <t>White Oak Manor Kings Mountain Inc</t>
  </si>
  <si>
    <t>White Oak Manor Shelby Inc</t>
  </si>
  <si>
    <t>White Oak Manor Tryon Inc</t>
  </si>
  <si>
    <t>Wilkesboro Health &amp; Rehab</t>
  </si>
  <si>
    <t>Willow Ridge Of North Carolina, Llc</t>
  </si>
  <si>
    <t>Willowbrook Healthcare Center</t>
  </si>
  <si>
    <t>Wilora Lake Healthcare Center</t>
  </si>
  <si>
    <t>Woodbury Wellness Center</t>
  </si>
  <si>
    <t>Woodlands Nursing &amp; Rehabilitation Center</t>
  </si>
  <si>
    <t>Yadkin Nursing Care Center, Inc.</t>
  </si>
  <si>
    <t>Zebulon Rehabilitation Center</t>
  </si>
  <si>
    <t>Premier Living And Rehab Center</t>
  </si>
  <si>
    <t>% of Neutralized Direct_CMI to Total</t>
  </si>
  <si>
    <t>Sq Ft per Bed</t>
  </si>
  <si>
    <t/>
  </si>
  <si>
    <t>Total Square Feet</t>
  </si>
  <si>
    <t>Total nursing sq ft per bed</t>
  </si>
  <si>
    <t>Enter the facility NPI</t>
  </si>
  <si>
    <t>Hypothetical Medicaid CMI*</t>
  </si>
  <si>
    <t>Difference between Hypothetical Model and Normal Rate Model</t>
  </si>
  <si>
    <t>HYPOTHETICAL RATE CALCULATION</t>
  </si>
  <si>
    <t>Note - This calculation reflects the hypothetical Medicaid case-mix that was entered in addition to any FRV changes made on the "FRV Rate Calculation" tab.</t>
  </si>
  <si>
    <t>(optional)</t>
  </si>
  <si>
    <t>For convenience, the official state rate file has been included in one of the tabs of this file.</t>
  </si>
  <si>
    <t>Only cells that are shaded can be safely modified.  Editing of any others cells is done so at the risk of the user.  Although some worksheets may be protected, this protection can be removed without a password.</t>
  </si>
  <si>
    <t>FRV Rate Calculation tab</t>
  </si>
  <si>
    <t>The figures on this tab that are in bold and italics are imported from the Medicaid rate model data based on the NPI that was entered on the Rate Calculation tab.</t>
  </si>
  <si>
    <r>
      <rPr>
        <b/>
        <sz val="10"/>
        <rFont val="Arial"/>
        <family val="2"/>
      </rPr>
      <t>Actual Facility Data:</t>
    </r>
    <r>
      <rPr>
        <sz val="10"/>
        <rFont val="Arial"/>
        <family val="2"/>
      </rPr>
      <t xml:space="preserve"> This column presents the calculation methodology from the Medicaid rate model.</t>
    </r>
  </si>
  <si>
    <r>
      <rPr>
        <b/>
        <sz val="10"/>
        <rFont val="Arial"/>
        <family val="2"/>
      </rPr>
      <t>Current Facility Renovated to the Age of a New Building:</t>
    </r>
    <r>
      <rPr>
        <sz val="10"/>
        <rFont val="Arial"/>
        <family val="2"/>
      </rPr>
      <t xml:space="preserve"> This column shows the FRV calculation of this facility renovated to a "new" facility.</t>
    </r>
  </si>
  <si>
    <r>
      <rPr>
        <b/>
        <sz val="10"/>
        <rFont val="Arial"/>
        <family val="2"/>
      </rPr>
      <t xml:space="preserve">Replacement Building w/ 700 sq ft per bed: </t>
    </r>
    <r>
      <rPr>
        <sz val="10"/>
        <rFont val="Arial"/>
        <family val="2"/>
      </rPr>
      <t>This column shows the FRV calculation of this facility renovated to a "new" facility with 700 sq ft per bed.</t>
    </r>
  </si>
  <si>
    <t>Several columns of calculations are presented:</t>
  </si>
  <si>
    <t>Modification 1</t>
  </si>
  <si>
    <t>Modification 2</t>
  </si>
  <si>
    <t>Modification 3</t>
  </si>
  <si>
    <t>Modification 4</t>
  </si>
  <si>
    <t>Modification 5</t>
  </si>
  <si>
    <t>Modification 6</t>
  </si>
  <si>
    <t>add=1. Replacement=2, renov=3</t>
  </si>
  <si>
    <t>Facility</t>
  </si>
  <si>
    <t>Abbotts Creek Care And Rehabilition Center</t>
  </si>
  <si>
    <t>Accordius Health At Brevard</t>
  </si>
  <si>
    <t>Accordius Health At Clemmons</t>
  </si>
  <si>
    <t>Accordius Health At Creekside</t>
  </si>
  <si>
    <t>Accordius Health At Gastonia</t>
  </si>
  <si>
    <t>Accordius Health At Lexington</t>
  </si>
  <si>
    <t>Accordius Health At Salisbury</t>
  </si>
  <si>
    <t>Accordius Health At Scotland Manor</t>
  </si>
  <si>
    <t>Accordius Health At Wilmington</t>
  </si>
  <si>
    <t>Accordius Health At Winston-Salem</t>
  </si>
  <si>
    <t>Accordius Heath At Asheville</t>
  </si>
  <si>
    <t>Adams Farm And Living Rehab</t>
  </si>
  <si>
    <t>Anson Health And Rehabilitation, Llc</t>
  </si>
  <si>
    <t>Asbury Health And Rehabilitation Center</t>
  </si>
  <si>
    <t>Ashton Health And Rehabilitation</t>
  </si>
  <si>
    <t>Autumn Care Of Cornelius</t>
  </si>
  <si>
    <t>Autumn Care Of Fayetteville</t>
  </si>
  <si>
    <t>Ayden Court Nursing And Rehabilitation Center</t>
  </si>
  <si>
    <t>Azalea Health And Rehab Center</t>
  </si>
  <si>
    <t>Barbour Court Nursing And Rehabilitation Center</t>
  </si>
  <si>
    <t>Bellarose Nursing And Rehabilitation Center</t>
  </si>
  <si>
    <t>Bermuda Village Retirement Center</t>
  </si>
  <si>
    <t>Bethany Woods Nursing And Rehabilitation Center</t>
  </si>
  <si>
    <t>Bladen East Health And Rehabilitation Center</t>
  </si>
  <si>
    <t>Brunswick Health And Rehabilitation Center</t>
  </si>
  <si>
    <t>Camden Health And Rehabilitation</t>
  </si>
  <si>
    <t>Carolina Care Health And Rehabilitation</t>
  </si>
  <si>
    <t>Carolina Pines At Asheville</t>
  </si>
  <si>
    <t>Carolina Rehab Center of Cumberland</t>
  </si>
  <si>
    <t>Carolina Rivers Nursing And Rehabilitation Center</t>
  </si>
  <si>
    <t>Cherry Point Bay Nursing And Rehabilitation Center</t>
  </si>
  <si>
    <t>Chowan River Nursing And Rehabilitation Center</t>
  </si>
  <si>
    <t>Clapp'S Convalescent Nursing Home, Inc.</t>
  </si>
  <si>
    <t>Clapp'S Nursing Center, Inc.</t>
  </si>
  <si>
    <t>Cornerstone Nursing And Rehabilitation Center</t>
  </si>
  <si>
    <t>Croatan Ridge Nursing And Rehabilitation Center</t>
  </si>
  <si>
    <t>Cumberland Nursing And Rehabilitation Center</t>
  </si>
  <si>
    <t>Davis Health And Wellness Center At Cambridge Village</t>
  </si>
  <si>
    <t>Durham Nursing And Rehabilitation Center</t>
  </si>
  <si>
    <t>East Carolina Rehab And Wellness</t>
  </si>
  <si>
    <t>Edgecombe Health &amp; Rehab Ctr by Harborview</t>
  </si>
  <si>
    <t>Edwin Morgan Center/Scotland Mem Hosp</t>
  </si>
  <si>
    <t>Elizabeth City Health And Rehabilitation Center</t>
  </si>
  <si>
    <t>I</t>
  </si>
  <si>
    <t>Enfield Oaks Nursing And Rehabilitation Center</t>
  </si>
  <si>
    <t>Fair Haven At Forest City</t>
  </si>
  <si>
    <t>Franklin Oaks Nursing And Rehabilitation Center</t>
  </si>
  <si>
    <t>Gateway Rehabilitation And Healthcare</t>
  </si>
  <si>
    <t>Graham Healthcare And Rehabilitation Center</t>
  </si>
  <si>
    <t>Grantsbrook Nursing And Rehabilitation Center</t>
  </si>
  <si>
    <t>Greendale Forest Nursing And Rehabilitation Center</t>
  </si>
  <si>
    <t>Greenhaven Health And Rehabilitation Center</t>
  </si>
  <si>
    <t>Harborview Lumberton</t>
  </si>
  <si>
    <t xml:space="preserve">Harborview Rehabilitation And Healthcare </t>
  </si>
  <si>
    <t>Harmony Hall Nursing And Rehabilitation Center</t>
  </si>
  <si>
    <t>Harnett Woods Nursing And Rehabilitation Center</t>
  </si>
  <si>
    <t>Hendersonville Health And Rehabilitation</t>
  </si>
  <si>
    <t>Hickory Falls Health And Rehabilitation</t>
  </si>
  <si>
    <t>Highland House Rehabilitation And Healthcare</t>
  </si>
  <si>
    <t>Hunter Hills Nursing And Rehabilitation Center</t>
  </si>
  <si>
    <t>Jacob'S Creek Nursing And Rehabilitation Center</t>
  </si>
  <si>
    <t>Kerr Lake Nursing And Rehabilitation Center</t>
  </si>
  <si>
    <t>Lenoir Memorial Hospital-Nf</t>
  </si>
  <si>
    <t>D</t>
  </si>
  <si>
    <t>MacGregor Downs Health Center by Harborview</t>
  </si>
  <si>
    <t>Macon Valley Nursing And Rehabilitation Center</t>
  </si>
  <si>
    <t>Madison Manor Rehabilitation And Nursing Center</t>
  </si>
  <si>
    <t>Maggie Valley Nursing And Rehabilitation</t>
  </si>
  <si>
    <t>Magnolia Lane Nursing And Rehabilitation Center</t>
  </si>
  <si>
    <t>Maple Grove Health And Rehabilitation Center</t>
  </si>
  <si>
    <t xml:space="preserve">Mecklenburg Health And Rehabilitation Center </t>
  </si>
  <si>
    <t>Monroe Rehabilitation Center</t>
  </si>
  <si>
    <t>Mount Olive Care And Rehabilitation Center</t>
  </si>
  <si>
    <t xml:space="preserve">Murphy Rehabilitation And Nursing </t>
  </si>
  <si>
    <t>Northchase Nursing And Rehabilitation Center</t>
  </si>
  <si>
    <t>Northhampton Nursing And Rehabilitation Center</t>
  </si>
  <si>
    <t>Oak Forest Health And Rehabilitation</t>
  </si>
  <si>
    <t>Parkview Health And Rehabilitation</t>
  </si>
  <si>
    <t>Pembroke Care And Rehabilitation Center</t>
  </si>
  <si>
    <t>Pine Ridge Health And Rehabilitation Center</t>
  </si>
  <si>
    <t>Piney Grove Nursing And Rehabilitation Center</t>
  </si>
  <si>
    <t>Premier Nursing And Rehabilitation Center</t>
  </si>
  <si>
    <t>Pruitthealth-Carolina Point</t>
  </si>
  <si>
    <t>Pruitthealth-Durham Llc</t>
  </si>
  <si>
    <t>Pruitthealth-Elkin</t>
  </si>
  <si>
    <t>Pruitthealth-Farmville</t>
  </si>
  <si>
    <t>Pruitthealth-High Point</t>
  </si>
  <si>
    <t>Pruitthealth-Neuse</t>
  </si>
  <si>
    <t>Pruitthealth-Raleigh</t>
  </si>
  <si>
    <t>Pruitthealth-Rockingham</t>
  </si>
  <si>
    <t>Pruitthealth-Sealevel</t>
  </si>
  <si>
    <t>Pruitthealth-Town Center</t>
  </si>
  <si>
    <t>Pruitthealth-Trent</t>
  </si>
  <si>
    <t>Pruitthealth-Union Pointe</t>
  </si>
  <si>
    <t>Quail Haven Healthcare Center Of Pinehurst</t>
  </si>
  <si>
    <t>Rich Square Nursing And Rehabilitation</t>
  </si>
  <si>
    <t>Richmond Pines Heathcare And Rehabilitation Center</t>
  </si>
  <si>
    <t>River Trace Nursing And Rehabilitation Center</t>
  </si>
  <si>
    <t>Riverpoint Crest Nursing And Rehabilitation Center</t>
  </si>
  <si>
    <t>Roanoke River Nursing And Rehabilitation Center</t>
  </si>
  <si>
    <t xml:space="preserve">Royal Park Rehabilitation &amp; Health Center Of Matthews </t>
  </si>
  <si>
    <t>Sampson Regional Medical Center</t>
  </si>
  <si>
    <t>Scottish Pines Rehabilitation And Nursing Center</t>
  </si>
  <si>
    <t>Senior Citizen'S Home, Inc.</t>
  </si>
  <si>
    <t>Signature Healthcare Of Chapel Hill</t>
  </si>
  <si>
    <t>Signature Healthcare Of Kinston</t>
  </si>
  <si>
    <t>Signature Healthcare Of Roanoke Rapids</t>
  </si>
  <si>
    <t>Siler City Care And Rehabilitation Center</t>
  </si>
  <si>
    <t>Smithfield Manor Nursing And Rehab</t>
  </si>
  <si>
    <t>Smoky Mountain Health And Rehabilitation Center</t>
  </si>
  <si>
    <t>Snug Harbor</t>
  </si>
  <si>
    <t>Southport Nursing Center</t>
  </si>
  <si>
    <t>Springbrook Nursing And Rehabilitation Center</t>
  </si>
  <si>
    <t>Stone Creek Health And Rehabilitation</t>
  </si>
  <si>
    <t>Summerstone Health And Rehabilitation Center</t>
  </si>
  <si>
    <t>Surry Community Health Ctr of Harborview</t>
  </si>
  <si>
    <t>The Greens At Pinehurst Rehab &amp; Living Center</t>
  </si>
  <si>
    <t>The Laurels Of Pender</t>
  </si>
  <si>
    <t>The Lodge At Mills River</t>
  </si>
  <si>
    <t>The Oaks At Whitaker Glen-Mayview</t>
  </si>
  <si>
    <t>Tower Nursing And Rehabilitation Center</t>
  </si>
  <si>
    <t>Triad Care And Rehabilitation Center</t>
  </si>
  <si>
    <t>Tsali Care Center</t>
  </si>
  <si>
    <t>Twin Lakes Community Memory Care</t>
  </si>
  <si>
    <t>Universal Health Care - Nashville</t>
  </si>
  <si>
    <t>Universal Healthcare of Fletcher</t>
  </si>
  <si>
    <t>Universal Healthcare of Ramseur</t>
  </si>
  <si>
    <t>University Place Nursing And Rehabiliation Center</t>
  </si>
  <si>
    <t>Village Green Health And Rehabilitation</t>
  </si>
  <si>
    <t>Wake Med For Zebulon</t>
  </si>
  <si>
    <t>Wakemed Fuquay Varina</t>
  </si>
  <si>
    <t>Warsaw Health And Rehab</t>
  </si>
  <si>
    <t>Wellington Nursing And Rehab Center</t>
  </si>
  <si>
    <t>Westfield Rehabilitation And Health Center</t>
  </si>
  <si>
    <t>Westwood Hills Nursing And Rehabilitation Center</t>
  </si>
  <si>
    <t>White Oak Of Waxhaw</t>
  </si>
  <si>
    <t>Whitestone:  A Masonic And Eastern Star Community</t>
  </si>
  <si>
    <t>Willow Creek Nursing And Rehabilitation Center</t>
  </si>
  <si>
    <t>Wilson Pines Nursing And Rehabilitation Center</t>
  </si>
  <si>
    <t>Wilson Rehabilitation And Nursing Ctr</t>
  </si>
  <si>
    <t>Woodhaven Nursing &amp; Alzheimer'S Care Ctr</t>
  </si>
  <si>
    <t>Renovation 1</t>
  </si>
  <si>
    <t>Type of Submission</t>
  </si>
  <si>
    <t>Year of Renovation</t>
  </si>
  <si>
    <t>Cost/# of Beds</t>
  </si>
  <si>
    <t>Renovation 2</t>
  </si>
  <si>
    <t>Renovation 3</t>
  </si>
  <si>
    <t>Renovation 4</t>
  </si>
  <si>
    <t>Renovation 5</t>
  </si>
  <si>
    <t>Renovation 6</t>
  </si>
  <si>
    <t>Types of Submissions:</t>
  </si>
  <si>
    <t>1 - bed addition</t>
  </si>
  <si>
    <t>2 - bed replacement</t>
  </si>
  <si>
    <t>3 - renovation</t>
  </si>
  <si>
    <t>Rate Calculation tab</t>
  </si>
  <si>
    <t>This tab shows the calculation of the total rate, including COVID rate enhancements and the rate hold harmless comparison.</t>
  </si>
  <si>
    <t>FRV Instructions tab</t>
  </si>
  <si>
    <t>This tab providers instructions on the completion of the FRV Rate Calculation tab.</t>
  </si>
  <si>
    <t>This tab shows the calculation of the current FRV rates as well as several FRV calculations, including those for a new facility of the same square footage, a new facility with the maximum square footage, and one reflecting user input variables.</t>
  </si>
  <si>
    <t>Capital Data Survey Information</t>
  </si>
  <si>
    <t>New Age - post renovation</t>
  </si>
  <si>
    <t>Below are the Capital Data Survey items submitted for years 2016 and later.  This information comes from the Medicaid rate model.</t>
  </si>
  <si>
    <t>This tab shows the Capital Data Survey items submitted for 2016 and later that are included in the Medicaid rate model.</t>
  </si>
  <si>
    <t>NPIs of "new" facilities in the rate model.</t>
  </si>
  <si>
    <t>Average Direct Rate</t>
  </si>
  <si>
    <t xml:space="preserve">This value changes each quarter.  </t>
  </si>
  <si>
    <t>Average CMI</t>
  </si>
  <si>
    <t>This value is used to normalize the average direct rate.</t>
  </si>
  <si>
    <t>CMI Percentage</t>
  </si>
  <si>
    <t>New facilities have 65% of the ceiling adjusted.</t>
  </si>
  <si>
    <t>CMI Portion</t>
  </si>
  <si>
    <t>Non-CMI Portion</t>
  </si>
  <si>
    <t>Medicaid CMI</t>
  </si>
  <si>
    <t>&lt;------- Enter the facility Medicaid CMI here.</t>
  </si>
  <si>
    <t>Direct Rate</t>
  </si>
  <si>
    <t>Total Direct and Indirect Rate</t>
  </si>
  <si>
    <t>FRV Rate</t>
  </si>
  <si>
    <t>&lt;----FRV rate goes here</t>
  </si>
  <si>
    <t>&lt;----Provider Assessment goes here</t>
  </si>
  <si>
    <t>Total Rate</t>
  </si>
  <si>
    <t>NOTE - Due to differences in the rate calculations, this direct rate calculation may not be suitable for facilities considered by the state to be "waiver hospitals".</t>
  </si>
  <si>
    <t>Changes made in this column will be reflected below and in the Hypothetical Rate Calculation in the Rate Calculation tab.</t>
  </si>
  <si>
    <t>Accumulated Depreciation per Bed</t>
  </si>
  <si>
    <t>Revised Age</t>
  </si>
  <si>
    <t>Zip</t>
  </si>
  <si>
    <t>pt days</t>
  </si>
  <si>
    <t>annualized days</t>
  </si>
  <si>
    <t>beds</t>
  </si>
  <si>
    <t>Assessment Funded Rate Increase</t>
  </si>
  <si>
    <t>Medicaid Per Diem Rate (f+g+h+i+j)</t>
  </si>
  <si>
    <t>* - A hypothetical rate can be calculated by entering any Medicaid CMI value.</t>
  </si>
  <si>
    <t>** - The FRV rate is inserted in the calculation based on the information NPI entered above.  There may be a minor difference due to specific facility situations.  To estimate impact of future FRV projects, enter the information on the FRV Rate Calculation tab.  Prior to using the FRV Rate Calculation tab, please read the FRV Instructions tab.</t>
  </si>
  <si>
    <t xml:space="preserve">Calculation of the FRV rates can be complex.  This Excel spreadsheet is designed to assist providers in the calculation and understanding of their FRV rates with minimal input.  </t>
  </si>
  <si>
    <t>This spreadsheet uses the same rate calculation methodology as the rate model used by the Division of Health Benefits (DHB), however, there may be minor differences due to rounding.  There may also be differences due to rate increase restrictions for providers above the maximum FRV age.  Only DHB can provide official notification of facility rates.</t>
  </si>
  <si>
    <r>
      <rPr>
        <b/>
        <sz val="10"/>
        <rFont val="Arial"/>
        <family val="2"/>
      </rPr>
      <t>User Defined Variables:</t>
    </r>
    <r>
      <rPr>
        <sz val="10"/>
        <rFont val="Arial"/>
        <family val="2"/>
      </rPr>
      <t xml:space="preserve"> This column allows the user to enter a hytpothetical square footage total and/or hypothetical renovation cost.</t>
    </r>
  </si>
  <si>
    <t>Capped FRV Age</t>
  </si>
  <si>
    <t>Actual FRV Age</t>
  </si>
  <si>
    <t>Cost per sq ft</t>
  </si>
  <si>
    <t>Facility Name</t>
  </si>
  <si>
    <t>Clayton Rehab and Healthcare Center</t>
  </si>
  <si>
    <t xml:space="preserve">Eden Rehab and Healthcare Center </t>
  </si>
  <si>
    <t>Goldsboro Rehab and Healthcare Center</t>
  </si>
  <si>
    <t xml:space="preserve">Greens at Cabarrus </t>
  </si>
  <si>
    <t>Hertford Rehab and Healthcare Center</t>
  </si>
  <si>
    <t xml:space="preserve">The Greens at Gastonia </t>
  </si>
  <si>
    <t xml:space="preserve">The Greens at Hendersonville </t>
  </si>
  <si>
    <t xml:space="preserve">The Greens at Hickory </t>
  </si>
  <si>
    <t xml:space="preserve">The Greens at Lincolnton </t>
  </si>
  <si>
    <t xml:space="preserve">The Greens at Maple Leaf </t>
  </si>
  <si>
    <t xml:space="preserve">The Greens at Spruce Pines </t>
  </si>
  <si>
    <t xml:space="preserve">The Greens at Viewmont </t>
  </si>
  <si>
    <t xml:space="preserve">The Greens at Weaverville </t>
  </si>
  <si>
    <t>Wallace Rehab and Healthcare Center</t>
  </si>
  <si>
    <t>Wilson Healthcare and Rehab Center</t>
  </si>
  <si>
    <t>FIVE OAKS REHABILITATION AND CARE CENTER </t>
  </si>
  <si>
    <t>Hillcrest Raleigh At Crabtree Valley</t>
  </si>
  <si>
    <t>Liberty Commons Nursing and Rehab Center of The Oaks</t>
  </si>
  <si>
    <t xml:space="preserve">Liberty Commons Rehabilitation Center - Wake </t>
  </si>
  <si>
    <t>Margate Health &amp; Rehab</t>
  </si>
  <si>
    <t>Person Memorial Hospital</t>
  </si>
  <si>
    <t xml:space="preserve"> </t>
  </si>
  <si>
    <t>Modification 7</t>
  </si>
  <si>
    <t>Renovation 7</t>
  </si>
  <si>
    <t>Previous Year FRV</t>
  </si>
  <si>
    <t>Total Nursing sq ft (as reported)</t>
  </si>
  <si>
    <t>Nursing Square Feet (as reported)</t>
  </si>
  <si>
    <t xml:space="preserve">     ii.  42,000 or fewer total nursing days per year - $9.45 per day</t>
  </si>
  <si>
    <t xml:space="preserve">     iii.  More than 42,000 nursing days per year - $29.25 per day</t>
  </si>
  <si>
    <t>Budget Funded Rate Increase</t>
  </si>
  <si>
    <t>Division of Health Benefits</t>
  </si>
  <si>
    <t>SNF
Add-on</t>
  </si>
  <si>
    <t>Abbotts Creek Care and Rehabilition Center</t>
  </si>
  <si>
    <t>Accordius Health at Brevard</t>
  </si>
  <si>
    <t>Accordius Health at Clemmons</t>
  </si>
  <si>
    <t>Accordius Health at Creekside</t>
  </si>
  <si>
    <t>Accordius Health at Gastonia</t>
  </si>
  <si>
    <t>Accordius Health at Lexington</t>
  </si>
  <si>
    <t>ACCORDIUS HEALTH AT SALISBURY</t>
  </si>
  <si>
    <t>Accordius Health at Scotland Manor</t>
  </si>
  <si>
    <t>Accordius Health at Wilmington</t>
  </si>
  <si>
    <t>Accordius Health at Winston-Salem</t>
  </si>
  <si>
    <t>Accordius Heath at Asheville</t>
  </si>
  <si>
    <t>Adams Farm and Living Rehab</t>
  </si>
  <si>
    <t>Anson Health and Rehabilitation, LLC</t>
  </si>
  <si>
    <t>Asbury Health and Rehabilitation Center</t>
  </si>
  <si>
    <t>Ashton Health and Rehabilitation</t>
  </si>
  <si>
    <t>Autumn Care of Cornelius</t>
  </si>
  <si>
    <t>Autumn Care of Fayetteville</t>
  </si>
  <si>
    <t>Ayden Court Nursing and Rehabilitation Center</t>
  </si>
  <si>
    <t>Azalea Health and Rehab Center</t>
  </si>
  <si>
    <t>Barbour Court Nursing and Rehabilitation Center</t>
  </si>
  <si>
    <t>Bellarose Nursing and Rehabilitation Center</t>
  </si>
  <si>
    <t>Bethany Woods Nursing and Rehabilitation Center</t>
  </si>
  <si>
    <t>Bladen East Health and Rehabilitation Center</t>
  </si>
  <si>
    <t>Brunswick Health and Rehabilitation Center</t>
  </si>
  <si>
    <t>Camden Health and Rehabilitation</t>
  </si>
  <si>
    <t>Carolina Care Health and Rehabilitation</t>
  </si>
  <si>
    <t>Carolina Pines at Asheville</t>
  </si>
  <si>
    <t>Carolina Rivers Nursing and Rehabilitation Center</t>
  </si>
  <si>
    <t>Cherry Point Bay Nursing and Rehabilitation Center</t>
  </si>
  <si>
    <t>Chowan River Nursing and Rehabilitation Center</t>
  </si>
  <si>
    <t>Clapp's Convalescent Nursing Home, Inc.</t>
  </si>
  <si>
    <t>CLAPP'S NURSING CENTER, INC.</t>
  </si>
  <si>
    <t>Croatan Ridge Nursing and Rehabilitation Center</t>
  </si>
  <si>
    <t>DAVIDSON HEALTH &amp; REHAB CENTER LLC</t>
  </si>
  <si>
    <t>Davis Health and Wellness Center at Cambridge Village</t>
  </si>
  <si>
    <t>Durham Rehab Operations, LLC</t>
  </si>
  <si>
    <t>East Carolina Rehab and Wellness</t>
  </si>
  <si>
    <t>Elizabeth City Health and Rehabilitation Center</t>
  </si>
  <si>
    <t>Fair Haven at Forest City</t>
  </si>
  <si>
    <t>Franklin Oaks Nursing and Rehabilitation Center</t>
  </si>
  <si>
    <t>Gastonia Health &amp;Rehab Center, LLC</t>
  </si>
  <si>
    <t>Gateway Rehabilitation and Healthcare</t>
  </si>
  <si>
    <t>Graham Healthcare and Rehabilitation Center</t>
  </si>
  <si>
    <t>Grantsbrook Nursing and Rehabilitation Center</t>
  </si>
  <si>
    <t>Greendale Forest Nursing and Rehabilitation Center</t>
  </si>
  <si>
    <t>Greenhaven Health and Rehabilitation Center</t>
  </si>
  <si>
    <t>Harmony Hall Nursing and Rehabilitation Center</t>
  </si>
  <si>
    <t>Harnett Woods Nursing and Rehabilitation Center</t>
  </si>
  <si>
    <t>Hendersonville Health and Rehabilitation</t>
  </si>
  <si>
    <t>Hickory Falls Health and Rehabilitation</t>
  </si>
  <si>
    <t>Highland House Rehabilitation and Healthcare</t>
  </si>
  <si>
    <t xml:space="preserve">Hillcrest Raleigh at Crabtree Valley </t>
  </si>
  <si>
    <t>Jacob's Creek Nursing and Rehabilitation Center</t>
  </si>
  <si>
    <t>Kerr Lake Nursing and Rehabilitation Center</t>
  </si>
  <si>
    <t>Lakeside Health &amp; Rehab Center</t>
  </si>
  <si>
    <t>LIBERTY HEALTHCARE SERVICES OF GOLDEN YEARS NURSIN</t>
  </si>
  <si>
    <t>Lotus Village Center of Nursing and Rehabilitation</t>
  </si>
  <si>
    <t>Macon Valley Nursing and Rehabilitation Center</t>
  </si>
  <si>
    <t>Madison Manor Rehabilitation and Nursing Center</t>
  </si>
  <si>
    <t>Maggie Valley Nursing and Rehabilitation</t>
  </si>
  <si>
    <t>Magnolia Lane Nursing and Rehabilitation Center</t>
  </si>
  <si>
    <t>Maple Grove Health and Rehabilitation Center</t>
  </si>
  <si>
    <t>MATTHEWS HEALTH &amp; REHAB CENTER LLC</t>
  </si>
  <si>
    <t xml:space="preserve">Mecklenburg Health and Rehabilitation Center </t>
  </si>
  <si>
    <t>Monroe Rehabilitation center</t>
  </si>
  <si>
    <t>Mount Olive Care and Rehabilitation Center</t>
  </si>
  <si>
    <t xml:space="preserve">Murphy Rehabilitation and Nursing </t>
  </si>
  <si>
    <t>NorthChase Nursing and Rehabilitation Center</t>
  </si>
  <si>
    <t>Northhampton Nursing and Rehabilitation Center</t>
  </si>
  <si>
    <t>Oak Forest Health and Rehabilitation</t>
  </si>
  <si>
    <t>Parkview Health and Rehabilitation</t>
  </si>
  <si>
    <t>Pavillion Health Center at Brightmore</t>
  </si>
  <si>
    <t>Pembroke Care and Rehabilitation Center</t>
  </si>
  <si>
    <t xml:space="preserve">Person Memorial Hospital </t>
  </si>
  <si>
    <t>Pine Ridge Health and Rehabilitation Center</t>
  </si>
  <si>
    <t>Piney Grove Nursing and Rehabilitation Center</t>
  </si>
  <si>
    <t>Premier Nursing and Rehabilitation Center</t>
  </si>
  <si>
    <t>PruittHealth-Carolina Point</t>
  </si>
  <si>
    <t>PruittHealth-Durham LLC</t>
  </si>
  <si>
    <t>PruittHealth-Elkin</t>
  </si>
  <si>
    <t>PruittHealth-Farmville</t>
  </si>
  <si>
    <t>PruittHealth-Neuse</t>
  </si>
  <si>
    <t>PruittHealth-Raleigh</t>
  </si>
  <si>
    <t>PruittHealth-Rockingham</t>
  </si>
  <si>
    <t>PruittHealth-SeaLevel</t>
  </si>
  <si>
    <t>PruittHealth-Town Center</t>
  </si>
  <si>
    <t>PruittHealth-Trent</t>
  </si>
  <si>
    <t>PruittHealth-Union Pointe</t>
  </si>
  <si>
    <t>Quail Haven Healthcare Center of Pinehurst</t>
  </si>
  <si>
    <t>Rich Square Nursing and Rehabilitation</t>
  </si>
  <si>
    <t>Richmond Pines Heathcare and Rehabilitation Center</t>
  </si>
  <si>
    <t>River Trace Nursing and Rehabilitation Center</t>
  </si>
  <si>
    <t>Riverpoint Crest Nursing and Rehabilitation Center</t>
  </si>
  <si>
    <t xml:space="preserve">Royal Park Rehabilitation &amp; Health Center of Matthews </t>
  </si>
  <si>
    <t>Scottish Pines Rehabilitation and Nursing Center</t>
  </si>
  <si>
    <t>Senior Citizen's Home, Inc.</t>
  </si>
  <si>
    <t>Signature HealthCARE of Chapel Hill</t>
  </si>
  <si>
    <t>Signature HealthCARE of Kinston</t>
  </si>
  <si>
    <t>Signature HealthCARE of Roanoke Rapids</t>
  </si>
  <si>
    <t>Siler City Care and Rehabilitation Center</t>
  </si>
  <si>
    <t xml:space="preserve">Skyland Terrace and Rehabilitation </t>
  </si>
  <si>
    <t>Smithfield Manor Nursing and Rehab</t>
  </si>
  <si>
    <t>Smoky Mountain Health and Rehabilitation Center</t>
  </si>
  <si>
    <t>Springbrook Nursing and Rehabilitation Center</t>
  </si>
  <si>
    <t>Stone Creek Health and Rehabilitation</t>
  </si>
  <si>
    <t>Summerstone Health and Rehabilitation Center</t>
  </si>
  <si>
    <t>The Carrolton of Dunn</t>
  </si>
  <si>
    <t>The Carrolton of Fayetteville</t>
  </si>
  <si>
    <t>The Carrolton of Lumberton</t>
  </si>
  <si>
    <t>The Carrolton of Nash</t>
  </si>
  <si>
    <t>The Carrolton of Williamston</t>
  </si>
  <si>
    <t>The Greens at Pinehurst Rehab &amp; Living Center</t>
  </si>
  <si>
    <t>The Laurels of Pender</t>
  </si>
  <si>
    <t>The Lodge at Mills River</t>
  </si>
  <si>
    <t>The Margate Health &amp; Rehab Center</t>
  </si>
  <si>
    <t>Tower Nursing and Rehabilitation Center</t>
  </si>
  <si>
    <t>Transylvania Regional Hospital Inc</t>
  </si>
  <si>
    <t>Triad Care and Rehabilitation Center</t>
  </si>
  <si>
    <t>Universal Healthcare Of Fletcher</t>
  </si>
  <si>
    <t>Universal Healthcare Of Ramseur</t>
  </si>
  <si>
    <t>University Place Nursing and Rehabiliation Center</t>
  </si>
  <si>
    <t>VALLEY HILL HEALTH &amp; REHAB CENTER</t>
  </si>
  <si>
    <t>Village Green Health and Rehabilitation</t>
  </si>
  <si>
    <t>Warsaw Health and Rehab</t>
  </si>
  <si>
    <t>Wellington Nursing and Rehab Center</t>
  </si>
  <si>
    <t>Westfield Rehabilitation and Health Center</t>
  </si>
  <si>
    <t>Westwood Hills Nursing and Rehabilitation Center</t>
  </si>
  <si>
    <t>White Oak of Waxhaw</t>
  </si>
  <si>
    <t>WhiteStone:  A Masonic and Eastern Star Community</t>
  </si>
  <si>
    <t>Wilkes Regional Medical Center</t>
  </si>
  <si>
    <t>Willow Creek Nursing and Rehabilitation Center</t>
  </si>
  <si>
    <t>Wilson Pines Nursing and Rehabilitation Center</t>
  </si>
  <si>
    <t>Wilson Rehabilitation and Nursing Ctr</t>
  </si>
  <si>
    <t>Woodhaven Nursing &amp; Alzheimer's Care Ctr</t>
  </si>
  <si>
    <t>Yanceyville Rehab and Healthcare Center</t>
  </si>
  <si>
    <t>IHS Skilled Nursing Facility</t>
  </si>
  <si>
    <t>07/01/2023 Final Rate</t>
  </si>
  <si>
    <t>CMI</t>
  </si>
  <si>
    <t xml:space="preserve"> Indirect</t>
  </si>
  <si>
    <t xml:space="preserve"> Direct</t>
  </si>
  <si>
    <t xml:space="preserve">
FRV</t>
  </si>
  <si>
    <t xml:space="preserve"> Assessment</t>
  </si>
  <si>
    <t>COVID-19
Add-on</t>
  </si>
  <si>
    <t>04/01/2023 FINAL RATE</t>
  </si>
  <si>
    <t>Cherokee Indian Hospital Authority</t>
  </si>
  <si>
    <t>NA</t>
  </si>
  <si>
    <t xml:space="preserve">  The patient days used are from the 2021 cost report.  </t>
  </si>
  <si>
    <t>Note - An interim rate increase of $27.28 had been included in the rates as of July 1, 2023.  This was replaced by a permanent increase of $37.74 in the state budget and was adjusted retroactively to July 1, 2023.</t>
  </si>
  <si>
    <t>Medicaid Rate (k+l)</t>
  </si>
  <si>
    <t>Hypothetical Rate</t>
  </si>
  <si>
    <t>**** - The direct rate calculation is different for "new" facilities.  A "new" facility is one that did not file a 2005 Medicaid cost report.  In addition, this calculation is not accurate for facilities considered by the state to be "waiver hospitals".  Some facilities will not be available due to recent changes of ownership.</t>
  </si>
  <si>
    <t>Windsor Rehab and Healthcare Center</t>
  </si>
  <si>
    <t>PIEDMONT HEALTH &amp; REHAB CENTER</t>
  </si>
  <si>
    <t>Presbyterian Orthopaedic Hospital</t>
  </si>
  <si>
    <t>Number of beds after addition or removal of beds</t>
  </si>
  <si>
    <t>4/1/24-3/31/25</t>
  </si>
  <si>
    <t>Calculation Days (max of v or w)</t>
  </si>
  <si>
    <t>----&gt;</t>
  </si>
  <si>
    <t>For reduced beds, the nursing days are the lessor of the actual days or 100% occupancy at the new bed count.</t>
  </si>
  <si>
    <t>100% Occupancy at new bed figure</t>
  </si>
  <si>
    <t>2023 Historical Cost Index from Rate Model</t>
  </si>
  <si>
    <r>
      <t xml:space="preserve">This spreadsheet allows the user to calculate nursing facility Medicaid rates according to the rate changes effective April 1, 2024.  Since July 1st, these rates include a permanent $37.74 rate increase that replaced the initial $27.28 interim rate increase that was initially implemented on July 1, 2023.  These rates use the Medicaid case-mix index for the quarter ending December 31, 2023.  </t>
    </r>
    <r>
      <rPr>
        <b/>
        <sz val="10"/>
        <rFont val="Arial"/>
        <family val="2"/>
      </rPr>
      <t>In order to use these worksheets, simply supply the requested information in the corresponding shaded cells.</t>
    </r>
  </si>
  <si>
    <t>4/1/24 to 6/30/24</t>
  </si>
  <si>
    <t>December 31, 2023 Final Medicaid CMI</t>
  </si>
  <si>
    <t>North Carolina Department of Health and Human Services</t>
  </si>
  <si>
    <t>Skilled Nursing Facility</t>
  </si>
  <si>
    <t>Medicaid Long-Term Care Rates</t>
  </si>
  <si>
    <t>Taxonomy:  314000000X</t>
  </si>
  <si>
    <t>Effective: April 1, 2024 through June 30, 2024</t>
  </si>
  <si>
    <t>* Effective July 1, 2021, this posting constitutes official publication of the rates for each provider in lieu of individual facility rate letters. *</t>
  </si>
  <si>
    <t xml:space="preserve">01/01/2024 Final Rate
</t>
  </si>
  <si>
    <t>4/1/2024 CMI</t>
  </si>
  <si>
    <t>4/1/2024 Indirect</t>
  </si>
  <si>
    <t>4/1/2024 Direct</t>
  </si>
  <si>
    <t>4/1/2024
FRV</t>
  </si>
  <si>
    <t>4/1/2024 Assessment</t>
  </si>
  <si>
    <r>
      <t xml:space="preserve">FINAL RATE
</t>
    </r>
    <r>
      <rPr>
        <b/>
        <sz val="10"/>
        <color rgb="FFFF0000"/>
        <rFont val="Arial"/>
        <family val="2"/>
      </rPr>
      <t>4/1/2024</t>
    </r>
  </si>
  <si>
    <t>Davidson Health &amp; Rehab Center LLC</t>
  </si>
  <si>
    <t>1124778311</t>
  </si>
  <si>
    <t>Macgregor Downs Health Center By Harborview</t>
  </si>
  <si>
    <t>Valley Hill Health &amp; Rehab Center</t>
  </si>
  <si>
    <t>1730839929</t>
  </si>
  <si>
    <t>1831849025</t>
  </si>
  <si>
    <t>SOUTHPOINT REHABILITATION AND HEALTHCARE CENTER</t>
  </si>
  <si>
    <t>Liberty Healthcare Services Of Golden Years Nursing</t>
  </si>
  <si>
    <t>Laurel Park Rehab and Health</t>
  </si>
  <si>
    <t>Kenansville Health &amp; Rehab Center</t>
  </si>
  <si>
    <t>RIVER BEND HEALTH AND REHABILITATION</t>
  </si>
  <si>
    <t>Asheboro Rehab and Health</t>
  </si>
  <si>
    <t>1669122859</t>
  </si>
  <si>
    <t>Kenansville Rehabilitation And Healthcare</t>
  </si>
  <si>
    <t>LIBERTY COMMONS NSG &amp; REHAB CTR OF BALLANTYNE</t>
  </si>
  <si>
    <t>NOVANT HEALTH PRESBYTERIAN MEDICAL CENTER - SNU</t>
  </si>
  <si>
    <t>Modification 8</t>
  </si>
  <si>
    <t>Renovation 8</t>
  </si>
  <si>
    <t>12/31/23 Final Medicaid CMI</t>
  </si>
  <si>
    <t>Minimum Days (c*366*.85)</t>
  </si>
  <si>
    <t>fee sched</t>
  </si>
  <si>
    <t>April 2024 Fee Schedule</t>
  </si>
  <si>
    <t>This tab shows the April 2024 nursing facility Medicaid rate schedule prepared by NC Medicaid published as of April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</si>
</sst>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_(* #,##0.0_);_(* \(#,##0.0\);_(* &quot;-&quot;??_);_(@_)"/>
    <numFmt numFmtId="167" formatCode="0.000"/>
    <numFmt numFmtId="168" formatCode="0.0%"/>
    <numFmt numFmtId="169" formatCode="_(&quot;$&quot;* #,##0_);_(&quot;$&quot;* \(#,##0\);_(&quot;$&quot;* &quot;-&quot;??_);_(@_)"/>
    <numFmt numFmtId="170" formatCode="_(* #,##0.0000_);_(* \(#,##0.0000\);_(* &quot;-&quot;??_);_(@_)"/>
    <numFmt numFmtId="171" formatCode="_(* #,##0.0000000_);_(* \(#,##0.0000000\);_(* &quot;-&quot;??_);_(@_)"/>
    <numFmt numFmtId="172" formatCode="&quot;$&quot;#,##0.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color indexed="8"/>
      <name val="Arial"/>
      <family val="2"/>
    </font>
    <font>
      <b/>
      <sz val="10"/>
      <name val="Arial"/>
      <family val="2"/>
    </font>
    <font>
      <sz val="10"/>
      <name val="Arial"/>
      <family val="2"/>
    </font>
    <font>
      <b/>
      <sz val="8"/>
      <color indexed="8"/>
      <name val="Arial"/>
      <family val="2"/>
    </font>
    <font>
      <sz val="8"/>
      <color indexed="10"/>
      <name val="Arial"/>
      <family val="2"/>
    </font>
    <font>
      <sz val="8"/>
      <color indexed="8"/>
      <name val="Arial"/>
      <family val="2"/>
    </font>
    <font>
      <b/>
      <sz val="10"/>
      <color indexed="9"/>
      <name val="Arial"/>
      <family val="2"/>
    </font>
    <font>
      <sz val="10"/>
      <color indexed="9"/>
      <name val="Arial"/>
      <family val="2"/>
    </font>
    <font>
      <b/>
      <sz val="8"/>
      <color indexed="9"/>
      <name val="Arial"/>
      <family val="2"/>
    </font>
    <font>
      <b/>
      <sz val="18"/>
      <name val="Arial"/>
      <family val="2"/>
    </font>
    <font>
      <b/>
      <u/>
      <sz val="12"/>
      <name val="Arial"/>
      <family val="2"/>
    </font>
    <font>
      <sz val="10"/>
      <color indexed="8"/>
      <name val="Arial"/>
      <family val="2"/>
    </font>
    <font>
      <b/>
      <sz val="10"/>
      <color rgb="FFFF0000"/>
      <name val="Arial"/>
      <family val="2"/>
    </font>
    <font>
      <sz val="10"/>
      <color rgb="FFFF0000"/>
      <name val="Arial"/>
      <family val="2"/>
    </font>
    <font>
      <sz val="10"/>
      <color indexed="8"/>
      <name val="MS Sans Serif"/>
    </font>
    <font>
      <b/>
      <sz val="11"/>
      <color theme="1"/>
      <name val="Calibri"/>
      <family val="2"/>
      <scheme val="minor"/>
    </font>
    <font>
      <b/>
      <sz val="9"/>
      <color indexed="81"/>
      <name val="Tahoma"/>
      <family val="2"/>
    </font>
    <font>
      <sz val="9"/>
      <color indexed="81"/>
      <name val="Tahoma"/>
      <family val="2"/>
    </font>
    <font>
      <b/>
      <u/>
      <sz val="11"/>
      <color theme="1"/>
      <name val="Calibri"/>
      <family val="2"/>
      <scheme val="minor"/>
    </font>
    <font>
      <sz val="10"/>
      <color theme="1"/>
      <name val="Arial"/>
      <family val="2"/>
    </font>
    <font>
      <b/>
      <i/>
      <sz val="10"/>
      <name val="Arial"/>
      <family val="2"/>
    </font>
    <font>
      <sz val="9"/>
      <name val="Times New Roman"/>
      <family val="1"/>
    </font>
    <font>
      <b/>
      <sz val="10"/>
      <color indexed="8"/>
      <name val="Arial"/>
      <family val="2"/>
    </font>
    <font>
      <sz val="10"/>
      <color indexed="8"/>
      <name val="Arial"/>
      <family val="2"/>
    </font>
    <font>
      <strike/>
      <sz val="10"/>
      <name val="Arial"/>
      <family val="2"/>
    </font>
    <font>
      <b/>
      <sz val="16"/>
      <name val="Arial"/>
      <family val="2"/>
    </font>
    <font>
      <b/>
      <sz val="9"/>
      <name val="Arial"/>
      <family val="2"/>
    </font>
    <font>
      <b/>
      <i/>
      <sz val="10"/>
      <color theme="8" tint="-0.249977111117893"/>
      <name val="Arial"/>
      <family val="2"/>
    </font>
    <font>
      <b/>
      <sz val="10"/>
      <color theme="8" tint="-0.249977111117893"/>
      <name val="Arial"/>
      <family val="2"/>
    </font>
    <font>
      <b/>
      <sz val="10"/>
      <color theme="1"/>
      <name val="Arial"/>
      <family val="2"/>
    </font>
    <font>
      <sz val="10"/>
      <color theme="1"/>
      <name val="Calibri"/>
      <family val="2"/>
      <scheme val="minor"/>
    </font>
    <font>
      <b/>
      <sz val="11"/>
      <color rgb="FF000000"/>
      <name val="Arial"/>
      <family val="2"/>
    </font>
    <font>
      <b/>
      <sz val="12"/>
      <color theme="4" tint="-0.249977111117893"/>
      <name val="Arial"/>
      <family val="2"/>
    </font>
    <font>
      <b/>
      <i/>
      <sz val="10"/>
      <color rgb="FF000000"/>
      <name val="Arial"/>
      <family val="2"/>
    </font>
  </fonts>
  <fills count="17">
    <fill>
      <patternFill patternType="none"/>
    </fill>
    <fill>
      <patternFill patternType="gray125"/>
    </fill>
    <fill>
      <patternFill patternType="solid">
        <fgColor indexed="8"/>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4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17">
    <border>
      <left/>
      <right/>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1">
    <xf numFmtId="0" fontId="0" fillId="0" borderId="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8" fillId="0" borderId="0"/>
    <xf numFmtId="0" fontId="5" fillId="0" borderId="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21" fillId="0" borderId="0"/>
    <xf numFmtId="0" fontId="4" fillId="0" borderId="0"/>
    <xf numFmtId="44" fontId="4" fillId="0" borderId="0" applyFont="0" applyFill="0" applyBorder="0" applyAlignment="0" applyProtection="0"/>
    <xf numFmtId="0" fontId="7" fillId="0" borderId="0"/>
    <xf numFmtId="0" fontId="28" fillId="0" borderId="0"/>
    <xf numFmtId="0" fontId="30" fillId="0" borderId="0"/>
    <xf numFmtId="43" fontId="7" fillId="0" borderId="0" applyFont="0" applyFill="0" applyBorder="0" applyAlignment="0" applyProtection="0"/>
    <xf numFmtId="43" fontId="7"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0" fontId="2" fillId="0" borderId="0"/>
    <xf numFmtId="0" fontId="1" fillId="0" borderId="0"/>
  </cellStyleXfs>
  <cellXfs count="252">
    <xf numFmtId="0" fontId="0" fillId="0" borderId="0" xfId="0"/>
    <xf numFmtId="0" fontId="0" fillId="0" borderId="0" xfId="0" applyAlignment="1">
      <alignment horizontal="left"/>
    </xf>
    <xf numFmtId="0" fontId="14" fillId="0" borderId="0" xfId="0" applyFont="1"/>
    <xf numFmtId="164" fontId="0" fillId="0" borderId="0" xfId="0" applyNumberFormat="1"/>
    <xf numFmtId="43" fontId="0" fillId="0" borderId="0" xfId="0" applyNumberFormat="1"/>
    <xf numFmtId="0" fontId="8" fillId="0" borderId="0" xfId="0" applyFont="1"/>
    <xf numFmtId="0" fontId="16" fillId="0" borderId="0" xfId="0" applyFont="1" applyAlignment="1">
      <alignment horizontal="centerContinuous"/>
    </xf>
    <xf numFmtId="43" fontId="0" fillId="0" borderId="0" xfId="1" applyFont="1"/>
    <xf numFmtId="0" fontId="17"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1" xfId="0" applyBorder="1"/>
    <xf numFmtId="0" fontId="0" fillId="0" borderId="6" xfId="0" applyBorder="1"/>
    <xf numFmtId="164" fontId="0" fillId="0" borderId="0" xfId="1" applyNumberFormat="1" applyFont="1" applyFill="1"/>
    <xf numFmtId="0" fontId="0" fillId="0" borderId="7" xfId="0" applyBorder="1"/>
    <xf numFmtId="0" fontId="0" fillId="0" borderId="8" xfId="0" applyBorder="1"/>
    <xf numFmtId="170" fontId="0" fillId="0" borderId="0" xfId="1" applyNumberFormat="1" applyFont="1" applyBorder="1"/>
    <xf numFmtId="43" fontId="0" fillId="0" borderId="0" xfId="1" applyFont="1" applyFill="1"/>
    <xf numFmtId="10" fontId="0" fillId="0" borderId="0" xfId="10" applyNumberFormat="1" applyFont="1" applyBorder="1"/>
    <xf numFmtId="44" fontId="0" fillId="0" borderId="0" xfId="0" applyNumberFormat="1"/>
    <xf numFmtId="0" fontId="14" fillId="2" borderId="0" xfId="9" applyFont="1" applyFill="1"/>
    <xf numFmtId="0" fontId="14" fillId="2" borderId="0" xfId="9" applyFont="1" applyFill="1" applyAlignment="1">
      <alignment horizontal="left"/>
    </xf>
    <xf numFmtId="0" fontId="15" fillId="2" borderId="10" xfId="9" applyFont="1" applyFill="1" applyBorder="1" applyAlignment="1">
      <alignment horizontal="center"/>
    </xf>
    <xf numFmtId="0" fontId="15" fillId="2" borderId="10" xfId="9" applyFont="1" applyFill="1" applyBorder="1" applyAlignment="1">
      <alignment horizontal="left"/>
    </xf>
    <xf numFmtId="0" fontId="11" fillId="0" borderId="11" xfId="9" applyFont="1" applyBorder="1" applyAlignment="1">
      <alignment horizontal="center"/>
    </xf>
    <xf numFmtId="0" fontId="10" fillId="0" borderId="11" xfId="9" applyFont="1" applyBorder="1" applyAlignment="1">
      <alignment horizontal="left"/>
    </xf>
    <xf numFmtId="0" fontId="10" fillId="0" borderId="10" xfId="9" applyFont="1" applyBorder="1" applyAlignment="1">
      <alignment horizontal="left"/>
    </xf>
    <xf numFmtId="0" fontId="9" fillId="0" borderId="0" xfId="0" applyFont="1"/>
    <xf numFmtId="44" fontId="0" fillId="0" borderId="0" xfId="4" applyFont="1" applyBorder="1"/>
    <xf numFmtId="0" fontId="5" fillId="0" borderId="0" xfId="0" applyFont="1"/>
    <xf numFmtId="0" fontId="5" fillId="0" borderId="7" xfId="0" applyFont="1" applyBorder="1" applyAlignment="1">
      <alignment horizontal="center"/>
    </xf>
    <xf numFmtId="0" fontId="0" fillId="0" borderId="7" xfId="0" applyBorder="1" applyAlignment="1">
      <alignment horizontal="center"/>
    </xf>
    <xf numFmtId="44" fontId="5" fillId="0" borderId="0" xfId="4" applyFont="1" applyBorder="1"/>
    <xf numFmtId="44" fontId="5" fillId="0" borderId="0" xfId="4" applyFont="1" applyFill="1" applyBorder="1"/>
    <xf numFmtId="10" fontId="5" fillId="0" borderId="0" xfId="10" applyNumberFormat="1" applyFont="1"/>
    <xf numFmtId="44" fontId="0" fillId="0" borderId="0" xfId="4" applyFont="1"/>
    <xf numFmtId="0" fontId="0" fillId="0" borderId="0" xfId="0" applyAlignment="1">
      <alignment horizontal="center"/>
    </xf>
    <xf numFmtId="0" fontId="13" fillId="2" borderId="12" xfId="9" applyFont="1" applyFill="1" applyBorder="1" applyAlignment="1">
      <alignment horizontal="center"/>
    </xf>
    <xf numFmtId="0" fontId="0" fillId="0" borderId="0" xfId="0" applyAlignment="1">
      <alignment wrapText="1"/>
    </xf>
    <xf numFmtId="0" fontId="0" fillId="0" borderId="0" xfId="0" applyProtection="1">
      <protection locked="0"/>
    </xf>
    <xf numFmtId="9" fontId="0" fillId="0" borderId="0" xfId="10" applyFont="1"/>
    <xf numFmtId="168" fontId="0" fillId="0" borderId="0" xfId="10" applyNumberFormat="1" applyFont="1"/>
    <xf numFmtId="166" fontId="0" fillId="0" borderId="0" xfId="1" applyNumberFormat="1" applyFont="1"/>
    <xf numFmtId="164" fontId="0" fillId="0" borderId="0" xfId="1" applyNumberFormat="1" applyFont="1"/>
    <xf numFmtId="166" fontId="0" fillId="3" borderId="0" xfId="1" applyNumberFormat="1" applyFont="1" applyFill="1"/>
    <xf numFmtId="0" fontId="0" fillId="0" borderId="0" xfId="0" applyAlignment="1">
      <alignment horizontal="center" wrapText="1"/>
    </xf>
    <xf numFmtId="165" fontId="0" fillId="0" borderId="0" xfId="1" applyNumberFormat="1" applyFont="1" applyFill="1"/>
    <xf numFmtId="0" fontId="0" fillId="0" borderId="0" xfId="0" applyAlignment="1">
      <alignment horizontal="right"/>
    </xf>
    <xf numFmtId="0" fontId="25" fillId="0" borderId="0" xfId="0" applyFont="1"/>
    <xf numFmtId="39" fontId="22" fillId="0" borderId="0" xfId="1" applyNumberFormat="1" applyFont="1" applyFill="1"/>
    <xf numFmtId="169" fontId="0" fillId="0" borderId="0" xfId="4" applyNumberFormat="1" applyFont="1"/>
    <xf numFmtId="169" fontId="0" fillId="0" borderId="0" xfId="0" applyNumberFormat="1"/>
    <xf numFmtId="44" fontId="22" fillId="0" borderId="1" xfId="4" applyFont="1" applyBorder="1"/>
    <xf numFmtId="0" fontId="22" fillId="0" borderId="0" xfId="0" applyFont="1"/>
    <xf numFmtId="0" fontId="22" fillId="0" borderId="12" xfId="0" applyFont="1" applyBorder="1"/>
    <xf numFmtId="2" fontId="0" fillId="0" borderId="0" xfId="0" applyNumberFormat="1"/>
    <xf numFmtId="2" fontId="0" fillId="0" borderId="12" xfId="0" applyNumberFormat="1" applyBorder="1"/>
    <xf numFmtId="43" fontId="5" fillId="0" borderId="0" xfId="1" applyFont="1"/>
    <xf numFmtId="164" fontId="0" fillId="4" borderId="0" xfId="1" applyNumberFormat="1" applyFont="1" applyFill="1" applyProtection="1">
      <protection locked="0"/>
    </xf>
    <xf numFmtId="169" fontId="0" fillId="4" borderId="0" xfId="4" applyNumberFormat="1" applyFont="1" applyFill="1" applyProtection="1">
      <protection locked="0"/>
    </xf>
    <xf numFmtId="0" fontId="5" fillId="0" borderId="0" xfId="0" quotePrefix="1" applyFont="1"/>
    <xf numFmtId="164" fontId="5" fillId="0" borderId="0" xfId="1" applyNumberFormat="1" applyFont="1"/>
    <xf numFmtId="10" fontId="5" fillId="0" borderId="0" xfId="10" applyNumberFormat="1" applyFont="1" applyAlignment="1">
      <alignment wrapText="1"/>
    </xf>
    <xf numFmtId="43" fontId="5" fillId="0" borderId="0" xfId="1" applyFont="1" applyAlignment="1">
      <alignment wrapText="1"/>
    </xf>
    <xf numFmtId="164" fontId="5" fillId="0" borderId="0" xfId="1" applyNumberFormat="1" applyFont="1" applyAlignment="1">
      <alignment wrapText="1"/>
    </xf>
    <xf numFmtId="170" fontId="0" fillId="6" borderId="0" xfId="1" applyNumberFormat="1" applyFont="1" applyFill="1" applyProtection="1">
      <protection locked="0"/>
    </xf>
    <xf numFmtId="164" fontId="5" fillId="0" borderId="0" xfId="1" applyNumberFormat="1" applyFont="1" applyFill="1"/>
    <xf numFmtId="165" fontId="27" fillId="0" borderId="0" xfId="1" applyNumberFormat="1" applyFont="1" applyFill="1"/>
    <xf numFmtId="37" fontId="27" fillId="0" borderId="0" xfId="1" applyNumberFormat="1" applyFont="1" applyFill="1"/>
    <xf numFmtId="39" fontId="27" fillId="0" borderId="0" xfId="1" applyNumberFormat="1" applyFont="1" applyFill="1"/>
    <xf numFmtId="44" fontId="0" fillId="0" borderId="0" xfId="4" applyFont="1" applyFill="1"/>
    <xf numFmtId="164" fontId="0" fillId="0" borderId="0" xfId="1" applyNumberFormat="1" applyFont="1" applyFill="1" applyProtection="1">
      <protection locked="0"/>
    </xf>
    <xf numFmtId="0" fontId="5" fillId="0" borderId="0" xfId="0" applyFont="1" applyAlignment="1">
      <alignment horizontal="center" wrapText="1"/>
    </xf>
    <xf numFmtId="0" fontId="5" fillId="0" borderId="0" xfId="0" applyFont="1" applyAlignment="1">
      <alignment horizontal="left"/>
    </xf>
    <xf numFmtId="0" fontId="5" fillId="0" borderId="0" xfId="9" applyAlignment="1">
      <alignment horizontal="left"/>
    </xf>
    <xf numFmtId="0" fontId="13" fillId="2" borderId="0" xfId="18" applyFont="1" applyFill="1" applyAlignment="1" applyProtection="1">
      <alignment horizontal="centerContinuous" wrapText="1"/>
      <protection locked="0"/>
    </xf>
    <xf numFmtId="0" fontId="29" fillId="0" borderId="0" xfId="18" applyFont="1" applyAlignment="1">
      <alignment horizontal="center" wrapText="1"/>
    </xf>
    <xf numFmtId="0" fontId="8" fillId="0" borderId="0" xfId="18" applyFont="1" applyAlignment="1" applyProtection="1">
      <alignment horizontal="left" wrapText="1"/>
      <protection locked="0"/>
    </xf>
    <xf numFmtId="0" fontId="8" fillId="0" borderId="0" xfId="18" applyFont="1" applyAlignment="1" applyProtection="1">
      <alignment horizontal="centerContinuous" wrapText="1"/>
      <protection locked="0"/>
    </xf>
    <xf numFmtId="0" fontId="29" fillId="0" borderId="0" xfId="18" applyFont="1" applyAlignment="1" applyProtection="1">
      <alignment horizontal="centerContinuous" wrapText="1"/>
      <protection locked="0"/>
    </xf>
    <xf numFmtId="0" fontId="29" fillId="0" borderId="0" xfId="18" applyFont="1" applyAlignment="1">
      <alignment wrapText="1"/>
    </xf>
    <xf numFmtId="0" fontId="8" fillId="0" borderId="0" xfId="18" applyFont="1" applyAlignment="1" applyProtection="1">
      <alignment horizontal="center" wrapText="1"/>
      <protection locked="0"/>
    </xf>
    <xf numFmtId="0" fontId="26" fillId="0" borderId="0" xfId="18" applyFont="1" applyAlignment="1" applyProtection="1">
      <alignment horizontal="left"/>
      <protection locked="0"/>
    </xf>
    <xf numFmtId="0" fontId="26" fillId="7" borderId="0" xfId="18" applyFont="1" applyFill="1" applyProtection="1">
      <protection locked="0"/>
    </xf>
    <xf numFmtId="0" fontId="26" fillId="0" borderId="0" xfId="18" applyFont="1"/>
    <xf numFmtId="0" fontId="26" fillId="0" borderId="0" xfId="9" applyFont="1" applyAlignment="1">
      <alignment horizontal="left"/>
    </xf>
    <xf numFmtId="0" fontId="26" fillId="8" borderId="0" xfId="18" applyFont="1" applyFill="1" applyProtection="1">
      <protection locked="0"/>
    </xf>
    <xf numFmtId="0" fontId="26" fillId="8" borderId="0" xfId="18" applyFont="1" applyFill="1"/>
    <xf numFmtId="0" fontId="26" fillId="0" borderId="0" xfId="18" applyFont="1" applyProtection="1">
      <protection locked="0"/>
    </xf>
    <xf numFmtId="0" fontId="26" fillId="0" borderId="0" xfId="9" applyFont="1"/>
    <xf numFmtId="0" fontId="6" fillId="0" borderId="13" xfId="0" applyFont="1" applyBorder="1" applyAlignment="1">
      <alignment wrapText="1"/>
    </xf>
    <xf numFmtId="0" fontId="6" fillId="0" borderId="0" xfId="0" applyFont="1"/>
    <xf numFmtId="0" fontId="6" fillId="0" borderId="0" xfId="17" quotePrefix="1" applyFont="1" applyAlignment="1">
      <alignment wrapText="1"/>
    </xf>
    <xf numFmtId="0" fontId="6" fillId="0" borderId="13" xfId="17" applyFont="1" applyBorder="1" applyAlignment="1">
      <alignment wrapText="1"/>
    </xf>
    <xf numFmtId="0" fontId="26" fillId="0" borderId="0" xfId="0" applyFont="1"/>
    <xf numFmtId="0" fontId="26" fillId="0" borderId="13" xfId="18" applyFont="1" applyBorder="1" applyAlignment="1" applyProtection="1">
      <alignment horizontal="left"/>
      <protection locked="0"/>
    </xf>
    <xf numFmtId="0" fontId="26" fillId="0" borderId="13" xfId="9" applyFont="1" applyBorder="1" applyAlignment="1">
      <alignment horizontal="left"/>
    </xf>
    <xf numFmtId="0" fontId="5" fillId="0" borderId="0" xfId="9"/>
    <xf numFmtId="165" fontId="0" fillId="0" borderId="0" xfId="1" applyNumberFormat="1" applyFont="1" applyFill="1" applyProtection="1">
      <protection locked="0"/>
    </xf>
    <xf numFmtId="165" fontId="0" fillId="0" borderId="0" xfId="1" applyNumberFormat="1" applyFont="1"/>
    <xf numFmtId="165" fontId="0" fillId="0" borderId="0" xfId="0" applyNumberFormat="1"/>
    <xf numFmtId="167" fontId="22" fillId="0" borderId="0" xfId="0" applyNumberFormat="1" applyFont="1"/>
    <xf numFmtId="2" fontId="8" fillId="9" borderId="0" xfId="0" applyNumberFormat="1" applyFont="1" applyFill="1"/>
    <xf numFmtId="167" fontId="4" fillId="3" borderId="0" xfId="0" applyNumberFormat="1" applyFont="1" applyFill="1"/>
    <xf numFmtId="165" fontId="8" fillId="0" borderId="0" xfId="1" applyNumberFormat="1" applyFont="1" applyFill="1" applyProtection="1">
      <protection locked="0"/>
    </xf>
    <xf numFmtId="165" fontId="8" fillId="0" borderId="0" xfId="1" applyNumberFormat="1" applyFont="1" applyFill="1" applyProtection="1"/>
    <xf numFmtId="44" fontId="5" fillId="0" borderId="0" xfId="4" applyFont="1"/>
    <xf numFmtId="43" fontId="0" fillId="0" borderId="0" xfId="1" applyFont="1" applyFill="1" applyProtection="1"/>
    <xf numFmtId="170" fontId="5" fillId="0" borderId="0" xfId="1" applyNumberFormat="1" applyFont="1"/>
    <xf numFmtId="170" fontId="0" fillId="0" borderId="0" xfId="1" applyNumberFormat="1" applyFont="1" applyFill="1" applyProtection="1"/>
    <xf numFmtId="0" fontId="6" fillId="0" borderId="0" xfId="17" applyFont="1" applyAlignment="1">
      <alignment wrapText="1"/>
    </xf>
    <xf numFmtId="0" fontId="22" fillId="0" borderId="0" xfId="0" applyFont="1" applyAlignment="1">
      <alignment horizontal="center"/>
    </xf>
    <xf numFmtId="14" fontId="22" fillId="0" borderId="0" xfId="0" applyNumberFormat="1" applyFont="1" applyAlignment="1">
      <alignment horizontal="center"/>
    </xf>
    <xf numFmtId="44" fontId="0" fillId="10" borderId="0" xfId="0" applyNumberFormat="1" applyFill="1" applyAlignment="1">
      <alignment horizontal="center"/>
    </xf>
    <xf numFmtId="0" fontId="0" fillId="10" borderId="0" xfId="0" applyFill="1"/>
    <xf numFmtId="170" fontId="0" fillId="11" borderId="0" xfId="1" applyNumberFormat="1" applyFont="1" applyFill="1" applyAlignment="1">
      <alignment horizontal="center"/>
    </xf>
    <xf numFmtId="44" fontId="0" fillId="11" borderId="0" xfId="0" applyNumberFormat="1" applyFill="1" applyAlignment="1">
      <alignment horizontal="center"/>
    </xf>
    <xf numFmtId="0" fontId="0" fillId="11" borderId="0" xfId="0" applyFill="1"/>
    <xf numFmtId="10" fontId="0" fillId="12" borderId="0" xfId="10" applyNumberFormat="1" applyFont="1" applyFill="1"/>
    <xf numFmtId="10" fontId="0" fillId="12" borderId="0" xfId="10" applyNumberFormat="1" applyFont="1" applyFill="1" applyAlignment="1">
      <alignment horizontal="right"/>
    </xf>
    <xf numFmtId="44" fontId="0" fillId="12" borderId="0" xfId="0" applyNumberFormat="1" applyFill="1" applyAlignment="1">
      <alignment horizontal="center"/>
    </xf>
    <xf numFmtId="0" fontId="0" fillId="12" borderId="0" xfId="0" applyFill="1"/>
    <xf numFmtId="44" fontId="0" fillId="0" borderId="0" xfId="4" applyFont="1" applyAlignment="1">
      <alignment horizontal="center"/>
    </xf>
    <xf numFmtId="170" fontId="0" fillId="0" borderId="0" xfId="1" applyNumberFormat="1" applyFont="1"/>
    <xf numFmtId="170" fontId="0" fillId="4" borderId="0" xfId="1" applyNumberFormat="1" applyFont="1" applyFill="1"/>
    <xf numFmtId="0" fontId="0" fillId="0" borderId="0" xfId="0" quotePrefix="1"/>
    <xf numFmtId="44" fontId="22" fillId="0" borderId="0" xfId="0" applyNumberFormat="1" applyFont="1"/>
    <xf numFmtId="44" fontId="0" fillId="4" borderId="0" xfId="4" applyFont="1" applyFill="1"/>
    <xf numFmtId="44" fontId="0" fillId="0" borderId="9" xfId="0" applyNumberFormat="1" applyBorder="1"/>
    <xf numFmtId="170" fontId="5" fillId="0" borderId="0" xfId="1" applyNumberFormat="1" applyFont="1" applyBorder="1"/>
    <xf numFmtId="0" fontId="5" fillId="0" borderId="0" xfId="0" applyFont="1" applyProtection="1">
      <protection locked="0"/>
    </xf>
    <xf numFmtId="44" fontId="0" fillId="0" borderId="0" xfId="10" applyNumberFormat="1" applyFont="1" applyBorder="1" applyAlignment="1">
      <alignment horizontal="center"/>
    </xf>
    <xf numFmtId="0" fontId="5" fillId="5" borderId="0" xfId="0" applyFont="1" applyFill="1" applyAlignment="1">
      <alignment horizontal="center" wrapText="1"/>
    </xf>
    <xf numFmtId="0" fontId="8" fillId="5" borderId="0" xfId="0" applyFont="1" applyFill="1" applyAlignment="1">
      <alignment horizontal="left" wrapText="1"/>
    </xf>
    <xf numFmtId="43" fontId="4" fillId="3" borderId="0" xfId="0" applyNumberFormat="1" applyFont="1" applyFill="1"/>
    <xf numFmtId="171" fontId="0" fillId="0" borderId="0" xfId="1" applyNumberFormat="1" applyFont="1"/>
    <xf numFmtId="0" fontId="5" fillId="0" borderId="0" xfId="7" applyFont="1"/>
    <xf numFmtId="0" fontId="31" fillId="0" borderId="0" xfId="0" applyFont="1"/>
    <xf numFmtId="9" fontId="31" fillId="0" borderId="0" xfId="10" applyFont="1" applyBorder="1"/>
    <xf numFmtId="164" fontId="5" fillId="0" borderId="0" xfId="1" applyNumberFormat="1" applyFont="1" applyFill="1" applyAlignment="1">
      <alignment wrapText="1"/>
    </xf>
    <xf numFmtId="10" fontId="5" fillId="0" borderId="0" xfId="10" applyNumberFormat="1" applyFont="1" applyFill="1" applyAlignment="1">
      <alignment wrapText="1"/>
    </xf>
    <xf numFmtId="44" fontId="0" fillId="0" borderId="0" xfId="4" applyFont="1" applyFill="1" applyProtection="1">
      <protection locked="0"/>
    </xf>
    <xf numFmtId="0" fontId="20" fillId="0" borderId="0" xfId="0" applyFont="1"/>
    <xf numFmtId="44" fontId="0" fillId="13" borderId="0" xfId="4" applyFont="1" applyFill="1"/>
    <xf numFmtId="4" fontId="12" fillId="13" borderId="10" xfId="9" applyNumberFormat="1" applyFont="1" applyFill="1" applyBorder="1"/>
    <xf numFmtId="0" fontId="0" fillId="13" borderId="0" xfId="0" applyFill="1"/>
    <xf numFmtId="43" fontId="5" fillId="0" borderId="0" xfId="1" applyFont="1" applyFill="1" applyAlignment="1">
      <alignment wrapText="1"/>
    </xf>
    <xf numFmtId="164" fontId="13" fillId="2" borderId="0" xfId="1" applyNumberFormat="1" applyFont="1" applyFill="1" applyAlignment="1" applyProtection="1">
      <alignment horizontal="centerContinuous" wrapText="1"/>
      <protection locked="0"/>
    </xf>
    <xf numFmtId="164" fontId="29" fillId="0" borderId="0" xfId="1" applyNumberFormat="1" applyFont="1" applyAlignment="1" applyProtection="1">
      <alignment horizontal="centerContinuous" wrapText="1"/>
      <protection locked="0"/>
    </xf>
    <xf numFmtId="164" fontId="26" fillId="7" borderId="0" xfId="1" applyNumberFormat="1" applyFont="1" applyFill="1" applyProtection="1">
      <protection locked="0"/>
    </xf>
    <xf numFmtId="164" fontId="5" fillId="0" borderId="0" xfId="1" applyNumberFormat="1"/>
    <xf numFmtId="164" fontId="26" fillId="8" borderId="0" xfId="1" applyNumberFormat="1" applyFont="1" applyFill="1" applyProtection="1">
      <protection locked="0"/>
    </xf>
    <xf numFmtId="164" fontId="26" fillId="0" borderId="0" xfId="1" applyNumberFormat="1" applyFont="1" applyProtection="1">
      <protection locked="0"/>
    </xf>
    <xf numFmtId="44" fontId="0" fillId="0" borderId="9" xfId="4" applyFont="1" applyBorder="1"/>
    <xf numFmtId="0" fontId="32" fillId="0" borderId="0" xfId="0" applyFont="1"/>
    <xf numFmtId="0" fontId="5" fillId="3" borderId="0" xfId="0" applyFont="1" applyFill="1"/>
    <xf numFmtId="0" fontId="0" fillId="3" borderId="0" xfId="0" applyFill="1"/>
    <xf numFmtId="0" fontId="6" fillId="3" borderId="0" xfId="17" applyFont="1" applyFill="1" applyAlignment="1">
      <alignment wrapText="1"/>
    </xf>
    <xf numFmtId="44" fontId="0" fillId="3" borderId="0" xfId="0" applyNumberFormat="1" applyFill="1" applyAlignment="1">
      <alignment horizontal="center"/>
    </xf>
    <xf numFmtId="170" fontId="0" fillId="3" borderId="0" xfId="1" applyNumberFormat="1" applyFont="1" applyFill="1" applyAlignment="1">
      <alignment horizontal="center"/>
    </xf>
    <xf numFmtId="44" fontId="5" fillId="0" borderId="0" xfId="4" applyFont="1" applyFill="1"/>
    <xf numFmtId="10" fontId="5" fillId="0" borderId="0" xfId="10" applyNumberFormat="1" applyFont="1" applyFill="1"/>
    <xf numFmtId="170" fontId="5" fillId="0" borderId="0" xfId="1" applyNumberFormat="1" applyFont="1" applyFill="1"/>
    <xf numFmtId="44" fontId="5" fillId="0" borderId="0" xfId="7" applyNumberFormat="1" applyFont="1"/>
    <xf numFmtId="172" fontId="5" fillId="0" borderId="0" xfId="7" applyNumberFormat="1" applyFont="1"/>
    <xf numFmtId="15" fontId="8" fillId="0" borderId="14" xfId="7" quotePrefix="1" applyNumberFormat="1" applyFont="1" applyBorder="1" applyAlignment="1">
      <alignment horizontal="center" wrapText="1"/>
    </xf>
    <xf numFmtId="14" fontId="19" fillId="0" borderId="0" xfId="7" applyNumberFormat="1" applyFont="1" applyAlignment="1">
      <alignment horizontal="center"/>
    </xf>
    <xf numFmtId="0" fontId="8" fillId="0" borderId="10" xfId="7" applyFont="1" applyBorder="1" applyAlignment="1" applyProtection="1">
      <alignment horizontal="center" wrapText="1"/>
      <protection locked="0"/>
    </xf>
    <xf numFmtId="0" fontId="5" fillId="0" borderId="10" xfId="7" applyFont="1" applyBorder="1"/>
    <xf numFmtId="0" fontId="5" fillId="0" borderId="0" xfId="17" applyFont="1" applyAlignment="1">
      <alignment horizontal="center" wrapText="1"/>
    </xf>
    <xf numFmtId="0" fontId="5" fillId="0" borderId="0" xfId="17" applyFont="1"/>
    <xf numFmtId="170" fontId="5" fillId="0" borderId="0" xfId="2" applyNumberFormat="1" applyFont="1" applyFill="1" applyBorder="1"/>
    <xf numFmtId="43" fontId="5" fillId="0" borderId="0" xfId="2" applyFont="1" applyFill="1" applyBorder="1"/>
    <xf numFmtId="43" fontId="5" fillId="0" borderId="0" xfId="7" applyNumberFormat="1" applyFont="1"/>
    <xf numFmtId="0" fontId="35" fillId="0" borderId="0" xfId="7" applyFont="1" applyAlignment="1">
      <alignment horizontal="center"/>
    </xf>
    <xf numFmtId="0" fontId="5" fillId="4" borderId="0" xfId="0" applyFont="1" applyFill="1" applyProtection="1">
      <protection locked="0"/>
    </xf>
    <xf numFmtId="15" fontId="5" fillId="0" borderId="0" xfId="0" quotePrefix="1" applyNumberFormat="1" applyFont="1"/>
    <xf numFmtId="0" fontId="5" fillId="15" borderId="0" xfId="0" applyFont="1" applyFill="1"/>
    <xf numFmtId="10" fontId="5" fillId="15" borderId="0" xfId="10" applyNumberFormat="1" applyFont="1" applyFill="1"/>
    <xf numFmtId="164" fontId="5" fillId="15" borderId="0" xfId="1" applyNumberFormat="1" applyFont="1" applyFill="1"/>
    <xf numFmtId="43" fontId="5" fillId="15" borderId="0" xfId="1" applyFont="1" applyFill="1"/>
    <xf numFmtId="172" fontId="26" fillId="0" borderId="0" xfId="0" applyNumberFormat="1" applyFont="1"/>
    <xf numFmtId="0" fontId="5" fillId="0" borderId="0" xfId="7" applyFont="1" applyAlignment="1">
      <alignment horizontal="center"/>
    </xf>
    <xf numFmtId="0" fontId="5" fillId="0" borderId="10" xfId="17" applyFont="1" applyBorder="1" applyAlignment="1">
      <alignment horizontal="center" wrapText="1"/>
    </xf>
    <xf numFmtId="49" fontId="5" fillId="0" borderId="10" xfId="17" applyNumberFormat="1" applyFont="1" applyBorder="1"/>
    <xf numFmtId="44" fontId="26" fillId="0" borderId="10" xfId="0" applyNumberFormat="1" applyFont="1" applyBorder="1" applyAlignment="1">
      <alignment horizontal="left"/>
    </xf>
    <xf numFmtId="170" fontId="5" fillId="0" borderId="10" xfId="2" applyNumberFormat="1" applyFont="1" applyFill="1" applyBorder="1" applyProtection="1"/>
    <xf numFmtId="44" fontId="5" fillId="0" borderId="10" xfId="2" applyNumberFormat="1" applyFont="1" applyFill="1" applyBorder="1" applyProtection="1"/>
    <xf numFmtId="44" fontId="5" fillId="0" borderId="15" xfId="7" applyNumberFormat="1" applyFont="1" applyBorder="1"/>
    <xf numFmtId="44" fontId="5" fillId="0" borderId="10" xfId="7" applyNumberFormat="1" applyFont="1" applyBorder="1" applyAlignment="1">
      <alignment horizontal="center"/>
    </xf>
    <xf numFmtId="44" fontId="5" fillId="0" borderId="10" xfId="7" applyNumberFormat="1" applyFont="1" applyBorder="1"/>
    <xf numFmtId="1" fontId="5" fillId="0" borderId="10" xfId="17" applyNumberFormat="1" applyFont="1" applyBorder="1" applyAlignment="1">
      <alignment horizontal="center" wrapText="1"/>
    </xf>
    <xf numFmtId="0" fontId="5" fillId="0" borderId="10" xfId="17" applyFont="1" applyBorder="1"/>
    <xf numFmtId="0" fontId="37" fillId="0" borderId="0" xfId="0" applyFont="1"/>
    <xf numFmtId="0" fontId="8" fillId="0" borderId="0" xfId="0" applyFont="1" applyAlignment="1">
      <alignment horizontal="left"/>
    </xf>
    <xf numFmtId="164" fontId="0" fillId="6" borderId="0" xfId="1" applyNumberFormat="1" applyFont="1" applyFill="1"/>
    <xf numFmtId="164" fontId="0" fillId="16" borderId="0" xfId="1" applyNumberFormat="1" applyFont="1" applyFill="1"/>
    <xf numFmtId="0" fontId="5" fillId="16" borderId="0" xfId="0" quotePrefix="1" applyFont="1" applyFill="1"/>
    <xf numFmtId="0" fontId="5" fillId="16" borderId="0" xfId="0" applyFont="1" applyFill="1"/>
    <xf numFmtId="0" fontId="0" fillId="16" borderId="0" xfId="0" applyFill="1"/>
    <xf numFmtId="43" fontId="0" fillId="0" borderId="0" xfId="1" applyFont="1" applyAlignment="1">
      <alignment horizontal="center"/>
    </xf>
    <xf numFmtId="166" fontId="0" fillId="0" borderId="0" xfId="1" applyNumberFormat="1" applyFont="1" applyAlignment="1">
      <alignment horizontal="center"/>
    </xf>
    <xf numFmtId="43" fontId="0" fillId="13" borderId="0" xfId="1" applyFont="1" applyFill="1"/>
    <xf numFmtId="14" fontId="20" fillId="0" borderId="0" xfId="7" applyNumberFormat="1" applyFont="1" applyAlignment="1">
      <alignment horizontal="center"/>
    </xf>
    <xf numFmtId="0" fontId="8" fillId="0" borderId="16" xfId="14" applyFont="1" applyBorder="1" applyAlignment="1" applyProtection="1">
      <alignment horizontal="center" vertical="center" wrapText="1"/>
      <protection locked="0"/>
    </xf>
    <xf numFmtId="15" fontId="8" fillId="0" borderId="16" xfId="7" quotePrefix="1" applyNumberFormat="1" applyFont="1" applyBorder="1" applyAlignment="1" applyProtection="1">
      <alignment horizontal="center" vertical="center" wrapText="1"/>
      <protection locked="0"/>
    </xf>
    <xf numFmtId="44" fontId="8" fillId="0" borderId="16" xfId="7" quotePrefix="1" applyNumberFormat="1" applyFont="1" applyBorder="1" applyAlignment="1" applyProtection="1">
      <alignment horizontal="center" vertical="center" wrapText="1"/>
      <protection locked="0"/>
    </xf>
    <xf numFmtId="44" fontId="8" fillId="0" borderId="14" xfId="7" quotePrefix="1" applyNumberFormat="1" applyFont="1" applyBorder="1" applyAlignment="1" applyProtection="1">
      <alignment horizontal="center" vertical="center" wrapText="1"/>
      <protection locked="0"/>
    </xf>
    <xf numFmtId="44" fontId="8" fillId="0" borderId="10" xfId="7" applyNumberFormat="1" applyFont="1" applyBorder="1" applyAlignment="1" applyProtection="1">
      <alignment horizontal="center" vertical="center" wrapText="1"/>
      <protection locked="0"/>
    </xf>
    <xf numFmtId="44" fontId="8" fillId="0" borderId="10" xfId="7" quotePrefix="1" applyNumberFormat="1" applyFont="1" applyBorder="1" applyAlignment="1" applyProtection="1">
      <alignment horizontal="center" vertical="center" wrapText="1"/>
      <protection locked="0"/>
    </xf>
    <xf numFmtId="172" fontId="36" fillId="0" borderId="0" xfId="0" applyNumberFormat="1" applyFont="1" applyAlignment="1">
      <alignment horizontal="center" vertical="center" wrapText="1"/>
    </xf>
    <xf numFmtId="0" fontId="5" fillId="0" borderId="0" xfId="7" applyFont="1" applyAlignment="1">
      <alignment horizontal="center" vertical="center" wrapText="1"/>
    </xf>
    <xf numFmtId="44" fontId="37" fillId="0" borderId="0" xfId="0" applyNumberFormat="1" applyFont="1"/>
    <xf numFmtId="0" fontId="8" fillId="0" borderId="16" xfId="14" applyFont="1" applyBorder="1" applyAlignment="1">
      <alignment horizontal="center" wrapText="1"/>
    </xf>
    <xf numFmtId="15" fontId="8" fillId="0" borderId="16" xfId="7" quotePrefix="1" applyNumberFormat="1" applyFont="1" applyBorder="1" applyAlignment="1">
      <alignment horizontal="center" wrapText="1"/>
    </xf>
    <xf numFmtId="15" fontId="8" fillId="0" borderId="10" xfId="7" quotePrefix="1" applyNumberFormat="1" applyFont="1" applyBorder="1" applyAlignment="1">
      <alignment horizontal="center" wrapText="1"/>
    </xf>
    <xf numFmtId="0" fontId="5" fillId="0" borderId="10" xfId="7" applyFont="1" applyBorder="1" applyAlignment="1">
      <alignment horizontal="center"/>
    </xf>
    <xf numFmtId="8" fontId="5" fillId="0" borderId="10" xfId="2" applyNumberFormat="1" applyFont="1" applyFill="1" applyBorder="1" applyProtection="1">
      <protection locked="0"/>
    </xf>
    <xf numFmtId="8" fontId="5" fillId="0" borderId="10" xfId="2" applyNumberFormat="1" applyFont="1" applyFill="1" applyBorder="1" applyAlignment="1" applyProtection="1">
      <alignment horizontal="center"/>
      <protection locked="0"/>
    </xf>
    <xf numFmtId="43" fontId="5" fillId="0" borderId="10" xfId="2" applyFont="1" applyFill="1" applyBorder="1" applyProtection="1">
      <protection locked="0"/>
    </xf>
    <xf numFmtId="44" fontId="5" fillId="0" borderId="10" xfId="13" applyFont="1" applyFill="1" applyBorder="1" applyProtection="1">
      <protection locked="0"/>
    </xf>
    <xf numFmtId="8" fontId="5" fillId="0" borderId="10" xfId="13" applyNumberFormat="1" applyFont="1" applyFill="1" applyBorder="1" applyProtection="1">
      <protection locked="0"/>
    </xf>
    <xf numFmtId="165" fontId="5" fillId="0" borderId="0" xfId="1" applyNumberFormat="1" applyFont="1" applyFill="1" applyAlignment="1">
      <alignment wrapText="1"/>
    </xf>
    <xf numFmtId="164" fontId="26" fillId="0" borderId="0" xfId="1" applyNumberFormat="1" applyFont="1"/>
    <xf numFmtId="10" fontId="0" fillId="0" borderId="0" xfId="10" applyNumberFormat="1" applyFont="1"/>
    <xf numFmtId="44" fontId="5" fillId="0" borderId="0" xfId="0" applyNumberFormat="1" applyFont="1"/>
    <xf numFmtId="0" fontId="5" fillId="0" borderId="0" xfId="0" applyFont="1" applyAlignment="1">
      <alignment wrapText="1"/>
    </xf>
    <xf numFmtId="0" fontId="0" fillId="0" borderId="0" xfId="0" applyAlignment="1">
      <alignment wrapText="1"/>
    </xf>
    <xf numFmtId="0" fontId="19" fillId="0" borderId="0" xfId="0" applyFont="1" applyAlignment="1">
      <alignment wrapText="1"/>
    </xf>
    <xf numFmtId="0" fontId="5" fillId="14" borderId="0" xfId="0" applyFont="1" applyFill="1" applyAlignment="1">
      <alignment wrapText="1"/>
    </xf>
    <xf numFmtId="0" fontId="0" fillId="14" borderId="0" xfId="0" applyFill="1" applyAlignment="1">
      <alignment wrapText="1"/>
    </xf>
    <xf numFmtId="0" fontId="5" fillId="0" borderId="0" xfId="0" applyFont="1" applyAlignment="1">
      <alignment vertical="top" wrapText="1"/>
    </xf>
    <xf numFmtId="0" fontId="0" fillId="0" borderId="0" xfId="0" applyAlignment="1">
      <alignment vertical="top" wrapText="1"/>
    </xf>
    <xf numFmtId="0" fontId="8" fillId="0" borderId="7" xfId="0" applyFont="1" applyBorder="1" applyAlignment="1">
      <alignment horizontal="center"/>
    </xf>
    <xf numFmtId="0" fontId="8" fillId="0" borderId="0" xfId="0" applyFont="1" applyAlignment="1">
      <alignment horizontal="center"/>
    </xf>
    <xf numFmtId="0" fontId="8" fillId="0" borderId="8" xfId="0" applyFont="1" applyBorder="1" applyAlignment="1">
      <alignment horizontal="center"/>
    </xf>
    <xf numFmtId="0" fontId="19" fillId="0" borderId="7" xfId="0" applyFont="1" applyBorder="1" applyAlignment="1">
      <alignment horizontal="center"/>
    </xf>
    <xf numFmtId="0" fontId="19" fillId="0" borderId="0" xfId="0" applyFont="1" applyAlignment="1">
      <alignment horizontal="center"/>
    </xf>
    <xf numFmtId="0" fontId="19" fillId="0" borderId="8" xfId="0" applyFont="1" applyBorder="1" applyAlignment="1">
      <alignment horizontal="center"/>
    </xf>
    <xf numFmtId="0" fontId="33" fillId="0" borderId="0" xfId="0" applyFont="1" applyAlignment="1">
      <alignment vertical="top" wrapText="1"/>
    </xf>
    <xf numFmtId="0" fontId="8" fillId="0" borderId="0" xfId="0" applyFont="1" applyAlignment="1">
      <alignment vertical="top" wrapText="1"/>
    </xf>
    <xf numFmtId="0" fontId="5" fillId="0" borderId="0" xfId="0" applyFont="1" applyAlignment="1">
      <alignment horizontal="left" wrapText="1"/>
    </xf>
    <xf numFmtId="0" fontId="8" fillId="0" borderId="0" xfId="0" applyFont="1" applyAlignment="1">
      <alignment wrapText="1"/>
    </xf>
    <xf numFmtId="0" fontId="19" fillId="0" borderId="0" xfId="0" applyFont="1" applyAlignment="1">
      <alignment vertical="top" wrapText="1"/>
    </xf>
    <xf numFmtId="0" fontId="20" fillId="0" borderId="0" xfId="0" applyFont="1" applyAlignment="1">
      <alignment wrapText="1"/>
    </xf>
    <xf numFmtId="0" fontId="38" fillId="0" borderId="0" xfId="0" applyFont="1" applyAlignment="1">
      <alignment horizontal="center"/>
    </xf>
    <xf numFmtId="0" fontId="5" fillId="0" borderId="0" xfId="7" applyFont="1" applyAlignment="1">
      <alignment horizontal="center"/>
    </xf>
    <xf numFmtId="0" fontId="40" fillId="0" borderId="0" xfId="7" applyFont="1" applyAlignment="1">
      <alignment horizontal="center"/>
    </xf>
    <xf numFmtId="0" fontId="34" fillId="0" borderId="0" xfId="7" applyFont="1" applyAlignment="1">
      <alignment horizontal="center"/>
    </xf>
    <xf numFmtId="0" fontId="39" fillId="0" borderId="0" xfId="0" applyFont="1" applyAlignment="1">
      <alignment horizontal="center"/>
    </xf>
  </cellXfs>
  <cellStyles count="31">
    <cellStyle name="Comma" xfId="1" builtinId="3"/>
    <cellStyle name="Comma [0] 2" xfId="26" xr:uid="{ACF77B07-F192-43DD-A6C0-E0EBF60102AA}"/>
    <cellStyle name="Comma [0] 3" xfId="27" xr:uid="{C4D65B8C-FC9D-4E38-AE29-365254A2A232}"/>
    <cellStyle name="Comma 2" xfId="2" xr:uid="{00000000-0005-0000-0000-000001000000}"/>
    <cellStyle name="Comma 3" xfId="3" xr:uid="{00000000-0005-0000-0000-000002000000}"/>
    <cellStyle name="Comma 4" xfId="20" xr:uid="{0301D432-E72B-4502-A6AF-F999537EA0EF}"/>
    <cellStyle name="Comma 5" xfId="28" xr:uid="{EBAB7BC5-C1D1-4D4C-B3F1-27EDDD2198BB}"/>
    <cellStyle name="Comma 6" xfId="21" xr:uid="{1C3BFF46-F95C-4FC6-AAED-20B23B0D7DC6}"/>
    <cellStyle name="Currency" xfId="4" builtinId="4"/>
    <cellStyle name="Currency 2" xfId="5" xr:uid="{00000000-0005-0000-0000-000004000000}"/>
    <cellStyle name="Currency 2 2" xfId="13" xr:uid="{FFDD835F-5613-48AE-9646-6FE079AFEABA}"/>
    <cellStyle name="Currency 3" xfId="6" xr:uid="{00000000-0005-0000-0000-000005000000}"/>
    <cellStyle name="Currency 3 2" xfId="16" xr:uid="{4AD5E9E2-6D49-4BF3-A58A-5EC1DC4CDBB3}"/>
    <cellStyle name="Currency 3 2 2" xfId="25" xr:uid="{83338403-799C-4897-9BC5-9EDBF4B37B90}"/>
    <cellStyle name="Currency 3 3" xfId="23" xr:uid="{2C5EB816-E6B0-43D8-88D2-B11BD16832C0}"/>
    <cellStyle name="Normal" xfId="0" builtinId="0"/>
    <cellStyle name="Normal 2" xfId="7" xr:uid="{00000000-0005-0000-0000-000007000000}"/>
    <cellStyle name="Normal 3" xfId="8" xr:uid="{00000000-0005-0000-0000-000008000000}"/>
    <cellStyle name="Normal 3 2" xfId="14" xr:uid="{85730629-C653-4F47-B5E6-D996F2C8AB3A}"/>
    <cellStyle name="Normal 4" xfId="15" xr:uid="{D8BBB2D4-4EEB-4BBA-9ABA-7C17F1352AA5}"/>
    <cellStyle name="Normal 4 2" xfId="24" xr:uid="{12E246F9-9A38-4B04-AD72-A8E36D64DEE2}"/>
    <cellStyle name="Normal 4 3" xfId="22" xr:uid="{E9794E69-6C81-47EB-9290-EDA75A83FBEA}"/>
    <cellStyle name="Normal 5" xfId="19" xr:uid="{CFD19096-342A-492F-B9B4-7A9CF8D0966C}"/>
    <cellStyle name="Normal 6" xfId="29" xr:uid="{2EB4CB9A-531F-4514-AAA0-C6F2BB604BF0}"/>
    <cellStyle name="Normal 7" xfId="30" xr:uid="{98F9DF15-9AF8-4CE8-8AD8-2AEEFAF8F5FD}"/>
    <cellStyle name="Normal_DMA FRV Model with 2006 Capital Data Survey" xfId="9" xr:uid="{00000000-0005-0000-0000-000009000000}"/>
    <cellStyle name="Normal_Property Survey Results 1999 Survey" xfId="18" xr:uid="{2AEBA2B6-F987-48EC-9504-A6C6F156C11E}"/>
    <cellStyle name="Normal_Sheet1" xfId="17" xr:uid="{75484D53-5095-4736-9737-242B37E990B0}"/>
    <cellStyle name="Percent" xfId="10" builtinId="5"/>
    <cellStyle name="Percent 2" xfId="11" xr:uid="{00000000-0005-0000-0000-000010000000}"/>
    <cellStyle name="Percent 3" xfId="12"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nchcfa-my.sharepoint.com/personal/samc_nchcfa_org/Documents/NCHCFA/Medicaid%20Rates/Rate%20Models/2024-04%20Apr_Jun%202024%20Rate%20Model%20-%20corrected.xlsx" TargetMode="External"/><Relationship Id="rId1" Type="http://schemas.openxmlformats.org/officeDocument/2006/relationships/externalLinkPath" Target="/personal/samc_nchcfa_org/Documents/NCHCFA/Medicaid%20Rates/Rate%20Models/2024-04%20Apr_Jun%202024%20Rate%20Model%20-%20corr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Assumptions"/>
      <sheetName val="Rate Sheet"/>
      <sheetName val="Rate Calculation"/>
      <sheetName val="RATE REDUCTIONS"/>
      <sheetName val="State Owned Facilitys"/>
      <sheetName val="Changes"/>
      <sheetName val="Aging Sch Prior to 2016"/>
      <sheetName val="CIHA Rates"/>
      <sheetName val="FRV Output"/>
      <sheetName val="Aging Schedule"/>
      <sheetName val="FAC_CMI 10.01.23 "/>
      <sheetName val="Audited Free Standing "/>
      <sheetName val="CDS 2018"/>
      <sheetName val="CDS 2019"/>
      <sheetName val="CDS "/>
      <sheetName val="Hist. Cost Index"/>
      <sheetName val="Square Footage"/>
      <sheetName val="Sq Ft Per Bed"/>
      <sheetName val="Location Factor"/>
      <sheetName val="Maximum Age"/>
      <sheetName val="Provider Tax"/>
      <sheetName val="Audited Hospital Based"/>
      <sheetName val="Audited FS Medicare Days"/>
      <sheetName val="Audited Hosp Medicare Days"/>
      <sheetName val="2005 Data"/>
      <sheetName val="Options"/>
      <sheetName val="Inflation"/>
      <sheetName val="direct array"/>
      <sheetName val="indirect array"/>
      <sheetName val="Schedule A Data"/>
      <sheetName val="Schedule B Allocations"/>
      <sheetName val="Schedule B Data"/>
      <sheetName val="Schedule E Data"/>
      <sheetName val="Facility CMI Summary"/>
      <sheetName val="TW Annual CMI 2005"/>
      <sheetName val="Inflaton 2"/>
      <sheetName val="Sheet1"/>
      <sheetName val="Avg Medicaid - Medicare Days"/>
      <sheetName val="vlookup data"/>
      <sheetName val="Sheet3"/>
    </sheetNames>
    <sheetDataSet>
      <sheetData sheetId="0"/>
      <sheetData sheetId="1"/>
      <sheetData sheetId="2"/>
      <sheetData sheetId="3"/>
      <sheetData sheetId="4"/>
      <sheetData sheetId="5"/>
      <sheetData sheetId="6"/>
      <sheetData sheetId="7"/>
      <sheetData sheetId="8"/>
      <sheetData sheetId="9">
        <row r="9">
          <cell r="AO9" t="str">
            <v xml:space="preserve"> </v>
          </cell>
        </row>
        <row r="15">
          <cell r="M15" t="str">
            <v xml:space="preserve"> </v>
          </cell>
        </row>
        <row r="30">
          <cell r="BC30" t="str">
            <v>Prior Year</v>
          </cell>
        </row>
        <row r="31">
          <cell r="M31">
            <v>2021</v>
          </cell>
          <cell r="N31">
            <v>2021</v>
          </cell>
          <cell r="W31" t="str">
            <v>Medicaid</v>
          </cell>
          <cell r="AO31" t="str">
            <v>Facility</v>
          </cell>
          <cell r="BC31" t="str">
            <v>Total FRV</v>
          </cell>
        </row>
        <row r="32">
          <cell r="F32" t="str">
            <v>NPI</v>
          </cell>
          <cell r="M32" t="str">
            <v>Actual Total INPT Days</v>
          </cell>
          <cell r="N32" t="str">
            <v>Annualized Total Inpatient Days</v>
          </cell>
          <cell r="U32" t="str">
            <v>Zip Code</v>
          </cell>
          <cell r="W32" t="str">
            <v>Lic Beds</v>
          </cell>
          <cell r="Z32" t="str">
            <v>Non-Reporting Square Footage</v>
          </cell>
          <cell r="AO32" t="str">
            <v>Ave. Age</v>
          </cell>
          <cell r="BC32" t="str">
            <v>per CAID Day</v>
          </cell>
        </row>
        <row r="33">
          <cell r="F33">
            <v>1245227578</v>
          </cell>
          <cell r="M33">
            <v>49939</v>
          </cell>
          <cell r="N33">
            <v>50075.819178082194</v>
          </cell>
          <cell r="U33">
            <v>28658</v>
          </cell>
          <cell r="W33">
            <v>174</v>
          </cell>
          <cell r="Z33">
            <v>859.92736496426664</v>
          </cell>
          <cell r="AO33">
            <v>4.5299999999999727</v>
          </cell>
          <cell r="BC33">
            <v>41.389858167606789</v>
          </cell>
        </row>
        <row r="34">
          <cell r="F34">
            <v>1114501442</v>
          </cell>
          <cell r="M34">
            <v>51274.113785557987</v>
          </cell>
          <cell r="N34">
            <v>41064.169902656948</v>
          </cell>
          <cell r="U34">
            <v>27215</v>
          </cell>
          <cell r="W34">
            <v>180</v>
          </cell>
          <cell r="Z34">
            <v>286.46666666666664</v>
          </cell>
          <cell r="AO34">
            <v>16.509999999999991</v>
          </cell>
          <cell r="BC34">
            <v>19.251895039484307</v>
          </cell>
        </row>
        <row r="35">
          <cell r="F35">
            <v>1962126904</v>
          </cell>
          <cell r="M35">
            <v>17558</v>
          </cell>
          <cell r="N35">
            <v>17606.104109589043</v>
          </cell>
          <cell r="U35">
            <v>28054</v>
          </cell>
          <cell r="W35">
            <v>60</v>
          </cell>
          <cell r="Z35">
            <v>295.06324973400211</v>
          </cell>
          <cell r="AO35">
            <v>25.269999999999982</v>
          </cell>
          <cell r="BC35">
            <v>13.147780941659905</v>
          </cell>
        </row>
        <row r="36">
          <cell r="F36">
            <v>1962505313</v>
          </cell>
          <cell r="M36">
            <v>35566</v>
          </cell>
          <cell r="N36">
            <v>35663.441095890412</v>
          </cell>
          <cell r="U36">
            <v>28640</v>
          </cell>
          <cell r="W36">
            <v>210</v>
          </cell>
          <cell r="Z36">
            <v>413.3095238095238</v>
          </cell>
          <cell r="AO36">
            <v>22.650000000000091</v>
          </cell>
          <cell r="BC36">
            <v>16.829967884951607</v>
          </cell>
        </row>
        <row r="37">
          <cell r="F37">
            <v>1396202024</v>
          </cell>
          <cell r="M37">
            <v>29742</v>
          </cell>
          <cell r="N37">
            <v>29823.484931506853</v>
          </cell>
          <cell r="U37">
            <v>28778</v>
          </cell>
          <cell r="W37">
            <v>106</v>
          </cell>
          <cell r="Z37">
            <v>324.08490566037733</v>
          </cell>
          <cell r="AO37">
            <v>14.440000000000055</v>
          </cell>
          <cell r="BC37">
            <v>19.638481059790511</v>
          </cell>
        </row>
        <row r="38">
          <cell r="F38">
            <v>1194722629</v>
          </cell>
          <cell r="M38">
            <v>30227</v>
          </cell>
          <cell r="N38">
            <v>30309.81369863014</v>
          </cell>
          <cell r="U38">
            <v>28806</v>
          </cell>
          <cell r="W38">
            <v>120</v>
          </cell>
          <cell r="Z38">
            <v>602.56356955908996</v>
          </cell>
          <cell r="AO38">
            <v>5.5299999999999727</v>
          </cell>
          <cell r="BC38">
            <v>35.172914088690838</v>
          </cell>
        </row>
        <row r="39">
          <cell r="F39">
            <v>1255878245</v>
          </cell>
          <cell r="M39">
            <v>27160</v>
          </cell>
          <cell r="N39">
            <v>27234.410958904111</v>
          </cell>
          <cell r="U39">
            <v>27209</v>
          </cell>
          <cell r="W39">
            <v>141</v>
          </cell>
          <cell r="Z39">
            <v>354.71139563589196</v>
          </cell>
          <cell r="AO39">
            <v>29.279999999999973</v>
          </cell>
          <cell r="BC39">
            <v>11.768345193633253</v>
          </cell>
        </row>
        <row r="40">
          <cell r="F40">
            <v>1275519506</v>
          </cell>
          <cell r="M40">
            <v>28215</v>
          </cell>
          <cell r="N40">
            <v>28292.301369863017</v>
          </cell>
          <cell r="U40">
            <v>28619</v>
          </cell>
          <cell r="W40">
            <v>100</v>
          </cell>
          <cell r="Z40">
            <v>376.84210526315786</v>
          </cell>
          <cell r="AO40">
            <v>31.400000000000091</v>
          </cell>
          <cell r="BC40">
            <v>11.492299787862038</v>
          </cell>
        </row>
        <row r="41">
          <cell r="F41">
            <v>1770995094</v>
          </cell>
          <cell r="M41">
            <v>10174</v>
          </cell>
          <cell r="N41">
            <v>10201.873972602742</v>
          </cell>
          <cell r="U41">
            <v>28043</v>
          </cell>
          <cell r="W41">
            <v>100</v>
          </cell>
          <cell r="Z41">
            <v>251.29789985029481</v>
          </cell>
          <cell r="AO41">
            <v>26.8900000000001</v>
          </cell>
          <cell r="BC41">
            <v>12.681576853344076</v>
          </cell>
        </row>
        <row r="42">
          <cell r="F42">
            <v>1609852375</v>
          </cell>
          <cell r="M42">
            <v>32331</v>
          </cell>
          <cell r="N42">
            <v>32419.578082191783</v>
          </cell>
          <cell r="U42">
            <v>28752</v>
          </cell>
          <cell r="W42">
            <v>110</v>
          </cell>
          <cell r="Z42">
            <v>344.54998866470191</v>
          </cell>
          <cell r="AO42">
            <v>33.099999999999909</v>
          </cell>
          <cell r="BC42">
            <v>9.6130363602099784</v>
          </cell>
        </row>
        <row r="43">
          <cell r="F43">
            <v>1093791337</v>
          </cell>
          <cell r="M43">
            <v>28817</v>
          </cell>
          <cell r="N43">
            <v>28895.950684931511</v>
          </cell>
          <cell r="U43">
            <v>28103</v>
          </cell>
          <cell r="W43">
            <v>110</v>
          </cell>
          <cell r="Z43">
            <v>462.19918934568619</v>
          </cell>
          <cell r="AO43">
            <v>10.190000000000055</v>
          </cell>
          <cell r="BC43">
            <v>25.626129684792851</v>
          </cell>
        </row>
        <row r="44">
          <cell r="F44">
            <v>1912485517</v>
          </cell>
          <cell r="M44">
            <v>31385</v>
          </cell>
          <cell r="N44">
            <v>31470.986301369867</v>
          </cell>
          <cell r="U44">
            <v>27028</v>
          </cell>
          <cell r="W44">
            <v>96</v>
          </cell>
          <cell r="Z44">
            <v>592.59259259259261</v>
          </cell>
          <cell r="AO44">
            <v>5</v>
          </cell>
          <cell r="BC44">
            <v>33.940742103977485</v>
          </cell>
        </row>
        <row r="45">
          <cell r="F45">
            <v>1073599635</v>
          </cell>
          <cell r="M45">
            <v>29242</v>
          </cell>
          <cell r="N45">
            <v>29322.115068493153</v>
          </cell>
          <cell r="U45">
            <v>28408</v>
          </cell>
          <cell r="W45">
            <v>90</v>
          </cell>
          <cell r="Z45">
            <v>636.64433277498597</v>
          </cell>
          <cell r="AO45">
            <v>13.029999999999973</v>
          </cell>
          <cell r="BC45">
            <v>29.155707584711767</v>
          </cell>
        </row>
        <row r="46">
          <cell r="F46">
            <v>1053396788</v>
          </cell>
          <cell r="M46">
            <v>18452</v>
          </cell>
          <cell r="N46">
            <v>18502.553424657537</v>
          </cell>
          <cell r="U46">
            <v>27856</v>
          </cell>
          <cell r="W46">
            <v>60</v>
          </cell>
          <cell r="Z46">
            <v>678.39407744874711</v>
          </cell>
          <cell r="AO46">
            <v>7.25</v>
          </cell>
          <cell r="BC46">
            <v>36.525944424769015</v>
          </cell>
        </row>
        <row r="47">
          <cell r="F47">
            <v>1851377543</v>
          </cell>
          <cell r="M47">
            <v>37159</v>
          </cell>
          <cell r="N47">
            <v>37260.805479452058</v>
          </cell>
          <cell r="U47">
            <v>28376</v>
          </cell>
          <cell r="W47">
            <v>132</v>
          </cell>
          <cell r="Z47">
            <v>345.79735906551554</v>
          </cell>
          <cell r="AO47">
            <v>21.069999999999936</v>
          </cell>
          <cell r="BC47">
            <v>16.250572374294951</v>
          </cell>
        </row>
        <row r="48">
          <cell r="F48">
            <v>1598127276</v>
          </cell>
          <cell r="M48">
            <v>21314</v>
          </cell>
          <cell r="N48">
            <v>21372.394520547947</v>
          </cell>
          <cell r="U48">
            <v>27869</v>
          </cell>
          <cell r="W48">
            <v>69</v>
          </cell>
          <cell r="Z48">
            <v>412.98550724637681</v>
          </cell>
          <cell r="AO48">
            <v>14</v>
          </cell>
          <cell r="BC48">
            <v>20.726740450716463</v>
          </cell>
        </row>
        <row r="49">
          <cell r="F49">
            <v>1508842295</v>
          </cell>
          <cell r="M49">
            <v>31402</v>
          </cell>
          <cell r="N49">
            <v>31488.032876712332</v>
          </cell>
          <cell r="U49">
            <v>28145</v>
          </cell>
          <cell r="W49">
            <v>97</v>
          </cell>
          <cell r="Z49">
            <v>583.71672438124494</v>
          </cell>
          <cell r="AO49">
            <v>11.240000000000009</v>
          </cell>
          <cell r="BC49">
            <v>29.882991009480413</v>
          </cell>
        </row>
        <row r="50">
          <cell r="F50">
            <v>1639155302</v>
          </cell>
          <cell r="M50">
            <v>24318</v>
          </cell>
          <cell r="N50">
            <v>24384.624657534248</v>
          </cell>
          <cell r="U50">
            <v>28773</v>
          </cell>
          <cell r="W50">
            <v>99</v>
          </cell>
          <cell r="Z50">
            <v>385.05050505050502</v>
          </cell>
          <cell r="AO50">
            <v>34.440000000000055</v>
          </cell>
          <cell r="BC50">
            <v>10.233040453452482</v>
          </cell>
        </row>
        <row r="51">
          <cell r="F51">
            <v>1346226040</v>
          </cell>
          <cell r="M51">
            <v>30721</v>
          </cell>
          <cell r="N51">
            <v>30805.167123287676</v>
          </cell>
          <cell r="U51">
            <v>28459</v>
          </cell>
          <cell r="W51">
            <v>100</v>
          </cell>
          <cell r="Z51">
            <v>420.59752066115703</v>
          </cell>
          <cell r="AO51">
            <v>28.769999999999982</v>
          </cell>
          <cell r="BC51">
            <v>13.610206655325237</v>
          </cell>
        </row>
        <row r="52">
          <cell r="F52">
            <v>1730722240</v>
          </cell>
          <cell r="M52">
            <v>24992</v>
          </cell>
          <cell r="N52">
            <v>25060.471232876716</v>
          </cell>
          <cell r="U52">
            <v>28687</v>
          </cell>
          <cell r="W52">
            <v>103</v>
          </cell>
          <cell r="Z52">
            <v>559.29203539823004</v>
          </cell>
          <cell r="AO52">
            <v>7.0299999999999727</v>
          </cell>
          <cell r="BC52">
            <v>31.85986677640788</v>
          </cell>
        </row>
        <row r="53">
          <cell r="F53">
            <v>1528044294</v>
          </cell>
          <cell r="M53">
            <v>26235</v>
          </cell>
          <cell r="N53">
            <v>26306.876712328769</v>
          </cell>
          <cell r="U53">
            <v>28786</v>
          </cell>
          <cell r="W53">
            <v>90</v>
          </cell>
          <cell r="Z53">
            <v>476.01142685310481</v>
          </cell>
          <cell r="AO53">
            <v>19.269999999999982</v>
          </cell>
          <cell r="BC53">
            <v>20.358312052442624</v>
          </cell>
        </row>
        <row r="54">
          <cell r="F54">
            <v>1962052498</v>
          </cell>
          <cell r="M54">
            <v>26081</v>
          </cell>
          <cell r="N54">
            <v>26152.454794520552</v>
          </cell>
          <cell r="U54">
            <v>28211</v>
          </cell>
          <cell r="W54">
            <v>100</v>
          </cell>
          <cell r="Z54">
            <v>349.99</v>
          </cell>
          <cell r="AO54">
            <v>35.5</v>
          </cell>
          <cell r="BC54">
            <v>9.0491485750602614</v>
          </cell>
        </row>
        <row r="55">
          <cell r="F55">
            <v>1871143305</v>
          </cell>
          <cell r="M55">
            <v>23032</v>
          </cell>
          <cell r="N55">
            <v>23095.101369863016</v>
          </cell>
          <cell r="U55">
            <v>28025</v>
          </cell>
          <cell r="W55">
            <v>120</v>
          </cell>
          <cell r="Z55">
            <v>327.14166666666665</v>
          </cell>
          <cell r="AO55">
            <v>35.5</v>
          </cell>
          <cell r="BC55">
            <v>8.5457396352102677</v>
          </cell>
        </row>
        <row r="56">
          <cell r="F56">
            <v>1225688757</v>
          </cell>
          <cell r="M56">
            <v>31563</v>
          </cell>
          <cell r="N56">
            <v>31649.473972602744</v>
          </cell>
          <cell r="U56">
            <v>27320</v>
          </cell>
          <cell r="W56">
            <v>110</v>
          </cell>
          <cell r="Z56">
            <v>259.72727272727275</v>
          </cell>
          <cell r="AO56">
            <v>35.5</v>
          </cell>
          <cell r="BC56">
            <v>8.1872450331397157</v>
          </cell>
        </row>
        <row r="57">
          <cell r="F57">
            <v>1841840378</v>
          </cell>
          <cell r="M57">
            <v>28889</v>
          </cell>
          <cell r="N57">
            <v>28968.147945205481</v>
          </cell>
          <cell r="U57">
            <v>28697</v>
          </cell>
          <cell r="W57">
            <v>120</v>
          </cell>
          <cell r="Z57">
            <v>308.61666666666667</v>
          </cell>
          <cell r="AO57">
            <v>35.5</v>
          </cell>
          <cell r="BC57">
            <v>8.542559165995165</v>
          </cell>
        </row>
        <row r="58">
          <cell r="F58">
            <v>1760032296</v>
          </cell>
          <cell r="M58">
            <v>21299</v>
          </cell>
          <cell r="N58">
            <v>21357.353424657536</v>
          </cell>
          <cell r="U58">
            <v>27893</v>
          </cell>
          <cell r="W58">
            <v>110</v>
          </cell>
          <cell r="Z58">
            <v>277.67272727272729</v>
          </cell>
          <cell r="AO58">
            <v>35.5</v>
          </cell>
          <cell r="BC58">
            <v>8.3119773360753229</v>
          </cell>
        </row>
        <row r="59">
          <cell r="F59">
            <v>1295723377</v>
          </cell>
          <cell r="M59">
            <v>20226</v>
          </cell>
          <cell r="N59">
            <v>20281.413698630138</v>
          </cell>
          <cell r="U59">
            <v>27106</v>
          </cell>
          <cell r="W59">
            <v>85</v>
          </cell>
          <cell r="Z59">
            <v>400</v>
          </cell>
          <cell r="AO59">
            <v>10</v>
          </cell>
          <cell r="BC59">
            <v>23.735789576954065</v>
          </cell>
        </row>
        <row r="60">
          <cell r="F60">
            <v>1649254582</v>
          </cell>
          <cell r="M60">
            <v>16765</v>
          </cell>
          <cell r="N60">
            <v>16810.931506849316</v>
          </cell>
          <cell r="U60">
            <v>28562</v>
          </cell>
          <cell r="W60">
            <v>60</v>
          </cell>
          <cell r="Z60">
            <v>748.7714099046126</v>
          </cell>
          <cell r="AO60">
            <v>7.1099999999999</v>
          </cell>
          <cell r="BC60">
            <v>38.219847682191769</v>
          </cell>
        </row>
        <row r="61">
          <cell r="F61">
            <v>1316512346</v>
          </cell>
          <cell r="M61">
            <v>27191.301969365428</v>
          </cell>
          <cell r="N61">
            <v>21776.841402161372</v>
          </cell>
          <cell r="U61">
            <v>28052</v>
          </cell>
          <cell r="W61">
            <v>80</v>
          </cell>
          <cell r="Z61">
            <v>454.6</v>
          </cell>
          <cell r="AO61">
            <v>10.809999999999945</v>
          </cell>
          <cell r="BC61">
            <v>24.489018855608688</v>
          </cell>
        </row>
        <row r="62">
          <cell r="F62">
            <v>1992724157</v>
          </cell>
          <cell r="M62">
            <v>21261</v>
          </cell>
          <cell r="N62">
            <v>21319.249315068497</v>
          </cell>
          <cell r="U62">
            <v>28301</v>
          </cell>
          <cell r="W62">
            <v>85</v>
          </cell>
          <cell r="Z62">
            <v>266.8235294117647</v>
          </cell>
          <cell r="AO62">
            <v>27.650000000000091</v>
          </cell>
          <cell r="BC62">
            <v>12.269485739564862</v>
          </cell>
        </row>
        <row r="63">
          <cell r="F63">
            <v>1578059085</v>
          </cell>
          <cell r="M63">
            <v>21213</v>
          </cell>
          <cell r="N63">
            <v>21271.11780821918</v>
          </cell>
          <cell r="U63">
            <v>28804</v>
          </cell>
          <cell r="W63">
            <v>77</v>
          </cell>
          <cell r="Z63">
            <v>389.94805194805195</v>
          </cell>
          <cell r="AO63">
            <v>25.920000000000073</v>
          </cell>
          <cell r="BC63">
            <v>13.902388340344912</v>
          </cell>
        </row>
        <row r="64">
          <cell r="F64">
            <v>1114480233</v>
          </cell>
          <cell r="M64">
            <v>29436</v>
          </cell>
          <cell r="N64">
            <v>29516.646575342467</v>
          </cell>
          <cell r="U64">
            <v>28204</v>
          </cell>
          <cell r="W64">
            <v>120</v>
          </cell>
          <cell r="Z64">
            <v>332.61666666666667</v>
          </cell>
          <cell r="AO64">
            <v>19.460000000000036</v>
          </cell>
          <cell r="BC64">
            <v>17.91172479742146</v>
          </cell>
        </row>
        <row r="65">
          <cell r="F65">
            <v>1689147035</v>
          </cell>
          <cell r="M65">
            <v>25184</v>
          </cell>
          <cell r="N65">
            <v>25252.997260273976</v>
          </cell>
          <cell r="U65">
            <v>27401</v>
          </cell>
          <cell r="W65">
            <v>105</v>
          </cell>
          <cell r="Z65">
            <v>255.09790476190474</v>
          </cell>
          <cell r="AO65">
            <v>30.559999999999945</v>
          </cell>
          <cell r="BC65">
            <v>10.36118305745369</v>
          </cell>
        </row>
        <row r="66">
          <cell r="F66" t="str">
            <v>1124778311</v>
          </cell>
          <cell r="M66">
            <v>42604</v>
          </cell>
          <cell r="N66">
            <v>42720.723287671237</v>
          </cell>
          <cell r="U66">
            <v>27834</v>
          </cell>
          <cell r="W66">
            <v>152</v>
          </cell>
          <cell r="Z66">
            <v>511.23026315789474</v>
          </cell>
          <cell r="AO66">
            <v>12.180000000000064</v>
          </cell>
          <cell r="BC66">
            <v>26.321448969169815</v>
          </cell>
        </row>
        <row r="67">
          <cell r="F67">
            <v>1407574981</v>
          </cell>
          <cell r="M67">
            <v>27619</v>
          </cell>
          <cell r="N67">
            <v>27694.668493150686</v>
          </cell>
          <cell r="U67">
            <v>28739</v>
          </cell>
          <cell r="W67">
            <v>150</v>
          </cell>
          <cell r="Z67">
            <v>259.13333333333333</v>
          </cell>
          <cell r="AO67">
            <v>35.5</v>
          </cell>
          <cell r="BC67">
            <v>8.4499932473811423</v>
          </cell>
        </row>
        <row r="68">
          <cell r="F68" t="str">
            <v>1730839929</v>
          </cell>
          <cell r="M68">
            <v>36845</v>
          </cell>
          <cell r="N68">
            <v>36945.945205479453</v>
          </cell>
          <cell r="U68">
            <v>28358</v>
          </cell>
          <cell r="W68">
            <v>122</v>
          </cell>
          <cell r="Z68">
            <v>315.3360655737705</v>
          </cell>
          <cell r="AO68">
            <v>21.599999999999909</v>
          </cell>
          <cell r="BC68">
            <v>16.015847054794559</v>
          </cell>
        </row>
        <row r="69">
          <cell r="F69">
            <v>1336602358</v>
          </cell>
          <cell r="M69">
            <v>23073</v>
          </cell>
          <cell r="N69">
            <v>23136.213698630138</v>
          </cell>
          <cell r="U69">
            <v>28207</v>
          </cell>
          <cell r="W69">
            <v>133</v>
          </cell>
          <cell r="Z69">
            <v>338.48120300751879</v>
          </cell>
          <cell r="AO69">
            <v>11.369999999999891</v>
          </cell>
          <cell r="BC69">
            <v>22.177080934085446</v>
          </cell>
        </row>
        <row r="70">
          <cell r="F70">
            <v>1215400668</v>
          </cell>
          <cell r="M70">
            <v>25734</v>
          </cell>
          <cell r="N70">
            <v>25804.504109589045</v>
          </cell>
          <cell r="U70">
            <v>27407</v>
          </cell>
          <cell r="W70">
            <v>126</v>
          </cell>
          <cell r="Z70">
            <v>355.42063492063494</v>
          </cell>
          <cell r="AO70">
            <v>21.119999999999891</v>
          </cell>
          <cell r="BC70">
            <v>17.279985495568088</v>
          </cell>
        </row>
        <row r="71">
          <cell r="F71" t="str">
            <v>1831849025</v>
          </cell>
          <cell r="M71">
            <v>34560</v>
          </cell>
          <cell r="N71">
            <v>34654.684931506854</v>
          </cell>
          <cell r="U71">
            <v>27886</v>
          </cell>
          <cell r="W71">
            <v>159</v>
          </cell>
          <cell r="Z71">
            <v>251.13836477987422</v>
          </cell>
          <cell r="AO71">
            <v>18.839999999999918</v>
          </cell>
          <cell r="BC71">
            <v>17.901209873328</v>
          </cell>
        </row>
        <row r="72">
          <cell r="F72">
            <v>1174608350</v>
          </cell>
          <cell r="M72">
            <v>14357</v>
          </cell>
          <cell r="N72">
            <v>14396.334246575343</v>
          </cell>
          <cell r="U72">
            <v>28081</v>
          </cell>
          <cell r="W72">
            <v>50</v>
          </cell>
          <cell r="Z72">
            <v>348.68913776530798</v>
          </cell>
          <cell r="AO72">
            <v>26.130000000000109</v>
          </cell>
          <cell r="BC72">
            <v>12.798127875423033</v>
          </cell>
        </row>
        <row r="73">
          <cell r="F73">
            <v>1225524747</v>
          </cell>
          <cell r="M73">
            <v>30092</v>
          </cell>
          <cell r="N73">
            <v>30174.443835616443</v>
          </cell>
          <cell r="U73">
            <v>28801</v>
          </cell>
          <cell r="W73">
            <v>120</v>
          </cell>
          <cell r="Z73">
            <v>406.81666666666666</v>
          </cell>
          <cell r="AO73">
            <v>8</v>
          </cell>
          <cell r="BC73">
            <v>24.123645174053138</v>
          </cell>
        </row>
        <row r="74">
          <cell r="F74">
            <v>1295704997</v>
          </cell>
          <cell r="M74">
            <v>40854</v>
          </cell>
          <cell r="N74">
            <v>40965.928767123289</v>
          </cell>
          <cell r="U74">
            <v>27407</v>
          </cell>
          <cell r="W74">
            <v>134</v>
          </cell>
          <cell r="Z74">
            <v>490.77430202095371</v>
          </cell>
          <cell r="AO74">
            <v>13.339999999999918</v>
          </cell>
          <cell r="BC74">
            <v>25.242086295178659</v>
          </cell>
        </row>
        <row r="75">
          <cell r="F75">
            <v>1700525300</v>
          </cell>
          <cell r="M75">
            <v>39900</v>
          </cell>
          <cell r="N75">
            <v>40009.315068493153</v>
          </cell>
          <cell r="U75">
            <v>27713</v>
          </cell>
          <cell r="W75">
            <v>140</v>
          </cell>
          <cell r="Z75">
            <v>432.02857142857141</v>
          </cell>
          <cell r="AO75">
            <v>8.8399999999999181</v>
          </cell>
          <cell r="BC75">
            <v>24.689122805893675</v>
          </cell>
        </row>
        <row r="76">
          <cell r="F76">
            <v>1487393088</v>
          </cell>
          <cell r="M76">
            <v>33562</v>
          </cell>
          <cell r="N76">
            <v>33653.950684931508</v>
          </cell>
          <cell r="U76">
            <v>27534</v>
          </cell>
          <cell r="W76">
            <v>130</v>
          </cell>
          <cell r="Z76">
            <v>214.13076923076923</v>
          </cell>
          <cell r="AO76">
            <v>7</v>
          </cell>
          <cell r="BC76">
            <v>24.31129641369867</v>
          </cell>
        </row>
        <row r="77">
          <cell r="F77">
            <v>1013656156</v>
          </cell>
          <cell r="M77">
            <v>24782</v>
          </cell>
          <cell r="N77">
            <v>24849.89589041096</v>
          </cell>
          <cell r="U77">
            <v>28791</v>
          </cell>
          <cell r="W77">
            <v>120</v>
          </cell>
          <cell r="Z77">
            <v>326.85000000000002</v>
          </cell>
          <cell r="AO77">
            <v>26.059999999999945</v>
          </cell>
          <cell r="BC77">
            <v>12.614482602739725</v>
          </cell>
        </row>
        <row r="78">
          <cell r="F78">
            <v>1184363236</v>
          </cell>
          <cell r="M78">
            <v>41524</v>
          </cell>
          <cell r="N78">
            <v>41637.764383561647</v>
          </cell>
          <cell r="U78">
            <v>28602</v>
          </cell>
          <cell r="W78">
            <v>150</v>
          </cell>
          <cell r="Z78">
            <v>247.34</v>
          </cell>
          <cell r="AO78">
            <v>15.910000000000082</v>
          </cell>
          <cell r="BC78">
            <v>12.95393367606769</v>
          </cell>
        </row>
        <row r="79">
          <cell r="F79">
            <v>1508505660</v>
          </cell>
          <cell r="M79">
            <v>28324</v>
          </cell>
          <cell r="N79">
            <v>28401.600000000002</v>
          </cell>
          <cell r="U79">
            <v>28777</v>
          </cell>
          <cell r="W79">
            <v>127</v>
          </cell>
          <cell r="Z79">
            <v>284.08661417322833</v>
          </cell>
          <cell r="AO79">
            <v>28.740000000000009</v>
          </cell>
          <cell r="BC79">
            <v>9.4230225761482487</v>
          </cell>
        </row>
        <row r="80">
          <cell r="F80">
            <v>1205575511</v>
          </cell>
          <cell r="M80">
            <v>23387</v>
          </cell>
          <cell r="N80">
            <v>23451.073972602742</v>
          </cell>
          <cell r="U80">
            <v>28466</v>
          </cell>
          <cell r="W80">
            <v>80</v>
          </cell>
          <cell r="Z80">
            <v>334.48750000000001</v>
          </cell>
          <cell r="AO80">
            <v>3.6400000000001</v>
          </cell>
          <cell r="BC80">
            <v>25.852057536261071</v>
          </cell>
        </row>
        <row r="81">
          <cell r="F81">
            <v>1215653324</v>
          </cell>
          <cell r="M81">
            <v>21862</v>
          </cell>
          <cell r="N81">
            <v>21921.89589041096</v>
          </cell>
          <cell r="U81">
            <v>28786</v>
          </cell>
          <cell r="W81">
            <v>90</v>
          </cell>
          <cell r="Z81">
            <v>458.06666666666666</v>
          </cell>
          <cell r="AO81">
            <v>14.329999999999927</v>
          </cell>
          <cell r="BC81">
            <v>22.641910094067399</v>
          </cell>
        </row>
        <row r="82">
          <cell r="F82">
            <v>1417696576</v>
          </cell>
          <cell r="M82">
            <v>35793</v>
          </cell>
          <cell r="N82">
            <v>35891.063013698636</v>
          </cell>
          <cell r="U82">
            <v>28787</v>
          </cell>
          <cell r="W82">
            <v>122</v>
          </cell>
          <cell r="Z82">
            <v>353.15555689673818</v>
          </cell>
          <cell r="AO82">
            <v>21.089999999999918</v>
          </cell>
          <cell r="BC82">
            <v>15.52571570668813</v>
          </cell>
        </row>
        <row r="83">
          <cell r="F83">
            <v>1457090128</v>
          </cell>
          <cell r="M83">
            <v>26360</v>
          </cell>
          <cell r="N83">
            <v>26432.219178082196</v>
          </cell>
          <cell r="U83">
            <v>27895</v>
          </cell>
          <cell r="W83">
            <v>99</v>
          </cell>
          <cell r="Z83">
            <v>352.31313131313129</v>
          </cell>
          <cell r="AO83">
            <v>20.519999999999982</v>
          </cell>
          <cell r="BC83">
            <v>15.833564898468962</v>
          </cell>
        </row>
        <row r="84">
          <cell r="F84">
            <v>1609515378</v>
          </cell>
          <cell r="M84">
            <v>17333</v>
          </cell>
          <cell r="N84">
            <v>17380.487671232877</v>
          </cell>
          <cell r="U84">
            <v>27983</v>
          </cell>
          <cell r="W84">
            <v>82</v>
          </cell>
          <cell r="Z84">
            <v>343.89024390243901</v>
          </cell>
          <cell r="AO84">
            <v>23.630000000000109</v>
          </cell>
          <cell r="BC84">
            <v>14.683171157332797</v>
          </cell>
        </row>
        <row r="85">
          <cell r="F85">
            <v>1225777998</v>
          </cell>
          <cell r="M85">
            <v>43143</v>
          </cell>
          <cell r="N85">
            <v>43261.200000000004</v>
          </cell>
          <cell r="U85">
            <v>27379</v>
          </cell>
          <cell r="W85">
            <v>157</v>
          </cell>
          <cell r="Z85">
            <v>316.66242038216558</v>
          </cell>
          <cell r="AO85">
            <v>21.8900000000001</v>
          </cell>
          <cell r="BC85">
            <v>15.736833939161956</v>
          </cell>
        </row>
        <row r="86">
          <cell r="F86">
            <v>1538808340</v>
          </cell>
          <cell r="M86">
            <v>28723</v>
          </cell>
          <cell r="N86">
            <v>28801.693150684936</v>
          </cell>
          <cell r="U86">
            <v>28025</v>
          </cell>
          <cell r="W86">
            <v>90</v>
          </cell>
          <cell r="Z86">
            <v>391.74444444444447</v>
          </cell>
          <cell r="AO86">
            <v>21.920000000000073</v>
          </cell>
          <cell r="BC86">
            <v>15.456744431391511</v>
          </cell>
        </row>
        <row r="87">
          <cell r="F87">
            <v>1114666427</v>
          </cell>
          <cell r="M87">
            <v>26870</v>
          </cell>
          <cell r="N87">
            <v>26943.616438356166</v>
          </cell>
          <cell r="U87">
            <v>27520</v>
          </cell>
          <cell r="W87">
            <v>90</v>
          </cell>
          <cell r="Z87">
            <v>366.73333333333335</v>
          </cell>
          <cell r="AO87">
            <v>18.75</v>
          </cell>
          <cell r="BC87">
            <v>18.096919449476232</v>
          </cell>
        </row>
        <row r="88">
          <cell r="F88">
            <v>1518606664</v>
          </cell>
          <cell r="M88">
            <v>34717</v>
          </cell>
          <cell r="N88">
            <v>34812.115068493156</v>
          </cell>
          <cell r="U88">
            <v>28093</v>
          </cell>
          <cell r="W88">
            <v>117</v>
          </cell>
          <cell r="Z88">
            <v>402.12602373962926</v>
          </cell>
          <cell r="AO88">
            <v>18.549999999999955</v>
          </cell>
          <cell r="BC88">
            <v>18.228223936718418</v>
          </cell>
        </row>
        <row r="89">
          <cell r="F89">
            <v>1598233645</v>
          </cell>
          <cell r="M89">
            <v>15706</v>
          </cell>
          <cell r="N89">
            <v>15749.030136986303</v>
          </cell>
          <cell r="U89">
            <v>28112</v>
          </cell>
          <cell r="W89">
            <v>60</v>
          </cell>
          <cell r="Z89">
            <v>559.05220562912871</v>
          </cell>
          <cell r="AO89">
            <v>13.980000000000018</v>
          </cell>
          <cell r="BC89">
            <v>27.75353236638432</v>
          </cell>
        </row>
        <row r="90">
          <cell r="F90">
            <v>1659849701</v>
          </cell>
          <cell r="M90">
            <v>22493</v>
          </cell>
          <cell r="N90">
            <v>22554.624657534248</v>
          </cell>
          <cell r="U90">
            <v>28115</v>
          </cell>
          <cell r="W90">
            <v>131</v>
          </cell>
          <cell r="Z90">
            <v>359.8854961832061</v>
          </cell>
          <cell r="AO90">
            <v>19.769999999999982</v>
          </cell>
          <cell r="BC90">
            <v>17.498948397099081</v>
          </cell>
        </row>
        <row r="91">
          <cell r="F91">
            <v>1205357878</v>
          </cell>
          <cell r="M91">
            <v>18178</v>
          </cell>
          <cell r="N91">
            <v>18227.80273972603</v>
          </cell>
          <cell r="U91">
            <v>27106</v>
          </cell>
          <cell r="W91">
            <v>40</v>
          </cell>
          <cell r="Z91">
            <v>377.4375</v>
          </cell>
          <cell r="AO91">
            <v>1</v>
          </cell>
          <cell r="BC91">
            <v>18.913884687534381</v>
          </cell>
        </row>
        <row r="92">
          <cell r="F92">
            <v>1063919652</v>
          </cell>
          <cell r="M92">
            <v>22508</v>
          </cell>
          <cell r="N92">
            <v>22569.665753424659</v>
          </cell>
          <cell r="U92">
            <v>28712</v>
          </cell>
          <cell r="W92">
            <v>147</v>
          </cell>
          <cell r="Z92">
            <v>363.24489795918367</v>
          </cell>
          <cell r="AO92">
            <v>16.220000000000027</v>
          </cell>
          <cell r="BC92">
            <v>18.916916043190927</v>
          </cell>
        </row>
        <row r="93">
          <cell r="F93">
            <v>1518435650</v>
          </cell>
          <cell r="M93">
            <v>26294</v>
          </cell>
          <cell r="N93">
            <v>26366.038356164387</v>
          </cell>
          <cell r="U93">
            <v>28212</v>
          </cell>
          <cell r="W93">
            <v>120</v>
          </cell>
          <cell r="Z93">
            <v>699.91666666666663</v>
          </cell>
          <cell r="AO93">
            <v>6.8599999999999</v>
          </cell>
          <cell r="BC93">
            <v>40.708760836021391</v>
          </cell>
        </row>
        <row r="94">
          <cell r="F94">
            <v>1134868730</v>
          </cell>
          <cell r="M94">
            <v>32805</v>
          </cell>
          <cell r="N94">
            <v>32894.876712328769</v>
          </cell>
          <cell r="U94">
            <v>27288</v>
          </cell>
          <cell r="W94">
            <v>112</v>
          </cell>
          <cell r="Z94">
            <v>311.60714285714283</v>
          </cell>
          <cell r="AO94">
            <v>18.910000000000082</v>
          </cell>
          <cell r="BC94">
            <v>18.073444335858202</v>
          </cell>
        </row>
        <row r="95">
          <cell r="F95">
            <v>1851030985</v>
          </cell>
          <cell r="M95">
            <v>42367</v>
          </cell>
          <cell r="N95">
            <v>42483.073972602746</v>
          </cell>
          <cell r="U95">
            <v>28054</v>
          </cell>
          <cell r="W95">
            <v>162</v>
          </cell>
          <cell r="Z95">
            <v>294.79012345679013</v>
          </cell>
          <cell r="AO95">
            <v>19.069999999999936</v>
          </cell>
          <cell r="BC95">
            <v>12.923003970507624</v>
          </cell>
        </row>
        <row r="96">
          <cell r="F96">
            <v>1639818230</v>
          </cell>
          <cell r="M96">
            <v>17797</v>
          </cell>
          <cell r="N96">
            <v>17845.758904109593</v>
          </cell>
          <cell r="U96">
            <v>27944</v>
          </cell>
          <cell r="W96">
            <v>78</v>
          </cell>
          <cell r="Z96">
            <v>303.43589743589746</v>
          </cell>
          <cell r="AO96">
            <v>14.680000000000064</v>
          </cell>
          <cell r="BC96">
            <v>18.952430136986301</v>
          </cell>
        </row>
        <row r="97">
          <cell r="F97">
            <v>1932606530</v>
          </cell>
          <cell r="M97">
            <v>42150</v>
          </cell>
          <cell r="N97">
            <v>42265.479452054802</v>
          </cell>
          <cell r="U97">
            <v>28144</v>
          </cell>
          <cell r="W97">
            <v>185</v>
          </cell>
          <cell r="Z97">
            <v>296.15675675675675</v>
          </cell>
          <cell r="AO97">
            <v>32.180000000000064</v>
          </cell>
          <cell r="BC97">
            <v>9.8574778236502407</v>
          </cell>
        </row>
        <row r="98">
          <cell r="F98">
            <v>1972071033</v>
          </cell>
          <cell r="M98">
            <v>31323</v>
          </cell>
          <cell r="N98">
            <v>31408.816438356167</v>
          </cell>
          <cell r="U98">
            <v>28677</v>
          </cell>
          <cell r="W98">
            <v>147</v>
          </cell>
          <cell r="Z98">
            <v>248.03401360544217</v>
          </cell>
          <cell r="AO98">
            <v>26.029999999999973</v>
          </cell>
          <cell r="BC98">
            <v>14.017055194399687</v>
          </cell>
        </row>
        <row r="99">
          <cell r="F99">
            <v>1255070306</v>
          </cell>
          <cell r="M99">
            <v>25548</v>
          </cell>
          <cell r="N99">
            <v>25617.994520547949</v>
          </cell>
          <cell r="U99">
            <v>28601</v>
          </cell>
          <cell r="W99">
            <v>104</v>
          </cell>
          <cell r="Z99">
            <v>305.19230769230768</v>
          </cell>
          <cell r="AO99">
            <v>3.5099999999999909</v>
          </cell>
          <cell r="BC99">
            <v>18.78054703948434</v>
          </cell>
        </row>
        <row r="100">
          <cell r="F100">
            <v>1598262198</v>
          </cell>
          <cell r="M100">
            <v>27785</v>
          </cell>
          <cell r="N100">
            <v>27861.123287671235</v>
          </cell>
          <cell r="U100">
            <v>27292</v>
          </cell>
          <cell r="W100">
            <v>106</v>
          </cell>
          <cell r="Z100">
            <v>484.60377358490564</v>
          </cell>
          <cell r="AO100">
            <v>13.589999999999918</v>
          </cell>
          <cell r="BC100">
            <v>24.559193899113392</v>
          </cell>
        </row>
        <row r="101">
          <cell r="F101">
            <v>1437627593</v>
          </cell>
          <cell r="M101">
            <v>19540</v>
          </cell>
          <cell r="N101">
            <v>19593.534246575346</v>
          </cell>
          <cell r="U101">
            <v>28205</v>
          </cell>
          <cell r="W101">
            <v>100</v>
          </cell>
          <cell r="Z101">
            <v>289.76</v>
          </cell>
          <cell r="AO101">
            <v>16.490000000000009</v>
          </cell>
          <cell r="BC101">
            <v>19.268667906526975</v>
          </cell>
        </row>
        <row r="102">
          <cell r="F102">
            <v>1710601653</v>
          </cell>
          <cell r="M102">
            <v>8734</v>
          </cell>
          <cell r="N102">
            <v>8757.9287671232887</v>
          </cell>
          <cell r="U102">
            <v>28144</v>
          </cell>
          <cell r="W102">
            <v>58</v>
          </cell>
          <cell r="Z102">
            <v>405.17241379310343</v>
          </cell>
          <cell r="AO102">
            <v>35.5</v>
          </cell>
          <cell r="BC102">
            <v>10.714298025785656</v>
          </cell>
        </row>
        <row r="103">
          <cell r="F103">
            <v>1033611959</v>
          </cell>
          <cell r="M103">
            <v>25753</v>
          </cell>
          <cell r="N103">
            <v>25823.556164383564</v>
          </cell>
          <cell r="U103">
            <v>27517</v>
          </cell>
          <cell r="W103">
            <v>133</v>
          </cell>
          <cell r="Z103">
            <v>438.15835177615941</v>
          </cell>
          <cell r="AO103">
            <v>5.6700000000000728</v>
          </cell>
          <cell r="BC103">
            <v>26.624339372100511</v>
          </cell>
        </row>
        <row r="104">
          <cell r="F104">
            <v>1356372650</v>
          </cell>
          <cell r="M104">
            <v>26513</v>
          </cell>
          <cell r="N104">
            <v>26585.638356164385</v>
          </cell>
          <cell r="U104">
            <v>28513</v>
          </cell>
          <cell r="W104">
            <v>82</v>
          </cell>
          <cell r="Z104">
            <v>466.96341463414632</v>
          </cell>
          <cell r="AO104">
            <v>17.6400000000001</v>
          </cell>
          <cell r="BC104">
            <v>20.125170185481167</v>
          </cell>
        </row>
        <row r="105">
          <cell r="F105">
            <v>1669408969</v>
          </cell>
          <cell r="M105">
            <v>52840</v>
          </cell>
          <cell r="N105">
            <v>52984.767123287675</v>
          </cell>
          <cell r="U105">
            <v>28262</v>
          </cell>
          <cell r="W105">
            <v>207</v>
          </cell>
          <cell r="Z105">
            <v>313.09216589861751</v>
          </cell>
          <cell r="AO105">
            <v>15.509999999999991</v>
          </cell>
          <cell r="BC105">
            <v>20.070497925543918</v>
          </cell>
        </row>
        <row r="106">
          <cell r="F106">
            <v>1861504946</v>
          </cell>
          <cell r="M106">
            <v>12363</v>
          </cell>
          <cell r="N106">
            <v>12396.871232876714</v>
          </cell>
          <cell r="U106">
            <v>28721</v>
          </cell>
          <cell r="W106">
            <v>50</v>
          </cell>
          <cell r="Z106">
            <v>570.88</v>
          </cell>
          <cell r="AO106">
            <v>10.819999999999936</v>
          </cell>
          <cell r="BC106">
            <v>28.468937675455056</v>
          </cell>
        </row>
        <row r="107">
          <cell r="F107">
            <v>1982640785</v>
          </cell>
          <cell r="M107">
            <v>34549</v>
          </cell>
          <cell r="N107">
            <v>34643.654794520553</v>
          </cell>
          <cell r="U107">
            <v>27630</v>
          </cell>
          <cell r="W107">
            <v>140</v>
          </cell>
          <cell r="Z107">
            <v>264.11038961038963</v>
          </cell>
          <cell r="AO107">
            <v>31.940000000000055</v>
          </cell>
          <cell r="BC107">
            <v>9.7533612882352489</v>
          </cell>
        </row>
        <row r="108">
          <cell r="F108">
            <v>1083659692</v>
          </cell>
          <cell r="M108">
            <v>28549</v>
          </cell>
          <cell r="N108">
            <v>28627.216438356169</v>
          </cell>
          <cell r="U108">
            <v>28932</v>
          </cell>
          <cell r="W108">
            <v>130</v>
          </cell>
          <cell r="Z108">
            <v>360.84615384615387</v>
          </cell>
          <cell r="AO108">
            <v>35.5</v>
          </cell>
          <cell r="BC108">
            <v>9.2048272341288051</v>
          </cell>
        </row>
        <row r="109">
          <cell r="F109">
            <v>1821024274</v>
          </cell>
          <cell r="M109">
            <v>0</v>
          </cell>
          <cell r="N109">
            <v>0</v>
          </cell>
          <cell r="U109">
            <v>27823</v>
          </cell>
          <cell r="W109">
            <v>63</v>
          </cell>
          <cell r="Z109">
            <v>213.11111111111111</v>
          </cell>
          <cell r="AO109">
            <v>35.5</v>
          </cell>
          <cell r="BC109">
            <v>8.4499932473811423</v>
          </cell>
        </row>
        <row r="110">
          <cell r="F110">
            <v>1457397952</v>
          </cell>
          <cell r="M110">
            <v>23747</v>
          </cell>
          <cell r="N110">
            <v>23812.060273972606</v>
          </cell>
          <cell r="U110">
            <v>28734</v>
          </cell>
          <cell r="W110">
            <v>200</v>
          </cell>
          <cell r="Z110">
            <v>329.76</v>
          </cell>
          <cell r="AO110">
            <v>27.619999999999891</v>
          </cell>
          <cell r="BC110">
            <v>11.489547257695412</v>
          </cell>
        </row>
        <row r="111">
          <cell r="F111">
            <v>1508802497</v>
          </cell>
          <cell r="M111">
            <v>46945</v>
          </cell>
          <cell r="N111">
            <v>47073.61643835617</v>
          </cell>
          <cell r="U111">
            <v>27530</v>
          </cell>
          <cell r="W111">
            <v>200</v>
          </cell>
          <cell r="Z111">
            <v>328.35</v>
          </cell>
          <cell r="AO111">
            <v>30.319999999999936</v>
          </cell>
          <cell r="BC111">
            <v>10.254581469197289</v>
          </cell>
        </row>
        <row r="112">
          <cell r="F112">
            <v>1366487464</v>
          </cell>
          <cell r="M112">
            <v>17474</v>
          </cell>
          <cell r="N112">
            <v>17521.873972602742</v>
          </cell>
          <cell r="U112">
            <v>28771</v>
          </cell>
          <cell r="W112">
            <v>80</v>
          </cell>
          <cell r="Z112">
            <v>348.57485185470216</v>
          </cell>
          <cell r="AO112">
            <v>27.599999999999909</v>
          </cell>
          <cell r="BC112">
            <v>12.035711519419792</v>
          </cell>
        </row>
        <row r="113">
          <cell r="F113">
            <v>1619908977</v>
          </cell>
          <cell r="M113">
            <v>27637</v>
          </cell>
          <cell r="N113">
            <v>27712.717808219182</v>
          </cell>
          <cell r="U113">
            <v>27406</v>
          </cell>
          <cell r="W113">
            <v>120</v>
          </cell>
          <cell r="Z113">
            <v>275.67500000000001</v>
          </cell>
          <cell r="AO113">
            <v>33.230000000000018</v>
          </cell>
          <cell r="BC113">
            <v>9.5195836846897564</v>
          </cell>
        </row>
        <row r="114">
          <cell r="F114">
            <v>1689603060</v>
          </cell>
          <cell r="M114">
            <v>28696</v>
          </cell>
          <cell r="N114">
            <v>28774.619178082194</v>
          </cell>
          <cell r="U114">
            <v>28345</v>
          </cell>
          <cell r="W114">
            <v>105</v>
          </cell>
          <cell r="Z114">
            <v>333.19895839316831</v>
          </cell>
          <cell r="AO114">
            <v>24.650000000000091</v>
          </cell>
          <cell r="BC114">
            <v>14.660640493150646</v>
          </cell>
        </row>
        <row r="115">
          <cell r="F115">
            <v>1285665539</v>
          </cell>
          <cell r="M115">
            <v>27886</v>
          </cell>
          <cell r="N115">
            <v>27962.400000000001</v>
          </cell>
          <cell r="U115">
            <v>28334</v>
          </cell>
          <cell r="W115">
            <v>100</v>
          </cell>
          <cell r="Z115">
            <v>456.36</v>
          </cell>
          <cell r="AO115">
            <v>20.75</v>
          </cell>
          <cell r="BC115">
            <v>19.747909639705185</v>
          </cell>
        </row>
        <row r="116">
          <cell r="F116">
            <v>1699710293</v>
          </cell>
          <cell r="M116">
            <v>20709</v>
          </cell>
          <cell r="N116">
            <v>20765.736986301374</v>
          </cell>
          <cell r="U116">
            <v>28532</v>
          </cell>
          <cell r="W116">
            <v>70</v>
          </cell>
          <cell r="Z116">
            <v>465.74285714285713</v>
          </cell>
          <cell r="AO116">
            <v>14.450000000000045</v>
          </cell>
          <cell r="BC116">
            <v>22.729405555605204</v>
          </cell>
        </row>
        <row r="117">
          <cell r="F117">
            <v>1972547321</v>
          </cell>
          <cell r="M117">
            <v>24721</v>
          </cell>
          <cell r="N117">
            <v>24788.728767123292</v>
          </cell>
          <cell r="U117">
            <v>27536</v>
          </cell>
          <cell r="W117">
            <v>92</v>
          </cell>
          <cell r="Z117">
            <v>344.39753626817946</v>
          </cell>
          <cell r="AO117">
            <v>18.150000000000091</v>
          </cell>
          <cell r="BC117">
            <v>17.42553119999997</v>
          </cell>
        </row>
        <row r="118">
          <cell r="F118">
            <v>1962447565</v>
          </cell>
          <cell r="M118">
            <v>44325</v>
          </cell>
          <cell r="N118">
            <v>44446.438356164384</v>
          </cell>
          <cell r="U118">
            <v>28540</v>
          </cell>
          <cell r="W118">
            <v>239</v>
          </cell>
          <cell r="Z118">
            <v>303.202369822962</v>
          </cell>
          <cell r="AO118">
            <v>29.3900000000001</v>
          </cell>
          <cell r="BC118">
            <v>11.41228921426265</v>
          </cell>
        </row>
        <row r="119">
          <cell r="F119">
            <v>1811923931</v>
          </cell>
          <cell r="M119">
            <v>22753</v>
          </cell>
          <cell r="N119">
            <v>22815.336986301372</v>
          </cell>
          <cell r="U119">
            <v>27284</v>
          </cell>
          <cell r="W119">
            <v>92</v>
          </cell>
          <cell r="Z119">
            <v>345.91304347826087</v>
          </cell>
          <cell r="AO119">
            <v>13.329999999999927</v>
          </cell>
          <cell r="BC119">
            <v>19.998403652538258</v>
          </cell>
        </row>
        <row r="120">
          <cell r="F120">
            <v>1932145836</v>
          </cell>
          <cell r="M120">
            <v>36175</v>
          </cell>
          <cell r="N120">
            <v>36274.109589041102</v>
          </cell>
          <cell r="U120">
            <v>28501</v>
          </cell>
          <cell r="W120">
            <v>175</v>
          </cell>
          <cell r="Z120">
            <v>349.45142857142855</v>
          </cell>
          <cell r="AO120">
            <v>11.829999999999927</v>
          </cell>
          <cell r="BC120">
            <v>20.759955136825187</v>
          </cell>
        </row>
        <row r="121">
          <cell r="F121">
            <v>1376570275</v>
          </cell>
          <cell r="M121">
            <v>44088</v>
          </cell>
          <cell r="N121">
            <v>44208.789041095893</v>
          </cell>
          <cell r="U121">
            <v>27549</v>
          </cell>
          <cell r="W121">
            <v>166</v>
          </cell>
          <cell r="Z121">
            <v>312.03036478257241</v>
          </cell>
          <cell r="AO121">
            <v>25.75</v>
          </cell>
          <cell r="BC121">
            <v>14.120329380338385</v>
          </cell>
        </row>
        <row r="122">
          <cell r="F122">
            <v>1255367447</v>
          </cell>
          <cell r="M122">
            <v>40818</v>
          </cell>
          <cell r="N122">
            <v>40929.830136986304</v>
          </cell>
          <cell r="U122">
            <v>27025</v>
          </cell>
          <cell r="W122">
            <v>170</v>
          </cell>
          <cell r="Z122">
            <v>387.85294117647061</v>
          </cell>
          <cell r="AO122">
            <v>27.430000000000064</v>
          </cell>
          <cell r="BC122">
            <v>14.050913290368397</v>
          </cell>
        </row>
        <row r="123">
          <cell r="F123">
            <v>1952337073</v>
          </cell>
          <cell r="M123">
            <v>15664</v>
          </cell>
          <cell r="N123">
            <v>15706.915068493152</v>
          </cell>
          <cell r="U123">
            <v>28655</v>
          </cell>
          <cell r="W123">
            <v>121</v>
          </cell>
          <cell r="Z123">
            <v>321.81818181818181</v>
          </cell>
          <cell r="AO123">
            <v>30.460000000000036</v>
          </cell>
          <cell r="BC123">
            <v>8.5425591659951667</v>
          </cell>
        </row>
        <row r="124">
          <cell r="F124">
            <v>1659307395</v>
          </cell>
          <cell r="M124">
            <v>31069</v>
          </cell>
          <cell r="N124">
            <v>31154.120547945207</v>
          </cell>
          <cell r="U124">
            <v>28563</v>
          </cell>
          <cell r="W124">
            <v>105</v>
          </cell>
          <cell r="Z124">
            <v>334.90848383874612</v>
          </cell>
          <cell r="AO124">
            <v>23.660000000000082</v>
          </cell>
          <cell r="BC124">
            <v>13.957573253424636</v>
          </cell>
        </row>
        <row r="125">
          <cell r="F125">
            <v>1942236161</v>
          </cell>
          <cell r="M125">
            <v>15989</v>
          </cell>
          <cell r="N125">
            <v>16032.805479452056</v>
          </cell>
          <cell r="U125">
            <v>28507</v>
          </cell>
          <cell r="W125">
            <v>64</v>
          </cell>
          <cell r="Z125">
            <v>433.46875</v>
          </cell>
          <cell r="AO125">
            <v>11.400000000000091</v>
          </cell>
          <cell r="BC125">
            <v>22.790671170589683</v>
          </cell>
        </row>
        <row r="126">
          <cell r="F126">
            <v>1396771515</v>
          </cell>
          <cell r="M126">
            <v>43089</v>
          </cell>
          <cell r="N126">
            <v>43207.052054794527</v>
          </cell>
          <cell r="U126">
            <v>28405</v>
          </cell>
          <cell r="W126">
            <v>140</v>
          </cell>
          <cell r="Z126">
            <v>666.75714285714287</v>
          </cell>
          <cell r="AO126">
            <v>7.9100000000000819</v>
          </cell>
          <cell r="BC126">
            <v>36.595728014671771</v>
          </cell>
        </row>
        <row r="127">
          <cell r="F127">
            <v>1558393835</v>
          </cell>
          <cell r="M127">
            <v>24317</v>
          </cell>
          <cell r="N127">
            <v>24383.621917808221</v>
          </cell>
          <cell r="U127">
            <v>28540</v>
          </cell>
          <cell r="W127">
            <v>120</v>
          </cell>
          <cell r="Z127">
            <v>365.23333333333335</v>
          </cell>
          <cell r="AO127">
            <v>24.930000000000064</v>
          </cell>
          <cell r="BC127">
            <v>14.099125643231313</v>
          </cell>
        </row>
        <row r="128">
          <cell r="F128">
            <v>1265816185</v>
          </cell>
          <cell r="M128">
            <v>27412</v>
          </cell>
          <cell r="N128">
            <v>27487.101369863016</v>
          </cell>
          <cell r="U128">
            <v>27959</v>
          </cell>
          <cell r="W128">
            <v>126</v>
          </cell>
          <cell r="Z128">
            <v>335.34920634920633</v>
          </cell>
          <cell r="AO128">
            <v>24.680000000000064</v>
          </cell>
          <cell r="BC128">
            <v>14.494730457292476</v>
          </cell>
        </row>
        <row r="129">
          <cell r="F129">
            <v>1407882830</v>
          </cell>
          <cell r="M129">
            <v>25127</v>
          </cell>
          <cell r="N129">
            <v>25195.841095890413</v>
          </cell>
          <cell r="U129">
            <v>28529</v>
          </cell>
          <cell r="W129">
            <v>96</v>
          </cell>
          <cell r="Z129">
            <v>333.61514450056114</v>
          </cell>
          <cell r="AO129">
            <v>29.1400000000001</v>
          </cell>
          <cell r="BC129">
            <v>11.335671509105588</v>
          </cell>
        </row>
        <row r="130">
          <cell r="F130">
            <v>1235175175</v>
          </cell>
          <cell r="M130">
            <v>37991</v>
          </cell>
          <cell r="N130">
            <v>38095.084931506855</v>
          </cell>
          <cell r="U130">
            <v>28002</v>
          </cell>
          <cell r="W130">
            <v>180</v>
          </cell>
          <cell r="Z130">
            <v>313.17180730682185</v>
          </cell>
          <cell r="AO130">
            <v>35.5</v>
          </cell>
          <cell r="BC130">
            <v>8.6351250846091858</v>
          </cell>
        </row>
        <row r="131">
          <cell r="F131">
            <v>1225064777</v>
          </cell>
          <cell r="M131">
            <v>48426</v>
          </cell>
          <cell r="N131">
            <v>48558.673972602744</v>
          </cell>
          <cell r="U131">
            <v>27577</v>
          </cell>
          <cell r="W131">
            <v>165</v>
          </cell>
          <cell r="Z131">
            <v>399.93939393939394</v>
          </cell>
          <cell r="AO131">
            <v>35.230000000000018</v>
          </cell>
          <cell r="BC131">
            <v>10.635021244295613</v>
          </cell>
        </row>
        <row r="132">
          <cell r="F132">
            <v>1063458958</v>
          </cell>
          <cell r="M132">
            <v>29142</v>
          </cell>
          <cell r="N132">
            <v>29221.841095890413</v>
          </cell>
          <cell r="U132">
            <v>28580</v>
          </cell>
          <cell r="W132">
            <v>115</v>
          </cell>
          <cell r="Z132">
            <v>279.30342073170738</v>
          </cell>
          <cell r="AO132">
            <v>25.869999999999891</v>
          </cell>
          <cell r="BC132">
            <v>13.717363137389206</v>
          </cell>
        </row>
        <row r="133">
          <cell r="F133">
            <v>1750317897</v>
          </cell>
          <cell r="M133">
            <v>34194</v>
          </cell>
          <cell r="N133">
            <v>34287.682191780827</v>
          </cell>
          <cell r="U133">
            <v>27889</v>
          </cell>
          <cell r="W133">
            <v>140</v>
          </cell>
          <cell r="Z133">
            <v>357.84365068260405</v>
          </cell>
          <cell r="AO133">
            <v>22.150000000000091</v>
          </cell>
          <cell r="BC133">
            <v>15.430325816277156</v>
          </cell>
        </row>
        <row r="134">
          <cell r="F134">
            <v>1184650541</v>
          </cell>
          <cell r="M134">
            <v>38749</v>
          </cell>
          <cell r="N134">
            <v>38855.161643835621</v>
          </cell>
          <cell r="U134">
            <v>28697</v>
          </cell>
          <cell r="W134">
            <v>176</v>
          </cell>
          <cell r="Z134">
            <v>310.63162698429454</v>
          </cell>
          <cell r="AO134">
            <v>28.75</v>
          </cell>
          <cell r="BC134">
            <v>11.483381203464978</v>
          </cell>
        </row>
        <row r="135">
          <cell r="F135">
            <v>1700812146</v>
          </cell>
          <cell r="M135">
            <v>30872</v>
          </cell>
          <cell r="N135">
            <v>30956.580821917811</v>
          </cell>
          <cell r="U135">
            <v>27893</v>
          </cell>
          <cell r="W135">
            <v>95</v>
          </cell>
          <cell r="Z135">
            <v>343.92228830492724</v>
          </cell>
          <cell r="AO135">
            <v>17.069999999999936</v>
          </cell>
          <cell r="BC135">
            <v>17.867070882741672</v>
          </cell>
        </row>
        <row r="136">
          <cell r="F136">
            <v>1336612530</v>
          </cell>
          <cell r="M136">
            <v>23498</v>
          </cell>
          <cell r="N136">
            <v>23562.378082191783</v>
          </cell>
          <cell r="U136">
            <v>27278</v>
          </cell>
          <cell r="W136">
            <v>80</v>
          </cell>
          <cell r="Z136">
            <v>583.89233193277312</v>
          </cell>
          <cell r="AO136">
            <v>9.9800000000000182</v>
          </cell>
          <cell r="BC136">
            <v>31.144352333553673</v>
          </cell>
        </row>
        <row r="137">
          <cell r="F137">
            <v>1952446510</v>
          </cell>
          <cell r="M137">
            <v>34915</v>
          </cell>
          <cell r="N137">
            <v>35010.65753424658</v>
          </cell>
          <cell r="U137">
            <v>28451</v>
          </cell>
          <cell r="W137">
            <v>175</v>
          </cell>
          <cell r="Z137">
            <v>350</v>
          </cell>
          <cell r="AO137">
            <v>25</v>
          </cell>
          <cell r="BC137">
            <v>14.043362580580174</v>
          </cell>
        </row>
        <row r="138">
          <cell r="F138">
            <v>1376926519</v>
          </cell>
          <cell r="M138">
            <v>40288</v>
          </cell>
          <cell r="N138">
            <v>40398.378082191783</v>
          </cell>
          <cell r="U138">
            <v>28630</v>
          </cell>
          <cell r="W138">
            <v>120</v>
          </cell>
          <cell r="Z138">
            <v>415</v>
          </cell>
          <cell r="AO138">
            <v>12.119999999999891</v>
          </cell>
          <cell r="BC138">
            <v>19.788359290136018</v>
          </cell>
        </row>
        <row r="139">
          <cell r="F139">
            <v>1225654098</v>
          </cell>
          <cell r="M139">
            <v>650</v>
          </cell>
          <cell r="N139">
            <v>650</v>
          </cell>
          <cell r="U139">
            <v>28304</v>
          </cell>
          <cell r="W139">
            <v>120</v>
          </cell>
          <cell r="Z139">
            <v>348.01666666666665</v>
          </cell>
          <cell r="AO139">
            <v>12.789999999999964</v>
          </cell>
          <cell r="BC139">
            <v>15.426819366236877</v>
          </cell>
        </row>
        <row r="140">
          <cell r="F140">
            <v>1235591918</v>
          </cell>
          <cell r="M140">
            <v>34931</v>
          </cell>
          <cell r="N140">
            <v>35026.701369863018</v>
          </cell>
          <cell r="U140">
            <v>28716</v>
          </cell>
          <cell r="W140">
            <v>114</v>
          </cell>
          <cell r="Z140">
            <v>385.92105263157896</v>
          </cell>
          <cell r="AO140">
            <v>12.190000000000055</v>
          </cell>
          <cell r="BC140">
            <v>20.985096027074889</v>
          </cell>
        </row>
        <row r="141">
          <cell r="F141">
            <v>1336196526</v>
          </cell>
          <cell r="M141">
            <v>18068</v>
          </cell>
          <cell r="N141">
            <v>18117.501369863017</v>
          </cell>
          <cell r="U141">
            <v>28092</v>
          </cell>
          <cell r="W141">
            <v>63</v>
          </cell>
          <cell r="Z141">
            <v>405.23809523809524</v>
          </cell>
          <cell r="AO141">
            <v>24.839999999999918</v>
          </cell>
          <cell r="BC141">
            <v>15.688620660016131</v>
          </cell>
        </row>
        <row r="142">
          <cell r="F142">
            <v>1295279594</v>
          </cell>
          <cell r="M142">
            <v>30970</v>
          </cell>
          <cell r="N142">
            <v>31054.849315068495</v>
          </cell>
          <cell r="U142">
            <v>28021</v>
          </cell>
          <cell r="W142">
            <v>107</v>
          </cell>
          <cell r="Z142">
            <v>497.69659481749591</v>
          </cell>
          <cell r="AO142">
            <v>1.8399999999999181</v>
          </cell>
          <cell r="BC142">
            <v>30.880312815756582</v>
          </cell>
        </row>
        <row r="143">
          <cell r="F143">
            <v>1326074048</v>
          </cell>
          <cell r="M143">
            <v>40321</v>
          </cell>
          <cell r="N143">
            <v>40431.468493150685</v>
          </cell>
          <cell r="U143">
            <v>27406</v>
          </cell>
          <cell r="W143">
            <v>210</v>
          </cell>
          <cell r="Z143">
            <v>309.31812374138036</v>
          </cell>
          <cell r="AO143">
            <v>18.369999999999891</v>
          </cell>
          <cell r="BC143">
            <v>17.730707677034662</v>
          </cell>
        </row>
        <row r="144">
          <cell r="F144">
            <v>1114501459</v>
          </cell>
          <cell r="M144">
            <v>45085.886214442013</v>
          </cell>
          <cell r="N144">
            <v>36108.171454017014</v>
          </cell>
          <cell r="U144">
            <v>28306</v>
          </cell>
          <cell r="W144">
            <v>136</v>
          </cell>
          <cell r="Z144">
            <v>407.41176470588238</v>
          </cell>
          <cell r="AO144">
            <v>4.4800000000000182</v>
          </cell>
          <cell r="BC144">
            <v>26.161848569782478</v>
          </cell>
        </row>
        <row r="145">
          <cell r="F145">
            <v>1255385720</v>
          </cell>
          <cell r="M145">
            <v>28200</v>
          </cell>
          <cell r="N145">
            <v>28277.260273972606</v>
          </cell>
          <cell r="U145">
            <v>27610</v>
          </cell>
          <cell r="W145">
            <v>125</v>
          </cell>
          <cell r="Z145">
            <v>274.56799999999998</v>
          </cell>
          <cell r="AO145">
            <v>18.599999999999909</v>
          </cell>
          <cell r="BC145">
            <v>18.45374117647059</v>
          </cell>
        </row>
        <row r="146">
          <cell r="F146">
            <v>1144804485</v>
          </cell>
          <cell r="M146">
            <v>29489.923413566743</v>
          </cell>
          <cell r="N146">
            <v>23617.750480011877</v>
          </cell>
          <cell r="U146">
            <v>28612</v>
          </cell>
          <cell r="W146">
            <v>90</v>
          </cell>
          <cell r="Z146">
            <v>401.38888888888891</v>
          </cell>
          <cell r="AO146">
            <v>3.3599999999999</v>
          </cell>
          <cell r="BC146">
            <v>26.425718563658336</v>
          </cell>
        </row>
        <row r="147">
          <cell r="F147">
            <v>1336863273</v>
          </cell>
          <cell r="M147">
            <v>41816</v>
          </cell>
          <cell r="N147">
            <v>41930.56438356165</v>
          </cell>
          <cell r="U147">
            <v>28105</v>
          </cell>
          <cell r="W147">
            <v>166</v>
          </cell>
          <cell r="Z147">
            <v>351.92059409784019</v>
          </cell>
          <cell r="AO147">
            <v>23.8599999999999</v>
          </cell>
          <cell r="BC147">
            <v>15.063922800362656</v>
          </cell>
        </row>
        <row r="148">
          <cell r="F148">
            <v>1669821336</v>
          </cell>
          <cell r="M148">
            <v>62597</v>
          </cell>
          <cell r="N148">
            <v>62768.498630136994</v>
          </cell>
          <cell r="U148">
            <v>27704</v>
          </cell>
          <cell r="W148">
            <v>232</v>
          </cell>
          <cell r="Z148">
            <v>375</v>
          </cell>
          <cell r="AO148">
            <v>21.039999999999964</v>
          </cell>
          <cell r="BC148">
            <v>13.048343608380316</v>
          </cell>
        </row>
        <row r="149">
          <cell r="F149">
            <v>1083661193</v>
          </cell>
          <cell r="M149">
            <v>36085</v>
          </cell>
          <cell r="N149">
            <v>36183.863013698632</v>
          </cell>
          <cell r="U149">
            <v>27511</v>
          </cell>
          <cell r="W149">
            <v>120</v>
          </cell>
          <cell r="Z149">
            <v>396.6</v>
          </cell>
          <cell r="AO149">
            <v>18.5</v>
          </cell>
          <cell r="BC149">
            <v>18.331670585656727</v>
          </cell>
        </row>
        <row r="150">
          <cell r="F150">
            <v>1336118298</v>
          </cell>
          <cell r="M150">
            <v>26420</v>
          </cell>
          <cell r="N150">
            <v>26492.383561643837</v>
          </cell>
          <cell r="U150">
            <v>27030</v>
          </cell>
          <cell r="W150">
            <v>120</v>
          </cell>
          <cell r="Z150">
            <v>327.97500000000002</v>
          </cell>
          <cell r="AO150">
            <v>27.400000000000091</v>
          </cell>
          <cell r="BC150">
            <v>12.435987199677712</v>
          </cell>
        </row>
        <row r="151">
          <cell r="F151">
            <v>1609976901</v>
          </cell>
          <cell r="M151">
            <v>21758</v>
          </cell>
          <cell r="N151">
            <v>21817.610958904112</v>
          </cell>
          <cell r="U151">
            <v>28021</v>
          </cell>
          <cell r="W151">
            <v>54</v>
          </cell>
          <cell r="Z151">
            <v>583.32424990269772</v>
          </cell>
          <cell r="AO151">
            <v>8.4000000000000909</v>
          </cell>
          <cell r="BC151">
            <v>25.392048543647469</v>
          </cell>
        </row>
        <row r="152">
          <cell r="F152">
            <v>1104800069</v>
          </cell>
          <cell r="M152">
            <v>29205</v>
          </cell>
          <cell r="N152">
            <v>29285.01369863014</v>
          </cell>
          <cell r="U152">
            <v>28301</v>
          </cell>
          <cell r="W152">
            <v>98</v>
          </cell>
          <cell r="Z152">
            <v>557.72811898694681</v>
          </cell>
          <cell r="AO152">
            <v>11.009999999999991</v>
          </cell>
          <cell r="BC152">
            <v>30.406482612746913</v>
          </cell>
        </row>
        <row r="153">
          <cell r="F153">
            <v>1235239567</v>
          </cell>
          <cell r="M153">
            <v>31014</v>
          </cell>
          <cell r="N153">
            <v>31098.969863013703</v>
          </cell>
          <cell r="U153">
            <v>28054</v>
          </cell>
          <cell r="W153">
            <v>120</v>
          </cell>
          <cell r="Z153">
            <v>310.61538461538464</v>
          </cell>
          <cell r="AO153">
            <v>35.5</v>
          </cell>
          <cell r="BC153">
            <v>8.6351250846091858</v>
          </cell>
        </row>
        <row r="154">
          <cell r="F154">
            <v>1316921190</v>
          </cell>
          <cell r="M154">
            <v>34033</v>
          </cell>
          <cell r="N154">
            <v>34126.241095890415</v>
          </cell>
          <cell r="U154">
            <v>28352</v>
          </cell>
          <cell r="W154">
            <v>149</v>
          </cell>
          <cell r="Z154">
            <v>536.94630872483219</v>
          </cell>
          <cell r="AO154">
            <v>10.089999999999918</v>
          </cell>
          <cell r="BC154">
            <v>29.314882378132957</v>
          </cell>
        </row>
        <row r="155">
          <cell r="F155">
            <v>1194825448</v>
          </cell>
          <cell r="M155">
            <v>25113</v>
          </cell>
          <cell r="N155">
            <v>25181.80273972603</v>
          </cell>
          <cell r="U155">
            <v>28150</v>
          </cell>
          <cell r="W155">
            <v>100</v>
          </cell>
          <cell r="Z155">
            <v>289.83999999999997</v>
          </cell>
          <cell r="AO155">
            <v>35.5</v>
          </cell>
          <cell r="BC155">
            <v>8.7276910032232085</v>
          </cell>
        </row>
        <row r="156">
          <cell r="F156">
            <v>1851375703</v>
          </cell>
          <cell r="M156">
            <v>29100</v>
          </cell>
          <cell r="N156">
            <v>29179.726027397264</v>
          </cell>
          <cell r="U156">
            <v>28557</v>
          </cell>
          <cell r="W156">
            <v>92</v>
          </cell>
          <cell r="Z156">
            <v>589.3478260869565</v>
          </cell>
          <cell r="AO156">
            <v>14.1099999999999</v>
          </cell>
          <cell r="BC156">
            <v>27.999758956848467</v>
          </cell>
        </row>
        <row r="157">
          <cell r="F157">
            <v>1316351034</v>
          </cell>
          <cell r="M157">
            <v>29820</v>
          </cell>
          <cell r="N157">
            <v>29901.698630136991</v>
          </cell>
          <cell r="U157">
            <v>27514</v>
          </cell>
          <cell r="W157">
            <v>108</v>
          </cell>
          <cell r="Z157">
            <v>370.7962962962963</v>
          </cell>
          <cell r="AO157">
            <v>8.2100000000000364</v>
          </cell>
          <cell r="BC157">
            <v>24.445250591216794</v>
          </cell>
        </row>
        <row r="158">
          <cell r="F158">
            <v>1194309336</v>
          </cell>
          <cell r="M158">
            <v>30652.013129102845</v>
          </cell>
          <cell r="N158">
            <v>24548.439398800092</v>
          </cell>
          <cell r="U158">
            <v>28214</v>
          </cell>
          <cell r="W158">
            <v>90</v>
          </cell>
          <cell r="Z158">
            <v>430.64444444444445</v>
          </cell>
          <cell r="AO158">
            <v>3.9200000000000728</v>
          </cell>
          <cell r="BC158">
            <v>26.879149351930003</v>
          </cell>
        </row>
        <row r="159">
          <cell r="F159">
            <v>1356387153</v>
          </cell>
          <cell r="M159">
            <v>25118</v>
          </cell>
          <cell r="N159">
            <v>25186.816438356167</v>
          </cell>
          <cell r="U159">
            <v>27604</v>
          </cell>
          <cell r="W159">
            <v>180</v>
          </cell>
          <cell r="Z159">
            <v>345.22580645161293</v>
          </cell>
          <cell r="AO159">
            <v>25.490000000000009</v>
          </cell>
          <cell r="BC159">
            <v>14.293051785253823</v>
          </cell>
        </row>
        <row r="160">
          <cell r="F160">
            <v>1740249382</v>
          </cell>
          <cell r="M160">
            <v>29289</v>
          </cell>
          <cell r="N160">
            <v>29369.243835616442</v>
          </cell>
          <cell r="U160">
            <v>27203</v>
          </cell>
          <cell r="W160">
            <v>96</v>
          </cell>
          <cell r="Z160">
            <v>715.28125</v>
          </cell>
          <cell r="AO160">
            <v>5.5599999999999454</v>
          </cell>
          <cell r="BC160">
            <v>41.308863917163563</v>
          </cell>
        </row>
        <row r="161">
          <cell r="F161">
            <v>1225000888</v>
          </cell>
          <cell r="M161">
            <v>28796</v>
          </cell>
          <cell r="N161">
            <v>28874.893150684933</v>
          </cell>
          <cell r="U161">
            <v>27313</v>
          </cell>
          <cell r="W161">
            <v>118</v>
          </cell>
          <cell r="Z161">
            <v>498.73728813559325</v>
          </cell>
          <cell r="AO161">
            <v>11.019999999999982</v>
          </cell>
          <cell r="BC161">
            <v>26.906539509210862</v>
          </cell>
        </row>
        <row r="162">
          <cell r="F162">
            <v>1407803679</v>
          </cell>
          <cell r="M162">
            <v>24574</v>
          </cell>
          <cell r="N162">
            <v>24641.326027397263</v>
          </cell>
          <cell r="U162">
            <v>28904</v>
          </cell>
          <cell r="W162">
            <v>90</v>
          </cell>
          <cell r="Z162">
            <v>323.72222222222223</v>
          </cell>
          <cell r="AO162">
            <v>21.869999999999891</v>
          </cell>
          <cell r="BC162">
            <v>15.235834228041892</v>
          </cell>
        </row>
        <row r="163">
          <cell r="F163">
            <v>1841854361</v>
          </cell>
          <cell r="M163">
            <v>33213</v>
          </cell>
          <cell r="N163">
            <v>33303.994520547945</v>
          </cell>
          <cell r="U163">
            <v>28690</v>
          </cell>
          <cell r="W163">
            <v>100</v>
          </cell>
          <cell r="Z163">
            <v>400.5</v>
          </cell>
          <cell r="AO163">
            <v>23.769999999999982</v>
          </cell>
          <cell r="BC163">
            <v>14.253135585888806</v>
          </cell>
        </row>
        <row r="164">
          <cell r="F164">
            <v>1891722187</v>
          </cell>
          <cell r="M164">
            <v>25858</v>
          </cell>
          <cell r="N164">
            <v>25928.843835616441</v>
          </cell>
          <cell r="U164">
            <v>28613</v>
          </cell>
          <cell r="W164">
            <v>90</v>
          </cell>
          <cell r="Z164">
            <v>401.51111111111112</v>
          </cell>
          <cell r="AO164">
            <v>9.1300000000001091</v>
          </cell>
          <cell r="BC164">
            <v>23.686699462530253</v>
          </cell>
        </row>
        <row r="165">
          <cell r="F165">
            <v>1164476636</v>
          </cell>
          <cell r="M165">
            <v>12102</v>
          </cell>
          <cell r="N165">
            <v>12135.156164383563</v>
          </cell>
          <cell r="U165">
            <v>27890</v>
          </cell>
          <cell r="W165">
            <v>50</v>
          </cell>
          <cell r="Z165">
            <v>569.16550988390338</v>
          </cell>
          <cell r="AO165">
            <v>25.559999999999945</v>
          </cell>
          <cell r="BC165">
            <v>20.698056774828093</v>
          </cell>
        </row>
        <row r="166">
          <cell r="F166">
            <v>1891740544</v>
          </cell>
          <cell r="M166">
            <v>22157</v>
          </cell>
          <cell r="N166">
            <v>22217.704109589042</v>
          </cell>
          <cell r="U166">
            <v>27331</v>
          </cell>
          <cell r="W166">
            <v>83</v>
          </cell>
          <cell r="Z166">
            <v>533.7831325301205</v>
          </cell>
          <cell r="AO166">
            <v>9.9200000000000728</v>
          </cell>
          <cell r="BC166">
            <v>29.403523141969174</v>
          </cell>
        </row>
        <row r="167">
          <cell r="F167">
            <v>1356346191</v>
          </cell>
          <cell r="M167">
            <v>48738</v>
          </cell>
          <cell r="N167">
            <v>48871.528767123295</v>
          </cell>
          <cell r="U167">
            <v>28411</v>
          </cell>
          <cell r="W167">
            <v>179</v>
          </cell>
          <cell r="Z167">
            <v>425</v>
          </cell>
          <cell r="AO167">
            <v>1</v>
          </cell>
          <cell r="BC167">
            <v>26.812733031829168</v>
          </cell>
        </row>
        <row r="168">
          <cell r="F168">
            <v>1346806015</v>
          </cell>
          <cell r="M168">
            <v>18763</v>
          </cell>
          <cell r="N168">
            <v>18814.405479452056</v>
          </cell>
          <cell r="U168">
            <v>27357</v>
          </cell>
          <cell r="W168">
            <v>60</v>
          </cell>
          <cell r="Z168">
            <v>616.54429176088593</v>
          </cell>
          <cell r="AO168">
            <v>12.279999999999973</v>
          </cell>
          <cell r="BC168">
            <v>31.592798363217039</v>
          </cell>
        </row>
        <row r="169">
          <cell r="F169">
            <v>1073599510</v>
          </cell>
          <cell r="M169">
            <v>23100</v>
          </cell>
          <cell r="N169">
            <v>23163.28767123288</v>
          </cell>
          <cell r="U169">
            <v>28054</v>
          </cell>
          <cell r="W169">
            <v>76</v>
          </cell>
          <cell r="Z169">
            <v>375</v>
          </cell>
          <cell r="AO169">
            <v>20.259999999999991</v>
          </cell>
          <cell r="BC169">
            <v>17.62741717711523</v>
          </cell>
        </row>
        <row r="170">
          <cell r="F170">
            <v>1972587376</v>
          </cell>
          <cell r="M170">
            <v>27989</v>
          </cell>
          <cell r="N170">
            <v>28065.682191780823</v>
          </cell>
          <cell r="U170">
            <v>27705</v>
          </cell>
          <cell r="W170">
            <v>110</v>
          </cell>
          <cell r="Z170">
            <v>425</v>
          </cell>
          <cell r="AO170">
            <v>1</v>
          </cell>
          <cell r="BC170">
            <v>27.500769119661562</v>
          </cell>
        </row>
        <row r="171">
          <cell r="F171">
            <v>1437103850</v>
          </cell>
          <cell r="M171">
            <v>6420</v>
          </cell>
          <cell r="N171">
            <v>6437.5890410958909</v>
          </cell>
          <cell r="U171">
            <v>27885</v>
          </cell>
          <cell r="W171">
            <v>80</v>
          </cell>
          <cell r="Z171">
            <v>325</v>
          </cell>
          <cell r="AO171">
            <v>30.5</v>
          </cell>
          <cell r="BC171">
            <v>11.086037840451246</v>
          </cell>
        </row>
        <row r="172">
          <cell r="F172">
            <v>1093131310</v>
          </cell>
          <cell r="M172">
            <v>24896</v>
          </cell>
          <cell r="N172">
            <v>24964.208219178086</v>
          </cell>
          <cell r="U172">
            <v>28401</v>
          </cell>
          <cell r="W172">
            <v>90</v>
          </cell>
          <cell r="Z172">
            <v>400</v>
          </cell>
          <cell r="AO172">
            <v>9.5699999999999363</v>
          </cell>
          <cell r="BC172">
            <v>23.109328996414167</v>
          </cell>
        </row>
        <row r="173">
          <cell r="F173">
            <v>1831649268</v>
          </cell>
          <cell r="M173">
            <v>17197</v>
          </cell>
          <cell r="N173">
            <v>17244.115068493153</v>
          </cell>
          <cell r="U173">
            <v>27938</v>
          </cell>
          <cell r="W173">
            <v>70</v>
          </cell>
          <cell r="Z173">
            <v>307.68750193748383</v>
          </cell>
          <cell r="AO173">
            <v>16.950000000000045</v>
          </cell>
          <cell r="BC173">
            <v>18.70621921353748</v>
          </cell>
        </row>
        <row r="174">
          <cell r="F174">
            <v>1346851052</v>
          </cell>
          <cell r="M174">
            <v>24297</v>
          </cell>
          <cell r="N174">
            <v>24363.567123287674</v>
          </cell>
          <cell r="U174">
            <v>28334</v>
          </cell>
          <cell r="W174">
            <v>100</v>
          </cell>
          <cell r="Z174">
            <v>376.70231480628013</v>
          </cell>
          <cell r="AO174">
            <v>26</v>
          </cell>
          <cell r="BC174">
            <v>13.841501708542847</v>
          </cell>
        </row>
        <row r="175">
          <cell r="F175">
            <v>1750418802</v>
          </cell>
          <cell r="M175">
            <v>7695</v>
          </cell>
          <cell r="N175">
            <v>7716.0821917808225</v>
          </cell>
          <cell r="U175">
            <v>27215</v>
          </cell>
          <cell r="W175">
            <v>105</v>
          </cell>
          <cell r="Z175">
            <v>375</v>
          </cell>
          <cell r="AO175">
            <v>23</v>
          </cell>
          <cell r="BC175">
            <v>15.395817908944396</v>
          </cell>
        </row>
        <row r="176">
          <cell r="F176">
            <v>1265556294</v>
          </cell>
          <cell r="M176">
            <v>26922</v>
          </cell>
          <cell r="N176">
            <v>26995.758904109593</v>
          </cell>
          <cell r="U176">
            <v>28753</v>
          </cell>
          <cell r="W176">
            <v>80</v>
          </cell>
          <cell r="Z176">
            <v>400.23800850030358</v>
          </cell>
          <cell r="AO176">
            <v>13.8599999999999</v>
          </cell>
          <cell r="BC176">
            <v>18.623802143025099</v>
          </cell>
        </row>
        <row r="177">
          <cell r="F177">
            <v>1427248905</v>
          </cell>
          <cell r="M177">
            <v>39160</v>
          </cell>
          <cell r="N177">
            <v>39267.28767123288</v>
          </cell>
          <cell r="U177">
            <v>28204</v>
          </cell>
          <cell r="W177">
            <v>142</v>
          </cell>
          <cell r="Z177">
            <v>498.93661971830988</v>
          </cell>
          <cell r="AO177">
            <v>13</v>
          </cell>
          <cell r="BC177">
            <v>26.111224072015411</v>
          </cell>
        </row>
        <row r="178">
          <cell r="F178">
            <v>1588219828</v>
          </cell>
          <cell r="M178">
            <v>23942</v>
          </cell>
          <cell r="N178">
            <v>24007.594520547947</v>
          </cell>
          <cell r="U178">
            <v>28337</v>
          </cell>
          <cell r="W178">
            <v>94</v>
          </cell>
          <cell r="Z178">
            <v>561.87234042553189</v>
          </cell>
          <cell r="AO178">
            <v>35.5</v>
          </cell>
          <cell r="BC178">
            <v>10.893226578324079</v>
          </cell>
        </row>
        <row r="179">
          <cell r="F179">
            <v>1245287762</v>
          </cell>
          <cell r="M179">
            <v>29084</v>
          </cell>
          <cell r="N179">
            <v>29163.682191780827</v>
          </cell>
          <cell r="U179">
            <v>28621</v>
          </cell>
          <cell r="W179">
            <v>100</v>
          </cell>
          <cell r="Z179">
            <v>246.52</v>
          </cell>
          <cell r="AO179">
            <v>4.75</v>
          </cell>
          <cell r="BC179">
            <v>25.67960583360194</v>
          </cell>
        </row>
        <row r="180">
          <cell r="F180">
            <v>1407803828</v>
          </cell>
          <cell r="M180">
            <v>29745</v>
          </cell>
          <cell r="N180">
            <v>29826.493150684935</v>
          </cell>
          <cell r="U180">
            <v>28804</v>
          </cell>
          <cell r="W180">
            <v>100</v>
          </cell>
          <cell r="Z180">
            <v>333.68</v>
          </cell>
          <cell r="AO180">
            <v>24.869999999999891</v>
          </cell>
          <cell r="BC180">
            <v>14.324670268331973</v>
          </cell>
        </row>
        <row r="181">
          <cell r="F181">
            <v>1275508970</v>
          </cell>
          <cell r="M181">
            <v>27304</v>
          </cell>
          <cell r="N181">
            <v>27378.805479452058</v>
          </cell>
          <cell r="U181">
            <v>28043</v>
          </cell>
          <cell r="W181">
            <v>30</v>
          </cell>
          <cell r="Z181">
            <v>462.62486906313075</v>
          </cell>
          <cell r="AO181">
            <v>20.8900000000001</v>
          </cell>
          <cell r="BC181">
            <v>6.642499883021534</v>
          </cell>
        </row>
        <row r="182">
          <cell r="F182">
            <v>1134175524</v>
          </cell>
          <cell r="M182">
            <v>17755</v>
          </cell>
          <cell r="N182">
            <v>17803.64383561644</v>
          </cell>
          <cell r="U182">
            <v>27828</v>
          </cell>
          <cell r="W182">
            <v>56</v>
          </cell>
          <cell r="Z182">
            <v>190.75</v>
          </cell>
          <cell r="AO182">
            <v>31.819999999999936</v>
          </cell>
          <cell r="BC182">
            <v>9.7248954099690543</v>
          </cell>
        </row>
        <row r="183">
          <cell r="F183">
            <v>1568127488</v>
          </cell>
          <cell r="M183">
            <v>41005.668859649122</v>
          </cell>
          <cell r="N183">
            <v>32912.444742613116</v>
          </cell>
          <cell r="U183">
            <v>28027</v>
          </cell>
          <cell r="W183">
            <v>160</v>
          </cell>
          <cell r="Z183">
            <v>325</v>
          </cell>
          <cell r="AO183">
            <v>35.5</v>
          </cell>
          <cell r="BC183">
            <v>8.6351250846091876</v>
          </cell>
        </row>
        <row r="184">
          <cell r="F184">
            <v>1396747689</v>
          </cell>
          <cell r="M184">
            <v>25657</v>
          </cell>
          <cell r="N184">
            <v>25727.293150684935</v>
          </cell>
          <cell r="U184">
            <v>28730</v>
          </cell>
          <cell r="W184">
            <v>106</v>
          </cell>
          <cell r="Z184">
            <v>321.84811172989731</v>
          </cell>
          <cell r="AO184">
            <v>24.740000000000009</v>
          </cell>
          <cell r="BC184">
            <v>14.203264953263492</v>
          </cell>
        </row>
        <row r="185">
          <cell r="F185">
            <v>1932135381</v>
          </cell>
          <cell r="M185">
            <v>18033</v>
          </cell>
          <cell r="N185">
            <v>18082.405479452056</v>
          </cell>
          <cell r="U185">
            <v>28001</v>
          </cell>
          <cell r="W185">
            <v>60</v>
          </cell>
          <cell r="Z185">
            <v>328.39938397749148</v>
          </cell>
          <cell r="AO185">
            <v>21.880000000000109</v>
          </cell>
          <cell r="BC185">
            <v>15.763406616841223</v>
          </cell>
        </row>
        <row r="186">
          <cell r="F186">
            <v>1710932355</v>
          </cell>
          <cell r="M186">
            <v>9692</v>
          </cell>
          <cell r="N186">
            <v>9718.5534246575353</v>
          </cell>
          <cell r="U186">
            <v>27886</v>
          </cell>
          <cell r="W186">
            <v>30</v>
          </cell>
          <cell r="Z186">
            <v>425</v>
          </cell>
          <cell r="AO186">
            <v>4</v>
          </cell>
          <cell r="BC186">
            <v>25.101908844923646</v>
          </cell>
        </row>
        <row r="187">
          <cell r="F187">
            <v>1417951492</v>
          </cell>
          <cell r="M187">
            <v>23853</v>
          </cell>
          <cell r="N187">
            <v>23918.350684931509</v>
          </cell>
          <cell r="U187">
            <v>27410</v>
          </cell>
          <cell r="W187">
            <v>69</v>
          </cell>
          <cell r="Z187">
            <v>400</v>
          </cell>
          <cell r="AO187">
            <v>18</v>
          </cell>
          <cell r="BC187">
            <v>16.772281350773486</v>
          </cell>
        </row>
        <row r="188">
          <cell r="F188">
            <v>1730136128</v>
          </cell>
          <cell r="M188">
            <v>29608</v>
          </cell>
          <cell r="N188">
            <v>29689.11780821918</v>
          </cell>
          <cell r="U188">
            <v>28645</v>
          </cell>
          <cell r="W188">
            <v>100</v>
          </cell>
          <cell r="Z188">
            <v>383.83</v>
          </cell>
          <cell r="AO188">
            <v>27.819999999999936</v>
          </cell>
          <cell r="BC188">
            <v>13.515708252280204</v>
          </cell>
        </row>
        <row r="189">
          <cell r="F189">
            <v>1699313544</v>
          </cell>
          <cell r="M189">
            <v>33774</v>
          </cell>
          <cell r="N189">
            <v>33866.531506849322</v>
          </cell>
          <cell r="U189">
            <v>28115</v>
          </cell>
          <cell r="W189">
            <v>130</v>
          </cell>
          <cell r="Z189">
            <v>190.91939476726961</v>
          </cell>
          <cell r="AO189">
            <v>10.930000000000064</v>
          </cell>
          <cell r="BC189">
            <v>23.499680681385971</v>
          </cell>
        </row>
        <row r="190">
          <cell r="F190">
            <v>1144868092</v>
          </cell>
          <cell r="M190">
            <v>27284</v>
          </cell>
          <cell r="N190">
            <v>27358.75068493151</v>
          </cell>
          <cell r="U190">
            <v>28144</v>
          </cell>
          <cell r="W190">
            <v>160</v>
          </cell>
          <cell r="Z190">
            <v>165.85047869642403</v>
          </cell>
          <cell r="AO190">
            <v>18.380000000000109</v>
          </cell>
          <cell r="BC190">
            <v>18.870125175181322</v>
          </cell>
        </row>
        <row r="191">
          <cell r="F191">
            <v>1679555403</v>
          </cell>
          <cell r="M191">
            <v>18260</v>
          </cell>
          <cell r="N191">
            <v>18310.027397260277</v>
          </cell>
          <cell r="U191">
            <v>28803</v>
          </cell>
          <cell r="W191">
            <v>70</v>
          </cell>
          <cell r="Z191">
            <v>656.33386488273493</v>
          </cell>
          <cell r="AO191">
            <v>1.3599999999999</v>
          </cell>
          <cell r="BC191">
            <v>40.255689133830082</v>
          </cell>
        </row>
        <row r="192">
          <cell r="F192">
            <v>1174524458</v>
          </cell>
          <cell r="M192">
            <v>22244</v>
          </cell>
          <cell r="N192">
            <v>22304.942465753425</v>
          </cell>
          <cell r="U192">
            <v>27511</v>
          </cell>
          <cell r="W192">
            <v>71</v>
          </cell>
          <cell r="Z192">
            <v>425</v>
          </cell>
          <cell r="AO192">
            <v>7</v>
          </cell>
          <cell r="BC192">
            <v>24.978946947322868</v>
          </cell>
        </row>
        <row r="193">
          <cell r="F193">
            <v>1316662711</v>
          </cell>
          <cell r="M193">
            <v>22704</v>
          </cell>
          <cell r="N193">
            <v>22766.202739726028</v>
          </cell>
          <cell r="U193">
            <v>28607</v>
          </cell>
          <cell r="W193">
            <v>134</v>
          </cell>
          <cell r="Z193">
            <v>375</v>
          </cell>
          <cell r="AO193">
            <v>20.230000000000018</v>
          </cell>
          <cell r="BC193">
            <v>17.298636009669639</v>
          </cell>
        </row>
        <row r="194">
          <cell r="F194">
            <v>1023386190</v>
          </cell>
          <cell r="M194">
            <v>23649</v>
          </cell>
          <cell r="N194">
            <v>23713.791780821921</v>
          </cell>
          <cell r="U194">
            <v>28398</v>
          </cell>
          <cell r="W194">
            <v>100</v>
          </cell>
          <cell r="Z194">
            <v>350</v>
          </cell>
          <cell r="AO194">
            <v>28.380000000000109</v>
          </cell>
          <cell r="BC194">
            <v>11.994758330378689</v>
          </cell>
        </row>
        <row r="195">
          <cell r="F195">
            <v>1396802260</v>
          </cell>
          <cell r="M195">
            <v>13598</v>
          </cell>
          <cell r="N195">
            <v>13635.25479452055</v>
          </cell>
          <cell r="U195">
            <v>28360</v>
          </cell>
          <cell r="W195">
            <v>52</v>
          </cell>
          <cell r="Z195">
            <v>680.18951590500831</v>
          </cell>
          <cell r="AO195">
            <v>6.4700000000000273</v>
          </cell>
          <cell r="BC195">
            <v>39.043697952224001</v>
          </cell>
        </row>
        <row r="196">
          <cell r="F196">
            <v>1760106702</v>
          </cell>
          <cell r="M196">
            <v>27887</v>
          </cell>
          <cell r="N196">
            <v>27963.402739726029</v>
          </cell>
          <cell r="U196">
            <v>27292</v>
          </cell>
          <cell r="W196">
            <v>100</v>
          </cell>
          <cell r="Z196">
            <v>550</v>
          </cell>
          <cell r="AO196">
            <v>16.930000000000064</v>
          </cell>
          <cell r="BC196">
            <v>25.59238111087836</v>
          </cell>
        </row>
        <row r="197">
          <cell r="F197">
            <v>1588618045</v>
          </cell>
          <cell r="M197">
            <v>16425</v>
          </cell>
          <cell r="N197">
            <v>16470</v>
          </cell>
          <cell r="U197">
            <v>28342</v>
          </cell>
          <cell r="W197">
            <v>58</v>
          </cell>
          <cell r="Z197">
            <v>298.36206896551727</v>
          </cell>
          <cell r="AO197">
            <v>35.5</v>
          </cell>
          <cell r="BC197">
            <v>8.6351250846091876</v>
          </cell>
        </row>
        <row r="198">
          <cell r="F198">
            <v>1962066480</v>
          </cell>
          <cell r="M198">
            <v>36140</v>
          </cell>
          <cell r="N198">
            <v>36239.013698630144</v>
          </cell>
          <cell r="U198">
            <v>28655</v>
          </cell>
          <cell r="W198">
            <v>120</v>
          </cell>
          <cell r="Z198">
            <v>283.33333333333331</v>
          </cell>
          <cell r="AO198">
            <v>35.5</v>
          </cell>
          <cell r="BC198">
            <v>8.5425591659951667</v>
          </cell>
        </row>
        <row r="199">
          <cell r="F199">
            <v>1588642102</v>
          </cell>
          <cell r="M199">
            <v>28586</v>
          </cell>
          <cell r="N199">
            <v>28664.317808219181</v>
          </cell>
          <cell r="U199">
            <v>27370</v>
          </cell>
          <cell r="W199">
            <v>128</v>
          </cell>
          <cell r="Z199">
            <v>400</v>
          </cell>
          <cell r="AO199">
            <v>12.420000000000073</v>
          </cell>
          <cell r="BC199">
            <v>21.205024492505995</v>
          </cell>
        </row>
        <row r="200">
          <cell r="F200">
            <v>1154792000</v>
          </cell>
          <cell r="M200">
            <v>24796</v>
          </cell>
          <cell r="N200">
            <v>24863.934246575343</v>
          </cell>
          <cell r="U200">
            <v>27834</v>
          </cell>
          <cell r="W200">
            <v>130</v>
          </cell>
          <cell r="Z200">
            <v>325</v>
          </cell>
          <cell r="AO200">
            <v>33.039999999999964</v>
          </cell>
          <cell r="BC200">
            <v>9.388680364544733</v>
          </cell>
        </row>
        <row r="201">
          <cell r="F201">
            <v>1992242119</v>
          </cell>
          <cell r="M201">
            <v>37208</v>
          </cell>
          <cell r="N201">
            <v>37309.939726027398</v>
          </cell>
          <cell r="U201">
            <v>27910</v>
          </cell>
          <cell r="W201">
            <v>151</v>
          </cell>
          <cell r="Z201">
            <v>287.65562913907286</v>
          </cell>
          <cell r="AO201">
            <v>23.920000000000073</v>
          </cell>
          <cell r="BC201">
            <v>14.731376917808177</v>
          </cell>
        </row>
        <row r="202">
          <cell r="F202">
            <v>1578286621</v>
          </cell>
          <cell r="M202">
            <v>19892</v>
          </cell>
          <cell r="N202">
            <v>19946.49863013699</v>
          </cell>
          <cell r="U202">
            <v>27909</v>
          </cell>
          <cell r="W202">
            <v>108</v>
          </cell>
          <cell r="Z202">
            <v>309.49074074074076</v>
          </cell>
          <cell r="AO202">
            <v>19.230000000000018</v>
          </cell>
          <cell r="BC202">
            <v>17.739957476228895</v>
          </cell>
        </row>
        <row r="203">
          <cell r="F203">
            <v>1902462401</v>
          </cell>
          <cell r="M203">
            <v>19963</v>
          </cell>
          <cell r="N203">
            <v>20017.693150684932</v>
          </cell>
          <cell r="U203">
            <v>27536</v>
          </cell>
          <cell r="W203">
            <v>78</v>
          </cell>
          <cell r="Z203">
            <v>285.11538461538464</v>
          </cell>
          <cell r="AO203">
            <v>15.079999999999927</v>
          </cell>
          <cell r="BC203">
            <v>19.740177402739729</v>
          </cell>
        </row>
        <row r="204">
          <cell r="F204">
            <v>1750004800</v>
          </cell>
          <cell r="M204">
            <v>19003</v>
          </cell>
          <cell r="N204">
            <v>19055.063013698633</v>
          </cell>
          <cell r="U204">
            <v>28349</v>
          </cell>
          <cell r="W204">
            <v>92</v>
          </cell>
          <cell r="Z204">
            <v>277.17391304347825</v>
          </cell>
          <cell r="AO204">
            <v>33.910000000000082</v>
          </cell>
          <cell r="BC204">
            <v>9.071509944560793</v>
          </cell>
        </row>
        <row r="205">
          <cell r="F205">
            <v>1649685132</v>
          </cell>
          <cell r="M205">
            <v>27413</v>
          </cell>
          <cell r="N205">
            <v>27488.104109589043</v>
          </cell>
          <cell r="U205">
            <v>27870</v>
          </cell>
          <cell r="W205">
            <v>108</v>
          </cell>
          <cell r="Z205">
            <v>307.15740740740739</v>
          </cell>
          <cell r="AO205">
            <v>5.9400000000000546</v>
          </cell>
          <cell r="BC205">
            <v>25.216246733279569</v>
          </cell>
        </row>
        <row r="206">
          <cell r="F206">
            <v>1205252640</v>
          </cell>
          <cell r="M206">
            <v>31183</v>
          </cell>
          <cell r="N206">
            <v>31268.432876712333</v>
          </cell>
          <cell r="U206">
            <v>27804</v>
          </cell>
          <cell r="W206">
            <v>117</v>
          </cell>
          <cell r="Z206">
            <v>362.05982905982904</v>
          </cell>
          <cell r="AO206">
            <v>27.900000000000091</v>
          </cell>
          <cell r="BC206">
            <v>12.470809233916087</v>
          </cell>
        </row>
        <row r="207">
          <cell r="F207">
            <v>1528505757</v>
          </cell>
          <cell r="M207">
            <v>15915</v>
          </cell>
          <cell r="N207">
            <v>15958.60273972603</v>
          </cell>
          <cell r="U207">
            <v>27874</v>
          </cell>
          <cell r="W207">
            <v>62</v>
          </cell>
          <cell r="Z207">
            <v>264.82258064516128</v>
          </cell>
          <cell r="AO207">
            <v>18.529999999999973</v>
          </cell>
          <cell r="BC207">
            <v>17.813886718452871</v>
          </cell>
        </row>
        <row r="208">
          <cell r="F208">
            <v>1164848503</v>
          </cell>
          <cell r="M208">
            <v>19474</v>
          </cell>
          <cell r="N208">
            <v>19527.353424657536</v>
          </cell>
          <cell r="U208">
            <v>27597</v>
          </cell>
          <cell r="W208">
            <v>60</v>
          </cell>
          <cell r="Z208">
            <v>353.25</v>
          </cell>
          <cell r="AO208">
            <v>12.089999999999918</v>
          </cell>
          <cell r="BC208">
            <v>20.332499784327815</v>
          </cell>
        </row>
        <row r="209">
          <cell r="F209">
            <v>1033784970</v>
          </cell>
          <cell r="M209">
            <v>36101.455142231949</v>
          </cell>
          <cell r="N209">
            <v>28912.762761612459</v>
          </cell>
          <cell r="U209">
            <v>27406</v>
          </cell>
          <cell r="W209">
            <v>110</v>
          </cell>
          <cell r="Z209">
            <v>333.5181818181818</v>
          </cell>
          <cell r="AO209">
            <v>9.9600000000000364</v>
          </cell>
          <cell r="BC209">
            <v>23.601835399435945</v>
          </cell>
        </row>
        <row r="210">
          <cell r="F210">
            <v>1013951896</v>
          </cell>
          <cell r="M210">
            <v>22615</v>
          </cell>
          <cell r="N210">
            <v>22676.95890410959</v>
          </cell>
          <cell r="U210">
            <v>27845</v>
          </cell>
          <cell r="W210">
            <v>80</v>
          </cell>
          <cell r="Z210">
            <v>394.2</v>
          </cell>
          <cell r="AO210">
            <v>28.680000000000064</v>
          </cell>
          <cell r="BC210">
            <v>13.230629200272082</v>
          </cell>
        </row>
        <row r="211">
          <cell r="F211">
            <v>1649590498</v>
          </cell>
          <cell r="M211">
            <v>0</v>
          </cell>
          <cell r="N211">
            <v>0</v>
          </cell>
          <cell r="U211">
            <v>28557</v>
          </cell>
          <cell r="W211">
            <v>122</v>
          </cell>
          <cell r="Z211">
            <v>325</v>
          </cell>
          <cell r="AO211">
            <v>32.970000000000027</v>
          </cell>
          <cell r="BC211">
            <v>9.3126428039081279</v>
          </cell>
        </row>
        <row r="212">
          <cell r="F212">
            <v>1235370750</v>
          </cell>
          <cell r="M212">
            <v>43470</v>
          </cell>
          <cell r="N212">
            <v>43589.095890410965</v>
          </cell>
          <cell r="U212">
            <v>27546</v>
          </cell>
          <cell r="W212">
            <v>129</v>
          </cell>
          <cell r="Z212">
            <v>442.00975537153619</v>
          </cell>
          <cell r="AO212">
            <v>7.1900000000000546</v>
          </cell>
          <cell r="BC212">
            <v>23.992525777806179</v>
          </cell>
        </row>
        <row r="213">
          <cell r="F213">
            <v>1295391795</v>
          </cell>
          <cell r="M213">
            <v>28850</v>
          </cell>
          <cell r="N213">
            <v>28929.041095890414</v>
          </cell>
          <cell r="U213">
            <v>28791</v>
          </cell>
          <cell r="W213">
            <v>134</v>
          </cell>
          <cell r="Z213">
            <v>251.51492537313433</v>
          </cell>
          <cell r="AO213">
            <v>33.079999999999927</v>
          </cell>
          <cell r="BC213">
            <v>9.2360483129733879</v>
          </cell>
        </row>
        <row r="214">
          <cell r="F214">
            <v>1447736087</v>
          </cell>
          <cell r="M214">
            <v>20303</v>
          </cell>
          <cell r="N214">
            <v>20358.624657534248</v>
          </cell>
          <cell r="U214">
            <v>28170</v>
          </cell>
          <cell r="W214">
            <v>66</v>
          </cell>
          <cell r="Z214">
            <v>363.63636363636363</v>
          </cell>
          <cell r="AO214">
            <v>35.5</v>
          </cell>
          <cell r="BC214">
            <v>9.6850685810563348</v>
          </cell>
        </row>
        <row r="215">
          <cell r="F215">
            <v>1144277666</v>
          </cell>
          <cell r="M215">
            <v>6030</v>
          </cell>
          <cell r="N215">
            <v>7028.5987261146493</v>
          </cell>
          <cell r="U215">
            <v>27260</v>
          </cell>
          <cell r="W215">
            <v>100</v>
          </cell>
          <cell r="Z215">
            <v>203.65</v>
          </cell>
          <cell r="AO215">
            <v>24.430000000000064</v>
          </cell>
          <cell r="BC215">
            <v>14.762502424254606</v>
          </cell>
        </row>
        <row r="216">
          <cell r="F216">
            <v>1982948550</v>
          </cell>
          <cell r="M216">
            <v>15455</v>
          </cell>
          <cell r="N216">
            <v>15497.342465753427</v>
          </cell>
          <cell r="U216">
            <v>28711</v>
          </cell>
          <cell r="W216">
            <v>60</v>
          </cell>
          <cell r="Z216">
            <v>401.23890759880771</v>
          </cell>
          <cell r="AO216">
            <v>35.5</v>
          </cell>
          <cell r="BC216">
            <v>10.27398850690453</v>
          </cell>
        </row>
        <row r="217">
          <cell r="F217">
            <v>1811611577</v>
          </cell>
          <cell r="M217">
            <v>27635</v>
          </cell>
          <cell r="N217">
            <v>27710.712328767127</v>
          </cell>
          <cell r="U217">
            <v>28303</v>
          </cell>
          <cell r="W217">
            <v>106</v>
          </cell>
          <cell r="Z217">
            <v>586.93387895888532</v>
          </cell>
          <cell r="AO217">
            <v>15.25</v>
          </cell>
          <cell r="BC217">
            <v>24.758835735433074</v>
          </cell>
        </row>
        <row r="218">
          <cell r="F218">
            <v>1336142470</v>
          </cell>
          <cell r="M218">
            <v>36412</v>
          </cell>
          <cell r="N218">
            <v>36511.758904109593</v>
          </cell>
          <cell r="U218">
            <v>27705</v>
          </cell>
          <cell r="W218">
            <v>120</v>
          </cell>
          <cell r="Z218">
            <v>563.73169947157271</v>
          </cell>
          <cell r="AO218">
            <v>23.960000000000036</v>
          </cell>
          <cell r="BC218">
            <v>22.154110674579485</v>
          </cell>
        </row>
        <row r="219">
          <cell r="F219">
            <v>1811984925</v>
          </cell>
          <cell r="M219">
            <v>32901</v>
          </cell>
          <cell r="N219">
            <v>32991.139726027403</v>
          </cell>
          <cell r="U219">
            <v>27587</v>
          </cell>
          <cell r="W219">
            <v>130</v>
          </cell>
          <cell r="Z219">
            <v>375</v>
          </cell>
          <cell r="AO219">
            <v>21.6400000000001</v>
          </cell>
          <cell r="BC219">
            <v>15.838695870265912</v>
          </cell>
        </row>
        <row r="220">
          <cell r="F220">
            <v>1689621880</v>
          </cell>
          <cell r="M220">
            <v>29569</v>
          </cell>
          <cell r="N220">
            <v>29650.010958904113</v>
          </cell>
          <cell r="U220">
            <v>28213</v>
          </cell>
          <cell r="W220">
            <v>120</v>
          </cell>
          <cell r="Z220">
            <v>321.3</v>
          </cell>
          <cell r="AO220">
            <v>25.579999999999927</v>
          </cell>
          <cell r="BC220">
            <v>13.246019893392415</v>
          </cell>
        </row>
        <row r="221">
          <cell r="F221">
            <v>1932750841</v>
          </cell>
          <cell r="M221">
            <v>23497</v>
          </cell>
          <cell r="N221">
            <v>23561.375342465755</v>
          </cell>
          <cell r="U221">
            <v>28078</v>
          </cell>
          <cell r="W221">
            <v>168</v>
          </cell>
          <cell r="Z221">
            <v>425</v>
          </cell>
          <cell r="AO221">
            <v>3.4300000000000637</v>
          </cell>
          <cell r="BC221">
            <v>27.039992622401329</v>
          </cell>
        </row>
        <row r="222">
          <cell r="F222">
            <v>1851836118</v>
          </cell>
          <cell r="M222">
            <v>30052</v>
          </cell>
          <cell r="N222">
            <v>30134.334246575345</v>
          </cell>
          <cell r="U222">
            <v>28425</v>
          </cell>
          <cell r="W222">
            <v>98</v>
          </cell>
          <cell r="Z222">
            <v>375</v>
          </cell>
          <cell r="AO222">
            <v>24.309999999999945</v>
          </cell>
          <cell r="BC222">
            <v>14.377940956486691</v>
          </cell>
        </row>
        <row r="223">
          <cell r="F223">
            <v>1447435722</v>
          </cell>
          <cell r="M223">
            <v>33713</v>
          </cell>
          <cell r="N223">
            <v>33805.364383561646</v>
          </cell>
          <cell r="U223">
            <v>27705</v>
          </cell>
          <cell r="W223">
            <v>125</v>
          </cell>
          <cell r="Z223">
            <v>446.27199999999999</v>
          </cell>
          <cell r="AO223">
            <v>4.3800000000001091</v>
          </cell>
          <cell r="BC223">
            <v>27.818452300795077</v>
          </cell>
        </row>
        <row r="224">
          <cell r="F224">
            <v>1598704504</v>
          </cell>
          <cell r="M224">
            <v>25607</v>
          </cell>
          <cell r="N224">
            <v>25677.156164383563</v>
          </cell>
          <cell r="U224">
            <v>28712</v>
          </cell>
          <cell r="W224">
            <v>110</v>
          </cell>
          <cell r="Z224">
            <v>343.89090909090908</v>
          </cell>
          <cell r="AO224">
            <v>8.0699999999999363</v>
          </cell>
          <cell r="BC224">
            <v>23.958540938436741</v>
          </cell>
        </row>
        <row r="225">
          <cell r="F225">
            <v>1427608959</v>
          </cell>
          <cell r="M225">
            <v>23257</v>
          </cell>
          <cell r="N225">
            <v>23320.717808219182</v>
          </cell>
          <cell r="U225">
            <v>28315</v>
          </cell>
          <cell r="W225">
            <v>100</v>
          </cell>
          <cell r="Z225">
            <v>362.51873494053524</v>
          </cell>
          <cell r="AO225">
            <v>17.299999999999955</v>
          </cell>
          <cell r="BC225">
            <v>18.801172858017733</v>
          </cell>
        </row>
        <row r="226">
          <cell r="F226">
            <v>1437564739</v>
          </cell>
          <cell r="M226">
            <v>30728</v>
          </cell>
          <cell r="N226">
            <v>30812.186301369868</v>
          </cell>
          <cell r="U226">
            <v>28501</v>
          </cell>
          <cell r="W226">
            <v>106</v>
          </cell>
          <cell r="Z226">
            <v>353.15094339622641</v>
          </cell>
          <cell r="AO226">
            <v>5.4900000000000091</v>
          </cell>
          <cell r="BC226">
            <v>25.169977934407697</v>
          </cell>
        </row>
        <row r="227">
          <cell r="F227">
            <v>1548206907</v>
          </cell>
          <cell r="M227">
            <v>29333</v>
          </cell>
          <cell r="N227">
            <v>29413.364383561646</v>
          </cell>
          <cell r="U227">
            <v>28709</v>
          </cell>
          <cell r="W227">
            <v>120</v>
          </cell>
          <cell r="Z227">
            <v>424.1</v>
          </cell>
          <cell r="AO227">
            <v>2.8099999999999454</v>
          </cell>
          <cell r="BC227">
            <v>26.682760826107923</v>
          </cell>
        </row>
        <row r="228">
          <cell r="F228">
            <v>1922456664</v>
          </cell>
          <cell r="M228">
            <v>20731</v>
          </cell>
          <cell r="N228">
            <v>20787.797260273976</v>
          </cell>
          <cell r="U228">
            <v>28134</v>
          </cell>
          <cell r="W228">
            <v>106</v>
          </cell>
          <cell r="Z228">
            <v>375</v>
          </cell>
          <cell r="AO228">
            <v>21.6400000000001</v>
          </cell>
          <cell r="BC228">
            <v>15.063922800362654</v>
          </cell>
        </row>
        <row r="229">
          <cell r="F229">
            <v>1831551514</v>
          </cell>
          <cell r="M229">
            <v>33063</v>
          </cell>
          <cell r="N229">
            <v>33153.583561643842</v>
          </cell>
          <cell r="U229">
            <v>27705</v>
          </cell>
          <cell r="W229">
            <v>126</v>
          </cell>
          <cell r="Z229">
            <v>268.9075630252101</v>
          </cell>
          <cell r="AO229">
            <v>21.8900000000001</v>
          </cell>
          <cell r="BC229">
            <v>15.793383230862199</v>
          </cell>
        </row>
        <row r="230">
          <cell r="F230">
            <v>1295704849</v>
          </cell>
          <cell r="M230">
            <v>29910</v>
          </cell>
          <cell r="N230">
            <v>29991.945205479456</v>
          </cell>
          <cell r="U230">
            <v>28645</v>
          </cell>
          <cell r="W230">
            <v>120</v>
          </cell>
          <cell r="Z230">
            <v>254.24166666666667</v>
          </cell>
          <cell r="AO230">
            <v>35.5</v>
          </cell>
          <cell r="BC230">
            <v>8.542559165995165</v>
          </cell>
        </row>
        <row r="231">
          <cell r="F231">
            <v>1083298236</v>
          </cell>
          <cell r="M231">
            <v>30835.711159737421</v>
          </cell>
          <cell r="N231">
            <v>24695.55860933019</v>
          </cell>
          <cell r="U231">
            <v>27292</v>
          </cell>
          <cell r="W231">
            <v>90</v>
          </cell>
          <cell r="Z231">
            <v>330.18</v>
          </cell>
          <cell r="AO231">
            <v>6.7000000000000455</v>
          </cell>
          <cell r="BC231">
            <v>25.194401732151519</v>
          </cell>
        </row>
        <row r="232">
          <cell r="F232">
            <v>1669425401</v>
          </cell>
          <cell r="M232">
            <v>29313</v>
          </cell>
          <cell r="N232">
            <v>29393.309589041099</v>
          </cell>
          <cell r="U232">
            <v>27504</v>
          </cell>
          <cell r="W232">
            <v>100</v>
          </cell>
          <cell r="Z232">
            <v>565.75626634079799</v>
          </cell>
          <cell r="AO232">
            <v>18.940000000000055</v>
          </cell>
          <cell r="BC232">
            <v>24.42944814825665</v>
          </cell>
        </row>
        <row r="233">
          <cell r="F233">
            <v>1861446270</v>
          </cell>
          <cell r="M233">
            <v>24519</v>
          </cell>
          <cell r="N233">
            <v>24586.175342465755</v>
          </cell>
          <cell r="U233">
            <v>28403</v>
          </cell>
          <cell r="W233">
            <v>100</v>
          </cell>
          <cell r="Z233">
            <v>449.26879444449594</v>
          </cell>
          <cell r="AO233">
            <v>7.9400000000000546</v>
          </cell>
          <cell r="BC233">
            <v>25.235854239919924</v>
          </cell>
        </row>
        <row r="234">
          <cell r="F234">
            <v>1407800972</v>
          </cell>
          <cell r="M234">
            <v>24787</v>
          </cell>
          <cell r="N234">
            <v>24854.909589041097</v>
          </cell>
          <cell r="U234">
            <v>28147</v>
          </cell>
          <cell r="W234">
            <v>90</v>
          </cell>
          <cell r="Z234">
            <v>463.45555555555558</v>
          </cell>
          <cell r="AO234">
            <v>20.200000000000045</v>
          </cell>
          <cell r="BC234">
            <v>20.452793988576296</v>
          </cell>
        </row>
        <row r="235">
          <cell r="F235">
            <v>1326089616</v>
          </cell>
          <cell r="M235">
            <v>23420</v>
          </cell>
          <cell r="N235">
            <v>23484.164383561645</v>
          </cell>
          <cell r="U235">
            <v>27215</v>
          </cell>
          <cell r="W235">
            <v>90</v>
          </cell>
          <cell r="Z235">
            <v>340.59836065573768</v>
          </cell>
          <cell r="AO235">
            <v>11.660000000000082</v>
          </cell>
          <cell r="BC235">
            <v>21.763732196615614</v>
          </cell>
        </row>
        <row r="236">
          <cell r="F236">
            <v>1538113014</v>
          </cell>
          <cell r="M236">
            <v>26141</v>
          </cell>
          <cell r="N236">
            <v>26212.619178082194</v>
          </cell>
          <cell r="U236">
            <v>28472</v>
          </cell>
          <cell r="W236">
            <v>107</v>
          </cell>
          <cell r="Z236">
            <v>514.7397427780711</v>
          </cell>
          <cell r="AO236">
            <v>16.289999999999964</v>
          </cell>
          <cell r="BC236">
            <v>23.635882696206782</v>
          </cell>
        </row>
        <row r="237">
          <cell r="F237">
            <v>1851941389</v>
          </cell>
          <cell r="M237">
            <v>25089</v>
          </cell>
          <cell r="N237">
            <v>25157.736986301374</v>
          </cell>
          <cell r="U237">
            <v>27360</v>
          </cell>
          <cell r="W237">
            <v>120</v>
          </cell>
          <cell r="Z237">
            <v>296.51666666666665</v>
          </cell>
          <cell r="AO237">
            <v>35.5</v>
          </cell>
          <cell r="BC237">
            <v>8.6351250846091858</v>
          </cell>
        </row>
        <row r="238">
          <cell r="F238">
            <v>1295101673</v>
          </cell>
          <cell r="M238">
            <v>24379</v>
          </cell>
          <cell r="N238">
            <v>24445.791780821921</v>
          </cell>
          <cell r="U238">
            <v>28604</v>
          </cell>
          <cell r="W238">
            <v>118</v>
          </cell>
          <cell r="Z238">
            <v>320.05084745762713</v>
          </cell>
          <cell r="AO238">
            <v>35.5</v>
          </cell>
          <cell r="BC238">
            <v>8.542559165995165</v>
          </cell>
        </row>
        <row r="239">
          <cell r="F239">
            <v>1760415434</v>
          </cell>
          <cell r="M239">
            <v>22016</v>
          </cell>
          <cell r="N239">
            <v>22076.317808219181</v>
          </cell>
          <cell r="U239">
            <v>28792</v>
          </cell>
          <cell r="W239">
            <v>80</v>
          </cell>
          <cell r="Z239">
            <v>475.05</v>
          </cell>
          <cell r="AO239">
            <v>30</v>
          </cell>
          <cell r="BC239">
            <v>14.997045363142623</v>
          </cell>
        </row>
        <row r="240">
          <cell r="F240">
            <v>1629494059</v>
          </cell>
          <cell r="M240">
            <v>31091</v>
          </cell>
          <cell r="N240">
            <v>31176.180821917813</v>
          </cell>
          <cell r="U240">
            <v>28092</v>
          </cell>
          <cell r="W240">
            <v>120</v>
          </cell>
          <cell r="Z240">
            <v>285.72500000000002</v>
          </cell>
          <cell r="AO240">
            <v>27.289999999999964</v>
          </cell>
          <cell r="BC240">
            <v>12.585838513779201</v>
          </cell>
        </row>
        <row r="241">
          <cell r="F241">
            <v>1174149934</v>
          </cell>
          <cell r="M241">
            <v>0</v>
          </cell>
          <cell r="N241">
            <v>0</v>
          </cell>
          <cell r="U241">
            <v>28358</v>
          </cell>
          <cell r="W241">
            <v>90</v>
          </cell>
          <cell r="Z241">
            <v>419.61637434235746</v>
          </cell>
          <cell r="AO241">
            <v>16.119999999999891</v>
          </cell>
          <cell r="BC241">
            <v>19.877848904130396</v>
          </cell>
        </row>
        <row r="242">
          <cell r="F242">
            <v>1467421024</v>
          </cell>
          <cell r="M242">
            <v>27895</v>
          </cell>
          <cell r="N242">
            <v>27971.424657534248</v>
          </cell>
          <cell r="U242">
            <v>27615</v>
          </cell>
          <cell r="W242">
            <v>90</v>
          </cell>
          <cell r="Z242">
            <v>372.88888888888891</v>
          </cell>
          <cell r="AO242">
            <v>17.8900000000001</v>
          </cell>
          <cell r="BC242">
            <v>18.740137562610744</v>
          </cell>
        </row>
        <row r="243">
          <cell r="F243">
            <v>1043865538</v>
          </cell>
          <cell r="M243">
            <v>20353</v>
          </cell>
          <cell r="N243">
            <v>20408.76164383562</v>
          </cell>
          <cell r="U243">
            <v>27549</v>
          </cell>
          <cell r="W243">
            <v>92</v>
          </cell>
          <cell r="Z243">
            <v>338.19521739130431</v>
          </cell>
          <cell r="AO243">
            <v>29.220000000000027</v>
          </cell>
          <cell r="BC243">
            <v>11.861557162288465</v>
          </cell>
        </row>
        <row r="244">
          <cell r="F244">
            <v>1447254149</v>
          </cell>
          <cell r="M244">
            <v>33907</v>
          </cell>
          <cell r="N244">
            <v>33999.89589041096</v>
          </cell>
          <cell r="U244">
            <v>28145</v>
          </cell>
          <cell r="W244">
            <v>115</v>
          </cell>
          <cell r="Z244">
            <v>509.68112488471212</v>
          </cell>
          <cell r="AO244">
            <v>1</v>
          </cell>
          <cell r="BC244">
            <v>33.156749958562948</v>
          </cell>
        </row>
        <row r="245">
          <cell r="F245">
            <v>1215931977</v>
          </cell>
          <cell r="M245">
            <v>24633</v>
          </cell>
          <cell r="N245">
            <v>24700.487671232881</v>
          </cell>
          <cell r="U245">
            <v>28002</v>
          </cell>
          <cell r="W245">
            <v>76</v>
          </cell>
          <cell r="Z245">
            <v>555.21052631578948</v>
          </cell>
          <cell r="AO245">
            <v>1</v>
          </cell>
          <cell r="BC245">
            <v>33.575441568387269</v>
          </cell>
        </row>
        <row r="246">
          <cell r="F246">
            <v>1427052067</v>
          </cell>
          <cell r="M246">
            <v>30906</v>
          </cell>
          <cell r="N246">
            <v>30990.673972602744</v>
          </cell>
          <cell r="U246">
            <v>28601</v>
          </cell>
          <cell r="W246">
            <v>104</v>
          </cell>
          <cell r="Z246">
            <v>470.97391130033799</v>
          </cell>
          <cell r="AO246">
            <v>2.6199999999998909</v>
          </cell>
          <cell r="BC246">
            <v>29.381223293970113</v>
          </cell>
        </row>
        <row r="247">
          <cell r="F247">
            <v>1508864323</v>
          </cell>
          <cell r="M247">
            <v>37690</v>
          </cell>
          <cell r="N247">
            <v>37793.260273972606</v>
          </cell>
          <cell r="U247">
            <v>28601</v>
          </cell>
          <cell r="W247">
            <v>120</v>
          </cell>
          <cell r="Z247">
            <v>760.36666666666667</v>
          </cell>
          <cell r="AO247">
            <v>10.650000000000091</v>
          </cell>
          <cell r="BC247">
            <v>36.560503463783427</v>
          </cell>
        </row>
        <row r="248">
          <cell r="F248">
            <v>1912902230</v>
          </cell>
          <cell r="M248">
            <v>31959</v>
          </cell>
          <cell r="N248">
            <v>32046.558904109592</v>
          </cell>
          <cell r="U248">
            <v>27105</v>
          </cell>
          <cell r="W248">
            <v>117</v>
          </cell>
          <cell r="Z248">
            <v>582.55555555555554</v>
          </cell>
          <cell r="AO248">
            <v>7.9300000000000637</v>
          </cell>
          <cell r="BC248">
            <v>32.962544333406456</v>
          </cell>
        </row>
        <row r="249">
          <cell r="F249">
            <v>1497058416</v>
          </cell>
          <cell r="M249">
            <v>32002</v>
          </cell>
          <cell r="N249">
            <v>32089.676712328772</v>
          </cell>
          <cell r="U249">
            <v>28754</v>
          </cell>
          <cell r="W249">
            <v>100</v>
          </cell>
          <cell r="Z249">
            <v>300</v>
          </cell>
          <cell r="AO249">
            <v>20.269999999999982</v>
          </cell>
          <cell r="BC249">
            <v>15.123185864164745</v>
          </cell>
        </row>
        <row r="250">
          <cell r="F250">
            <v>1407325103</v>
          </cell>
          <cell r="M250">
            <v>20367</v>
          </cell>
          <cell r="N250">
            <v>20422.800000000003</v>
          </cell>
          <cell r="U250">
            <v>28159</v>
          </cell>
          <cell r="W250">
            <v>70</v>
          </cell>
          <cell r="Z250">
            <v>518.58571428571429</v>
          </cell>
          <cell r="AO250">
            <v>34.75</v>
          </cell>
          <cell r="BC250">
            <v>14.024425263451528</v>
          </cell>
        </row>
        <row r="251">
          <cell r="F251">
            <v>1164725198</v>
          </cell>
          <cell r="M251">
            <v>33090</v>
          </cell>
          <cell r="N251">
            <v>33180.65753424658</v>
          </cell>
          <cell r="U251">
            <v>28801</v>
          </cell>
          <cell r="W251">
            <v>120</v>
          </cell>
          <cell r="Z251">
            <v>271.34166666666664</v>
          </cell>
          <cell r="AO251">
            <v>22.829999999999927</v>
          </cell>
          <cell r="BC251">
            <v>14.970719980660744</v>
          </cell>
        </row>
        <row r="252">
          <cell r="F252">
            <v>1528544145</v>
          </cell>
          <cell r="M252">
            <v>30851</v>
          </cell>
          <cell r="N252">
            <v>30935.523287671236</v>
          </cell>
          <cell r="U252">
            <v>28374</v>
          </cell>
          <cell r="W252">
            <v>120</v>
          </cell>
          <cell r="Z252">
            <v>400</v>
          </cell>
          <cell r="AO252">
            <v>15.579999999999927</v>
          </cell>
          <cell r="BC252">
            <v>17.416141154552761</v>
          </cell>
        </row>
        <row r="253">
          <cell r="F253">
            <v>1922747088</v>
          </cell>
          <cell r="M253">
            <v>26543</v>
          </cell>
          <cell r="N253">
            <v>26615.72054794521</v>
          </cell>
          <cell r="U253">
            <v>28677</v>
          </cell>
          <cell r="W253">
            <v>94</v>
          </cell>
          <cell r="Z253">
            <v>348.68538401352822</v>
          </cell>
          <cell r="AO253">
            <v>23.400000000000091</v>
          </cell>
          <cell r="BC253">
            <v>14.740141601531072</v>
          </cell>
        </row>
        <row r="254">
          <cell r="F254">
            <v>1023671765</v>
          </cell>
          <cell r="M254">
            <v>42598</v>
          </cell>
          <cell r="N254">
            <v>42714.706849315073</v>
          </cell>
          <cell r="U254">
            <v>27203</v>
          </cell>
          <cell r="W254">
            <v>238</v>
          </cell>
          <cell r="Z254">
            <v>279.14705882352939</v>
          </cell>
          <cell r="AO254">
            <v>35.5</v>
          </cell>
          <cell r="BC254">
            <v>8.6351250846091858</v>
          </cell>
        </row>
        <row r="255">
          <cell r="F255">
            <v>1245737840</v>
          </cell>
          <cell r="M255">
            <v>29732</v>
          </cell>
          <cell r="N255">
            <v>29813.45753424658</v>
          </cell>
          <cell r="U255">
            <v>28401</v>
          </cell>
          <cell r="W255">
            <v>120</v>
          </cell>
          <cell r="Z255">
            <v>428.875</v>
          </cell>
          <cell r="AO255">
            <v>1.8499999999999091</v>
          </cell>
          <cell r="BC255">
            <v>26.979643396451699</v>
          </cell>
        </row>
        <row r="256">
          <cell r="F256">
            <v>1720033475</v>
          </cell>
          <cell r="M256">
            <v>30493</v>
          </cell>
          <cell r="N256">
            <v>30576.542465753428</v>
          </cell>
          <cell r="U256">
            <v>28329</v>
          </cell>
          <cell r="W256">
            <v>212</v>
          </cell>
          <cell r="Z256">
            <v>301.06690865202421</v>
          </cell>
          <cell r="AO256">
            <v>35.269999999999982</v>
          </cell>
          <cell r="BC256">
            <v>8.6351250846091876</v>
          </cell>
        </row>
        <row r="257">
          <cell r="F257">
            <v>1477641694</v>
          </cell>
          <cell r="M257">
            <v>39732</v>
          </cell>
          <cell r="N257">
            <v>39840.85479452055</v>
          </cell>
          <cell r="U257">
            <v>27260</v>
          </cell>
          <cell r="W257">
            <v>125</v>
          </cell>
          <cell r="Z257">
            <v>400</v>
          </cell>
          <cell r="AO257">
            <v>12.420000000000073</v>
          </cell>
          <cell r="BC257">
            <v>20.798426729084834</v>
          </cell>
        </row>
        <row r="258">
          <cell r="F258">
            <v>1366529406</v>
          </cell>
          <cell r="M258">
            <v>28432</v>
          </cell>
          <cell r="N258">
            <v>28509.89589041096</v>
          </cell>
          <cell r="U258">
            <v>27608</v>
          </cell>
          <cell r="W258">
            <v>71</v>
          </cell>
          <cell r="Z258">
            <v>690.34532374100718</v>
          </cell>
          <cell r="AO258">
            <v>32.779999999999973</v>
          </cell>
          <cell r="BC258">
            <v>15.264260736033785</v>
          </cell>
        </row>
        <row r="259">
          <cell r="F259">
            <v>1972261808</v>
          </cell>
          <cell r="M259">
            <v>31865</v>
          </cell>
          <cell r="N259">
            <v>31952.301369863017</v>
          </cell>
          <cell r="U259">
            <v>28761</v>
          </cell>
          <cell r="W259">
            <v>140</v>
          </cell>
          <cell r="Z259">
            <v>325</v>
          </cell>
          <cell r="AO259">
            <v>35.5</v>
          </cell>
          <cell r="BC259">
            <v>8.4499932473811441</v>
          </cell>
        </row>
        <row r="260">
          <cell r="F260">
            <v>1669991865</v>
          </cell>
          <cell r="M260">
            <v>28276</v>
          </cell>
          <cell r="N260">
            <v>28353.468493150689</v>
          </cell>
          <cell r="U260">
            <v>27012</v>
          </cell>
          <cell r="W260">
            <v>120</v>
          </cell>
          <cell r="Z260">
            <v>408.95744680851061</v>
          </cell>
          <cell r="AO260">
            <v>35.5</v>
          </cell>
          <cell r="BC260">
            <v>10.691609528287072</v>
          </cell>
        </row>
        <row r="261">
          <cell r="F261">
            <v>1699336776</v>
          </cell>
          <cell r="M261">
            <v>12210</v>
          </cell>
          <cell r="N261">
            <v>12243.452054794521</v>
          </cell>
          <cell r="U261">
            <v>28056</v>
          </cell>
          <cell r="W261">
            <v>50</v>
          </cell>
          <cell r="Z261">
            <v>325</v>
          </cell>
          <cell r="AO261">
            <v>35.5</v>
          </cell>
          <cell r="BC261">
            <v>8.635125084609184</v>
          </cell>
        </row>
        <row r="262">
          <cell r="F262">
            <v>1790317840</v>
          </cell>
          <cell r="M262">
            <v>23900</v>
          </cell>
          <cell r="N262">
            <v>23965.479452054798</v>
          </cell>
          <cell r="U262">
            <v>28273</v>
          </cell>
          <cell r="W262">
            <v>100</v>
          </cell>
          <cell r="Z262">
            <v>393.82</v>
          </cell>
          <cell r="AO262">
            <v>6</v>
          </cell>
          <cell r="BC262">
            <v>25.244516240934729</v>
          </cell>
        </row>
        <row r="263">
          <cell r="F263">
            <v>1831197714</v>
          </cell>
          <cell r="M263">
            <v>31242</v>
          </cell>
          <cell r="N263">
            <v>31327.594520547947</v>
          </cell>
          <cell r="U263">
            <v>28711</v>
          </cell>
          <cell r="W263">
            <v>97</v>
          </cell>
          <cell r="Z263">
            <v>400</v>
          </cell>
          <cell r="AO263">
            <v>18.259999999999991</v>
          </cell>
          <cell r="BC263">
            <v>17.500338378644134</v>
          </cell>
        </row>
        <row r="264">
          <cell r="F264">
            <v>1871063214</v>
          </cell>
          <cell r="M264">
            <v>29082</v>
          </cell>
          <cell r="N264">
            <v>29161.676712328772</v>
          </cell>
          <cell r="U264">
            <v>28779</v>
          </cell>
          <cell r="W264">
            <v>106</v>
          </cell>
          <cell r="Z264">
            <v>425.12264150943395</v>
          </cell>
          <cell r="AO264">
            <v>26.039999999999964</v>
          </cell>
          <cell r="BC264">
            <v>15.440389776246315</v>
          </cell>
        </row>
        <row r="265">
          <cell r="F265">
            <v>1952396509</v>
          </cell>
          <cell r="M265">
            <v>22699</v>
          </cell>
          <cell r="N265">
            <v>22761.189041095891</v>
          </cell>
          <cell r="U265">
            <v>28713</v>
          </cell>
          <cell r="W265">
            <v>120</v>
          </cell>
          <cell r="Z265">
            <v>281.51666666666665</v>
          </cell>
          <cell r="AO265">
            <v>35.5</v>
          </cell>
          <cell r="BC265">
            <v>8.4499932473811441</v>
          </cell>
        </row>
        <row r="266">
          <cell r="F266">
            <v>1396754875</v>
          </cell>
          <cell r="M266">
            <v>19307</v>
          </cell>
          <cell r="N266">
            <v>19359.89589041096</v>
          </cell>
          <cell r="U266">
            <v>27239</v>
          </cell>
          <cell r="W266">
            <v>60</v>
          </cell>
          <cell r="Z266">
            <v>441.0275578112396</v>
          </cell>
          <cell r="AO266">
            <v>1</v>
          </cell>
          <cell r="BC266">
            <v>27.522884045143186</v>
          </cell>
        </row>
        <row r="267">
          <cell r="F267">
            <v>1891007506</v>
          </cell>
          <cell r="M267">
            <v>0</v>
          </cell>
          <cell r="N267">
            <v>0</v>
          </cell>
          <cell r="U267">
            <v>27856</v>
          </cell>
          <cell r="W267">
            <v>60</v>
          </cell>
          <cell r="Z267">
            <v>325</v>
          </cell>
          <cell r="AO267">
            <v>33.349999999999909</v>
          </cell>
          <cell r="BC267">
            <v>9.2703905245769871</v>
          </cell>
        </row>
        <row r="268">
          <cell r="F268">
            <v>1922611102</v>
          </cell>
          <cell r="M268">
            <v>34963</v>
          </cell>
          <cell r="N268">
            <v>35058.789041095893</v>
          </cell>
          <cell r="U268">
            <v>27804</v>
          </cell>
          <cell r="W268">
            <v>141</v>
          </cell>
          <cell r="Z268">
            <v>306.17021276595744</v>
          </cell>
          <cell r="AO268">
            <v>32.6400000000001</v>
          </cell>
          <cell r="BC268">
            <v>9.3734171593876177</v>
          </cell>
        </row>
        <row r="269">
          <cell r="F269">
            <v>1851348379</v>
          </cell>
          <cell r="M269">
            <v>34991</v>
          </cell>
          <cell r="N269">
            <v>35086.865753424659</v>
          </cell>
          <cell r="U269">
            <v>28560</v>
          </cell>
          <cell r="W269">
            <v>116</v>
          </cell>
          <cell r="Z269">
            <v>325.51724137931035</v>
          </cell>
          <cell r="AO269">
            <v>7.4000000000000909</v>
          </cell>
          <cell r="BC269">
            <v>24.142055154149908</v>
          </cell>
        </row>
        <row r="270">
          <cell r="F270">
            <v>1477146959</v>
          </cell>
          <cell r="M270">
            <v>45555.476190476191</v>
          </cell>
          <cell r="N270">
            <v>61074.374672946098</v>
          </cell>
          <cell r="U270">
            <v>27105</v>
          </cell>
          <cell r="W270">
            <v>152</v>
          </cell>
          <cell r="Z270">
            <v>368.9</v>
          </cell>
          <cell r="AO270">
            <v>19.579999999999927</v>
          </cell>
          <cell r="BC270">
            <v>13.920769422212135</v>
          </cell>
        </row>
        <row r="271">
          <cell r="F271">
            <v>1093754459</v>
          </cell>
          <cell r="M271">
            <v>17274</v>
          </cell>
          <cell r="N271">
            <v>17321.326027397263</v>
          </cell>
          <cell r="U271">
            <v>28139</v>
          </cell>
          <cell r="W271">
            <v>60</v>
          </cell>
          <cell r="Z271">
            <v>370.76753734389035</v>
          </cell>
          <cell r="AO271">
            <v>21.480000000000018</v>
          </cell>
          <cell r="BC271">
            <v>16.066371490128976</v>
          </cell>
        </row>
        <row r="272">
          <cell r="F272">
            <v>1548770423</v>
          </cell>
          <cell r="M272">
            <v>21071</v>
          </cell>
          <cell r="N272">
            <v>21128.728767123288</v>
          </cell>
          <cell r="U272">
            <v>28461</v>
          </cell>
          <cell r="W272">
            <v>99</v>
          </cell>
          <cell r="Z272">
            <v>392.12575783562403</v>
          </cell>
          <cell r="AO272">
            <v>24.079999999999927</v>
          </cell>
          <cell r="BC272">
            <v>15.034931429298627</v>
          </cell>
        </row>
        <row r="273">
          <cell r="F273">
            <v>1497996920</v>
          </cell>
          <cell r="M273">
            <v>43335</v>
          </cell>
          <cell r="N273">
            <v>43453.726027397264</v>
          </cell>
          <cell r="U273">
            <v>27565</v>
          </cell>
          <cell r="W273">
            <v>160</v>
          </cell>
          <cell r="Z273">
            <v>247.30807072783574</v>
          </cell>
          <cell r="AO273">
            <v>29.8599999999999</v>
          </cell>
          <cell r="BC273">
            <v>11.595154826108017</v>
          </cell>
        </row>
        <row r="274">
          <cell r="F274">
            <v>1578715504</v>
          </cell>
          <cell r="M274">
            <v>34534</v>
          </cell>
          <cell r="N274">
            <v>34628.613698630143</v>
          </cell>
          <cell r="U274">
            <v>28731</v>
          </cell>
          <cell r="W274">
            <v>130</v>
          </cell>
          <cell r="Z274">
            <v>388.23076923076923</v>
          </cell>
          <cell r="AO274">
            <v>13.660000000000082</v>
          </cell>
          <cell r="BC274">
            <v>20.203783588718807</v>
          </cell>
        </row>
        <row r="275">
          <cell r="F275">
            <v>1548293988</v>
          </cell>
          <cell r="M275">
            <v>14597</v>
          </cell>
          <cell r="N275">
            <v>14636.99178082192</v>
          </cell>
          <cell r="U275">
            <v>28732</v>
          </cell>
          <cell r="W275">
            <v>50</v>
          </cell>
          <cell r="Z275">
            <v>695.62</v>
          </cell>
          <cell r="AO275">
            <v>7.8800000000001091</v>
          </cell>
          <cell r="BC275">
            <v>38.09007554610946</v>
          </cell>
        </row>
        <row r="276">
          <cell r="F276">
            <v>1609124155</v>
          </cell>
          <cell r="M276">
            <v>24359</v>
          </cell>
          <cell r="N276">
            <v>24425.736986301374</v>
          </cell>
          <cell r="U276">
            <v>27546</v>
          </cell>
          <cell r="W276">
            <v>96</v>
          </cell>
          <cell r="Z276">
            <v>557.29166666666663</v>
          </cell>
          <cell r="AO276">
            <v>4.7799999999999727</v>
          </cell>
          <cell r="BC276">
            <v>34.046902122683342</v>
          </cell>
        </row>
        <row r="277">
          <cell r="F277">
            <v>1780693663</v>
          </cell>
          <cell r="M277">
            <v>11982</v>
          </cell>
          <cell r="N277">
            <v>12014.827397260275</v>
          </cell>
          <cell r="U277">
            <v>28388</v>
          </cell>
          <cell r="W277">
            <v>50</v>
          </cell>
          <cell r="Z277">
            <v>659.18860472124561</v>
          </cell>
          <cell r="AO277">
            <v>34.920000000000073</v>
          </cell>
          <cell r="BC277">
            <v>17.245815800252377</v>
          </cell>
        </row>
        <row r="278">
          <cell r="F278">
            <v>1144646274</v>
          </cell>
          <cell r="M278">
            <v>22827</v>
          </cell>
          <cell r="N278">
            <v>22889.5397260274</v>
          </cell>
          <cell r="U278">
            <v>27705</v>
          </cell>
          <cell r="W278">
            <v>96</v>
          </cell>
          <cell r="Z278">
            <v>299.25</v>
          </cell>
          <cell r="AO278">
            <v>16.650000000000091</v>
          </cell>
          <cell r="BC278">
            <v>19.306624357131401</v>
          </cell>
        </row>
        <row r="279">
          <cell r="F279">
            <v>1124015458</v>
          </cell>
          <cell r="M279">
            <v>26039</v>
          </cell>
          <cell r="N279">
            <v>26110.3397260274</v>
          </cell>
          <cell r="U279">
            <v>27360</v>
          </cell>
          <cell r="W279">
            <v>114</v>
          </cell>
          <cell r="Z279">
            <v>816.01714443389608</v>
          </cell>
          <cell r="AO279">
            <v>12.549999999999955</v>
          </cell>
          <cell r="BC279">
            <v>35.493978101531091</v>
          </cell>
        </row>
        <row r="280">
          <cell r="F280">
            <v>1467007856</v>
          </cell>
          <cell r="M280">
            <v>33816</v>
          </cell>
          <cell r="N280">
            <v>33908.646575342471</v>
          </cell>
          <cell r="U280">
            <v>28374</v>
          </cell>
          <cell r="W280">
            <v>144</v>
          </cell>
          <cell r="Z280">
            <v>333.22222222222223</v>
          </cell>
          <cell r="AO280">
            <v>29.730000000000018</v>
          </cell>
          <cell r="BC280">
            <v>11.645105264141815</v>
          </cell>
        </row>
        <row r="281">
          <cell r="F281">
            <v>1841390002</v>
          </cell>
          <cell r="M281">
            <v>28834</v>
          </cell>
          <cell r="N281">
            <v>28912.997260273976</v>
          </cell>
          <cell r="U281">
            <v>28327</v>
          </cell>
          <cell r="W281">
            <v>90</v>
          </cell>
          <cell r="Z281">
            <v>362.8326863019135</v>
          </cell>
          <cell r="AO281">
            <v>25.039999999999964</v>
          </cell>
          <cell r="BC281">
            <v>13.077286190195876</v>
          </cell>
        </row>
        <row r="282">
          <cell r="F282">
            <v>1073034138</v>
          </cell>
          <cell r="M282">
            <v>32862</v>
          </cell>
          <cell r="N282">
            <v>32952.032876712336</v>
          </cell>
          <cell r="U282">
            <v>28715</v>
          </cell>
          <cell r="W282">
            <v>118</v>
          </cell>
          <cell r="Z282">
            <v>550.84745762711862</v>
          </cell>
          <cell r="AO282">
            <v>2.0399999999999636</v>
          </cell>
          <cell r="BC282">
            <v>34.265910137259382</v>
          </cell>
        </row>
        <row r="283">
          <cell r="F283">
            <v>1861003485</v>
          </cell>
          <cell r="M283">
            <v>28969</v>
          </cell>
          <cell r="N283">
            <v>29048.367123287673</v>
          </cell>
          <cell r="U283">
            <v>27962</v>
          </cell>
          <cell r="W283">
            <v>114</v>
          </cell>
          <cell r="Z283">
            <v>354.42982456140351</v>
          </cell>
          <cell r="AO283">
            <v>33.1400000000001</v>
          </cell>
          <cell r="BC283">
            <v>9.7299456739196319</v>
          </cell>
        </row>
        <row r="284">
          <cell r="F284">
            <v>1720085293</v>
          </cell>
          <cell r="M284">
            <v>23100</v>
          </cell>
          <cell r="N284">
            <v>23163.28767123288</v>
          </cell>
          <cell r="U284">
            <v>28450</v>
          </cell>
          <cell r="W284">
            <v>127</v>
          </cell>
          <cell r="Z284">
            <v>353.1463676930494</v>
          </cell>
          <cell r="AO284">
            <v>34.079999999999927</v>
          </cell>
          <cell r="BC284">
            <v>9.6325324504210315</v>
          </cell>
        </row>
        <row r="285">
          <cell r="F285">
            <v>1801428768</v>
          </cell>
          <cell r="M285">
            <v>25208</v>
          </cell>
          <cell r="N285">
            <v>25277.063013698633</v>
          </cell>
          <cell r="U285">
            <v>27302</v>
          </cell>
          <cell r="W285">
            <v>117</v>
          </cell>
          <cell r="Z285">
            <v>572.95726495726501</v>
          </cell>
          <cell r="AO285">
            <v>23.119999999999891</v>
          </cell>
          <cell r="BC285">
            <v>22.703395349346227</v>
          </cell>
        </row>
        <row r="286">
          <cell r="F286">
            <v>1336193754</v>
          </cell>
          <cell r="M286">
            <v>43200</v>
          </cell>
          <cell r="N286">
            <v>43318.356164383564</v>
          </cell>
          <cell r="U286">
            <v>28105</v>
          </cell>
          <cell r="W286">
            <v>169</v>
          </cell>
          <cell r="Z286">
            <v>583.48427672955972</v>
          </cell>
          <cell r="AO286">
            <v>9.2699999999999818</v>
          </cell>
          <cell r="BC286">
            <v>32.756060660601413</v>
          </cell>
        </row>
        <row r="287">
          <cell r="F287">
            <v>1548696834</v>
          </cell>
          <cell r="M287">
            <v>14231</v>
          </cell>
          <cell r="N287">
            <v>14269.989041095892</v>
          </cell>
          <cell r="U287">
            <v>28374</v>
          </cell>
          <cell r="W287">
            <v>60</v>
          </cell>
          <cell r="Z287">
            <v>580.95712592968755</v>
          </cell>
          <cell r="AO287">
            <v>20.339999999999918</v>
          </cell>
          <cell r="BC287">
            <v>24.943836676137959</v>
          </cell>
        </row>
        <row r="288">
          <cell r="F288">
            <v>1396161527</v>
          </cell>
          <cell r="M288">
            <v>29392</v>
          </cell>
          <cell r="N288">
            <v>29472.526027397264</v>
          </cell>
          <cell r="U288">
            <v>27605</v>
          </cell>
          <cell r="W288">
            <v>157</v>
          </cell>
          <cell r="Z288">
            <v>438.15923566878979</v>
          </cell>
          <cell r="AO288">
            <v>15.670000000000073</v>
          </cell>
          <cell r="BC288">
            <v>21.318924712008549</v>
          </cell>
        </row>
        <row r="289">
          <cell r="F289">
            <v>1134660103</v>
          </cell>
          <cell r="M289">
            <v>34991</v>
          </cell>
          <cell r="N289">
            <v>35086.865753424659</v>
          </cell>
          <cell r="U289">
            <v>28304</v>
          </cell>
          <cell r="W289">
            <v>170</v>
          </cell>
          <cell r="Z289">
            <v>398.26470588235293</v>
          </cell>
          <cell r="AO289">
            <v>10.160000000000082</v>
          </cell>
          <cell r="BC289">
            <v>23.358733373569706</v>
          </cell>
        </row>
        <row r="290">
          <cell r="F290">
            <v>1043703945</v>
          </cell>
          <cell r="M290">
            <v>24903</v>
          </cell>
          <cell r="N290">
            <v>24971.227397260278</v>
          </cell>
          <cell r="U290">
            <v>28052</v>
          </cell>
          <cell r="W290">
            <v>118</v>
          </cell>
          <cell r="Z290">
            <v>298.27118644067798</v>
          </cell>
          <cell r="AO290">
            <v>4.3099999999999454</v>
          </cell>
          <cell r="BC290">
            <v>26.548827304834841</v>
          </cell>
        </row>
        <row r="291">
          <cell r="F291">
            <v>1275823155</v>
          </cell>
          <cell r="M291">
            <v>36137</v>
          </cell>
          <cell r="N291">
            <v>36236.005479452062</v>
          </cell>
          <cell r="U291">
            <v>27253</v>
          </cell>
          <cell r="W291">
            <v>120</v>
          </cell>
          <cell r="Z291">
            <v>506.77464788732397</v>
          </cell>
          <cell r="AO291">
            <v>8</v>
          </cell>
          <cell r="BC291">
            <v>29.125973937957802</v>
          </cell>
        </row>
        <row r="292">
          <cell r="F292">
            <v>1336565779</v>
          </cell>
          <cell r="M292">
            <v>37525</v>
          </cell>
          <cell r="N292">
            <v>37627.808219178085</v>
          </cell>
          <cell r="U292">
            <v>28112</v>
          </cell>
          <cell r="W292">
            <v>147</v>
          </cell>
          <cell r="Z292">
            <v>361.63265306122452</v>
          </cell>
          <cell r="AO292">
            <v>22.25</v>
          </cell>
          <cell r="BC292">
            <v>15.806808882957272</v>
          </cell>
        </row>
        <row r="293">
          <cell r="F293">
            <v>1932889078</v>
          </cell>
          <cell r="M293">
            <v>14579</v>
          </cell>
          <cell r="N293">
            <v>14618.942465753425</v>
          </cell>
          <cell r="U293">
            <v>28806</v>
          </cell>
          <cell r="W293">
            <v>100</v>
          </cell>
          <cell r="Z293">
            <v>425</v>
          </cell>
          <cell r="AO293">
            <v>7.3399999999999181</v>
          </cell>
          <cell r="BC293">
            <v>24.512125728444847</v>
          </cell>
        </row>
        <row r="294">
          <cell r="F294">
            <v>1306293170</v>
          </cell>
          <cell r="M294">
            <v>35814</v>
          </cell>
          <cell r="N294">
            <v>35912.120547945211</v>
          </cell>
          <cell r="U294">
            <v>27889</v>
          </cell>
          <cell r="W294">
            <v>128</v>
          </cell>
          <cell r="Z294">
            <v>325</v>
          </cell>
          <cell r="AO294">
            <v>35.5</v>
          </cell>
          <cell r="BC294">
            <v>8.4499932473811441</v>
          </cell>
        </row>
        <row r="295">
          <cell r="F295">
            <v>1033513320</v>
          </cell>
          <cell r="M295">
            <v>30667</v>
          </cell>
          <cell r="N295">
            <v>30751.019178082195</v>
          </cell>
          <cell r="U295">
            <v>28379</v>
          </cell>
          <cell r="W295">
            <v>120</v>
          </cell>
          <cell r="Z295">
            <v>287.75</v>
          </cell>
          <cell r="AO295">
            <v>25.720000000000027</v>
          </cell>
          <cell r="BC295">
            <v>14.191189854149865</v>
          </cell>
        </row>
        <row r="296">
          <cell r="F296">
            <v>1770149270</v>
          </cell>
          <cell r="M296">
            <v>29859</v>
          </cell>
          <cell r="N296">
            <v>29940.805479452058</v>
          </cell>
          <cell r="U296">
            <v>27704</v>
          </cell>
          <cell r="W296">
            <v>111</v>
          </cell>
          <cell r="Z296">
            <v>311.87387387387389</v>
          </cell>
          <cell r="AO296">
            <v>6.7899999999999636</v>
          </cell>
          <cell r="BC296">
            <v>25.485183214665597</v>
          </cell>
        </row>
        <row r="297">
          <cell r="F297">
            <v>1104471531</v>
          </cell>
          <cell r="M297">
            <v>29201</v>
          </cell>
          <cell r="N297">
            <v>29281.002739726031</v>
          </cell>
          <cell r="U297">
            <v>27573</v>
          </cell>
          <cell r="W297">
            <v>140</v>
          </cell>
          <cell r="Z297">
            <v>327.25876358402303</v>
          </cell>
          <cell r="AO297">
            <v>35.5</v>
          </cell>
          <cell r="BC297">
            <v>8.6904520668968193</v>
          </cell>
        </row>
        <row r="298">
          <cell r="F298">
            <v>1568454262</v>
          </cell>
          <cell r="M298">
            <v>28827</v>
          </cell>
          <cell r="N298">
            <v>28905.978082191785</v>
          </cell>
          <cell r="U298">
            <v>27106</v>
          </cell>
          <cell r="W298">
            <v>100</v>
          </cell>
          <cell r="Z298">
            <v>425</v>
          </cell>
          <cell r="AO298">
            <v>6.2400000000000091</v>
          </cell>
          <cell r="BC298">
            <v>25.626031859709883</v>
          </cell>
        </row>
        <row r="299">
          <cell r="F299">
            <v>1669023685</v>
          </cell>
          <cell r="M299">
            <v>23253</v>
          </cell>
          <cell r="N299">
            <v>23316.706849315069</v>
          </cell>
          <cell r="U299">
            <v>28270</v>
          </cell>
          <cell r="W299">
            <v>124</v>
          </cell>
          <cell r="Z299">
            <v>425</v>
          </cell>
          <cell r="AO299">
            <v>4</v>
          </cell>
          <cell r="BC299">
            <v>26.999379591055597</v>
          </cell>
        </row>
        <row r="300">
          <cell r="F300">
            <v>1053380626</v>
          </cell>
          <cell r="M300">
            <v>36288</v>
          </cell>
          <cell r="N300">
            <v>36387.419178082193</v>
          </cell>
          <cell r="U300">
            <v>28262</v>
          </cell>
          <cell r="W300">
            <v>120</v>
          </cell>
          <cell r="Z300">
            <v>301.28571428571428</v>
          </cell>
          <cell r="AO300">
            <v>23.150000000000091</v>
          </cell>
          <cell r="BC300">
            <v>15.493543667405278</v>
          </cell>
        </row>
        <row r="301">
          <cell r="F301">
            <v>1346241627</v>
          </cell>
          <cell r="M301">
            <v>14614</v>
          </cell>
          <cell r="N301">
            <v>14654.038356164385</v>
          </cell>
          <cell r="U301">
            <v>28352</v>
          </cell>
          <cell r="W301">
            <v>58</v>
          </cell>
          <cell r="Z301">
            <v>425</v>
          </cell>
          <cell r="AO301">
            <v>7</v>
          </cell>
          <cell r="BC301">
            <v>25.224169327155515</v>
          </cell>
        </row>
        <row r="302">
          <cell r="F302">
            <v>1740278126</v>
          </cell>
          <cell r="M302">
            <v>16280</v>
          </cell>
          <cell r="N302">
            <v>16324.60273972603</v>
          </cell>
          <cell r="U302">
            <v>27536</v>
          </cell>
          <cell r="W302">
            <v>60</v>
          </cell>
          <cell r="Z302">
            <v>293.30938582695114</v>
          </cell>
          <cell r="AO302">
            <v>34</v>
          </cell>
          <cell r="BC302">
            <v>9.2195690934730035</v>
          </cell>
        </row>
        <row r="303">
          <cell r="F303">
            <v>1639630452</v>
          </cell>
          <cell r="M303">
            <v>21032</v>
          </cell>
          <cell r="N303">
            <v>21089.621917808221</v>
          </cell>
          <cell r="U303">
            <v>27917</v>
          </cell>
          <cell r="W303">
            <v>100</v>
          </cell>
          <cell r="Z303">
            <v>336</v>
          </cell>
          <cell r="AO303">
            <v>3</v>
          </cell>
          <cell r="BC303">
            <v>26.916582201853345</v>
          </cell>
        </row>
        <row r="304">
          <cell r="F304">
            <v>1740386473</v>
          </cell>
          <cell r="M304">
            <v>17979</v>
          </cell>
          <cell r="N304">
            <v>18028.257534246579</v>
          </cell>
          <cell r="U304">
            <v>28645</v>
          </cell>
          <cell r="W304">
            <v>60</v>
          </cell>
          <cell r="Z304">
            <v>550.33333333333337</v>
          </cell>
          <cell r="AO304">
            <v>3</v>
          </cell>
          <cell r="BC304">
            <v>34.238391571716356</v>
          </cell>
        </row>
        <row r="305">
          <cell r="F305">
            <v>1689628141</v>
          </cell>
          <cell r="M305">
            <v>17163</v>
          </cell>
          <cell r="N305">
            <v>17210.021917808222</v>
          </cell>
          <cell r="U305">
            <v>28472</v>
          </cell>
          <cell r="W305">
            <v>89</v>
          </cell>
          <cell r="Z305">
            <v>309.73015070025031</v>
          </cell>
          <cell r="AO305">
            <v>11.269999999999982</v>
          </cell>
          <cell r="BC305">
            <v>21.078204671071681</v>
          </cell>
        </row>
        <row r="306">
          <cell r="F306">
            <v>1063838381</v>
          </cell>
          <cell r="M306">
            <v>24890</v>
          </cell>
          <cell r="N306">
            <v>24958.191780821919</v>
          </cell>
          <cell r="U306">
            <v>27103</v>
          </cell>
          <cell r="W306">
            <v>90</v>
          </cell>
          <cell r="Z306">
            <v>286.95555555555558</v>
          </cell>
          <cell r="AO306">
            <v>14.230000000000018</v>
          </cell>
          <cell r="BC306">
            <v>20.00779369798547</v>
          </cell>
        </row>
        <row r="307">
          <cell r="F307">
            <v>1093708497</v>
          </cell>
          <cell r="M307">
            <v>34898</v>
          </cell>
          <cell r="N307">
            <v>34993.610958904115</v>
          </cell>
          <cell r="U307">
            <v>28716</v>
          </cell>
          <cell r="W307">
            <v>131</v>
          </cell>
          <cell r="Z307">
            <v>276.25694444444446</v>
          </cell>
          <cell r="AO307">
            <v>22.740000000000009</v>
          </cell>
          <cell r="BC307">
            <v>15.04443035052379</v>
          </cell>
        </row>
        <row r="308">
          <cell r="F308">
            <v>1295733517</v>
          </cell>
          <cell r="M308">
            <v>29817</v>
          </cell>
          <cell r="N308">
            <v>29898.690410958909</v>
          </cell>
          <cell r="U308">
            <v>28779</v>
          </cell>
          <cell r="W308">
            <v>94</v>
          </cell>
          <cell r="Z308">
            <v>385.62765957446811</v>
          </cell>
          <cell r="AO308">
            <v>14.059999999999945</v>
          </cell>
          <cell r="BC308">
            <v>19.396863421430677</v>
          </cell>
        </row>
        <row r="309">
          <cell r="F309">
            <v>1649268335</v>
          </cell>
          <cell r="M309">
            <v>40127</v>
          </cell>
          <cell r="N309">
            <v>40236.936986301371</v>
          </cell>
          <cell r="U309">
            <v>27577</v>
          </cell>
          <cell r="W309">
            <v>160</v>
          </cell>
          <cell r="Z309">
            <v>321.51249999999999</v>
          </cell>
          <cell r="AO309">
            <v>34.1400000000001</v>
          </cell>
          <cell r="BC309">
            <v>9.0091692502820457</v>
          </cell>
        </row>
        <row r="310">
          <cell r="F310">
            <v>1417368143</v>
          </cell>
          <cell r="M310">
            <v>31779</v>
          </cell>
          <cell r="N310">
            <v>31866.06575342466</v>
          </cell>
          <cell r="U310">
            <v>27803</v>
          </cell>
          <cell r="W310">
            <v>100</v>
          </cell>
          <cell r="Z310">
            <v>487.5303491261904</v>
          </cell>
          <cell r="AO310">
            <v>3.6800000000000637</v>
          </cell>
          <cell r="BC310">
            <v>29.683809041903405</v>
          </cell>
        </row>
        <row r="311">
          <cell r="F311">
            <v>1043263981</v>
          </cell>
          <cell r="M311">
            <v>19001</v>
          </cell>
          <cell r="N311">
            <v>19053.057534246578</v>
          </cell>
          <cell r="U311">
            <v>28329</v>
          </cell>
          <cell r="W311">
            <v>100</v>
          </cell>
          <cell r="Z311">
            <v>374.73</v>
          </cell>
          <cell r="AO311">
            <v>23.869999999999891</v>
          </cell>
          <cell r="BC311">
            <v>14.483489308622103</v>
          </cell>
        </row>
        <row r="312">
          <cell r="F312">
            <v>1710244827</v>
          </cell>
          <cell r="M312">
            <v>28156</v>
          </cell>
          <cell r="N312">
            <v>28233.139726027399</v>
          </cell>
          <cell r="U312">
            <v>27105</v>
          </cell>
          <cell r="W312">
            <v>200</v>
          </cell>
          <cell r="Z312">
            <v>663.23266666666666</v>
          </cell>
          <cell r="AO312">
            <v>5.9100000000000819</v>
          </cell>
          <cell r="BC312">
            <v>39.100122231110831</v>
          </cell>
        </row>
        <row r="313">
          <cell r="F313">
            <v>1184712580</v>
          </cell>
          <cell r="M313">
            <v>26903</v>
          </cell>
          <cell r="N313">
            <v>26976.706849315073</v>
          </cell>
          <cell r="U313">
            <v>28387</v>
          </cell>
          <cell r="W313">
            <v>176</v>
          </cell>
          <cell r="Z313">
            <v>400</v>
          </cell>
          <cell r="AO313">
            <v>14.960000000000036</v>
          </cell>
          <cell r="BC313">
            <v>20.195594606929912</v>
          </cell>
        </row>
        <row r="314">
          <cell r="F314">
            <v>1407843097</v>
          </cell>
          <cell r="M314">
            <v>22745</v>
          </cell>
          <cell r="N314">
            <v>22807.315068493153</v>
          </cell>
          <cell r="U314">
            <v>28164</v>
          </cell>
          <cell r="W314">
            <v>106</v>
          </cell>
          <cell r="Z314">
            <v>407.27266309477568</v>
          </cell>
          <cell r="AO314">
            <v>2.6099999999999</v>
          </cell>
          <cell r="BC314">
            <v>27.395477318654287</v>
          </cell>
        </row>
        <row r="315">
          <cell r="F315">
            <v>1891346797</v>
          </cell>
          <cell r="M315">
            <v>18011</v>
          </cell>
          <cell r="N315">
            <v>18060.345205479454</v>
          </cell>
          <cell r="U315">
            <v>28001</v>
          </cell>
          <cell r="W315">
            <v>90</v>
          </cell>
          <cell r="Z315">
            <v>425</v>
          </cell>
          <cell r="AO315">
            <v>3.0099999999999909</v>
          </cell>
          <cell r="BC315">
            <v>25.819521227236123</v>
          </cell>
        </row>
        <row r="316">
          <cell r="F316">
            <v>1891470332</v>
          </cell>
          <cell r="M316">
            <v>25907</v>
          </cell>
          <cell r="N316">
            <v>25977.978082191785</v>
          </cell>
          <cell r="U316">
            <v>28675</v>
          </cell>
          <cell r="W316">
            <v>90</v>
          </cell>
          <cell r="Z316">
            <v>335.16666666666669</v>
          </cell>
          <cell r="AO316">
            <v>33.569999999999936</v>
          </cell>
          <cell r="BC316">
            <v>9.141401959947661</v>
          </cell>
        </row>
        <row r="317">
          <cell r="F317">
            <v>1912683095</v>
          </cell>
          <cell r="M317">
            <v>29030</v>
          </cell>
          <cell r="N317">
            <v>29109.534246575346</v>
          </cell>
          <cell r="U317">
            <v>27203</v>
          </cell>
          <cell r="W317">
            <v>100</v>
          </cell>
          <cell r="Z317">
            <v>358.14</v>
          </cell>
          <cell r="AO317">
            <v>19.849999999999909</v>
          </cell>
          <cell r="BC317">
            <v>17.575771927155568</v>
          </cell>
        </row>
        <row r="318">
          <cell r="F318">
            <v>1497283899</v>
          </cell>
          <cell r="M318">
            <v>21080</v>
          </cell>
          <cell r="N318">
            <v>21137.753424657538</v>
          </cell>
          <cell r="U318">
            <v>28337</v>
          </cell>
          <cell r="W318">
            <v>90</v>
          </cell>
          <cell r="Z318">
            <v>325</v>
          </cell>
          <cell r="AO318">
            <v>31.630000000000109</v>
          </cell>
          <cell r="BC318">
            <v>10.142990627477795</v>
          </cell>
        </row>
        <row r="319">
          <cell r="F319">
            <v>1285687962</v>
          </cell>
          <cell r="M319">
            <v>21270</v>
          </cell>
          <cell r="N319">
            <v>21328.273972602743</v>
          </cell>
          <cell r="U319">
            <v>27292</v>
          </cell>
          <cell r="W319">
            <v>64</v>
          </cell>
          <cell r="Z319">
            <v>549.171875</v>
          </cell>
          <cell r="AO319">
            <v>24.869999999999891</v>
          </cell>
          <cell r="BC319">
            <v>19.25823201945763</v>
          </cell>
        </row>
        <row r="320">
          <cell r="F320">
            <v>1649224056</v>
          </cell>
          <cell r="M320">
            <v>38022</v>
          </cell>
          <cell r="N320">
            <v>38126.169863013703</v>
          </cell>
          <cell r="U320">
            <v>28365</v>
          </cell>
          <cell r="W320">
            <v>150</v>
          </cell>
          <cell r="Z320">
            <v>289.38</v>
          </cell>
          <cell r="AO320">
            <v>35.5</v>
          </cell>
          <cell r="BC320">
            <v>8.6351250846091876</v>
          </cell>
        </row>
        <row r="321">
          <cell r="F321">
            <v>1194779504</v>
          </cell>
          <cell r="M321">
            <v>24311</v>
          </cell>
          <cell r="N321">
            <v>24377.605479452057</v>
          </cell>
          <cell r="U321">
            <v>28372</v>
          </cell>
          <cell r="W321">
            <v>84</v>
          </cell>
          <cell r="Z321">
            <v>385.25</v>
          </cell>
          <cell r="AO321">
            <v>28.819999999999936</v>
          </cell>
          <cell r="BC321">
            <v>13.13771615094201</v>
          </cell>
        </row>
        <row r="322">
          <cell r="F322">
            <v>1003869983</v>
          </cell>
          <cell r="M322">
            <v>46721</v>
          </cell>
          <cell r="N322">
            <v>46849.002739726035</v>
          </cell>
          <cell r="U322">
            <v>27344</v>
          </cell>
          <cell r="W322">
            <v>150</v>
          </cell>
          <cell r="Z322">
            <v>293.46666666666664</v>
          </cell>
          <cell r="AO322">
            <v>35.5</v>
          </cell>
          <cell r="BC322">
            <v>8.601210026005436</v>
          </cell>
        </row>
        <row r="323">
          <cell r="F323">
            <v>1952354565</v>
          </cell>
          <cell r="M323">
            <v>57858</v>
          </cell>
          <cell r="N323">
            <v>58016.515068493158</v>
          </cell>
          <cell r="U323">
            <v>27262</v>
          </cell>
          <cell r="W323">
            <v>199</v>
          </cell>
          <cell r="Z323">
            <v>276.95979899497485</v>
          </cell>
          <cell r="AO323">
            <v>29.769999999999982</v>
          </cell>
          <cell r="BC323">
            <v>11.65343033714745</v>
          </cell>
        </row>
        <row r="324">
          <cell r="F324">
            <v>1821414269</v>
          </cell>
          <cell r="M324">
            <v>26771</v>
          </cell>
          <cell r="N324">
            <v>26844.345205479454</v>
          </cell>
          <cell r="U324">
            <v>27610</v>
          </cell>
          <cell r="W324">
            <v>95</v>
          </cell>
          <cell r="Z324">
            <v>371.6</v>
          </cell>
          <cell r="AO324">
            <v>11.480000000000018</v>
          </cell>
          <cell r="BC324">
            <v>21.575931287671271</v>
          </cell>
        </row>
        <row r="325">
          <cell r="F325" t="str">
            <v>1669122859</v>
          </cell>
          <cell r="M325">
            <v>32074</v>
          </cell>
          <cell r="N325">
            <v>32161.873972602742</v>
          </cell>
          <cell r="U325">
            <v>27030</v>
          </cell>
          <cell r="W325">
            <v>120</v>
          </cell>
          <cell r="Z325">
            <v>333.5</v>
          </cell>
          <cell r="AO325">
            <v>11.539999999999964</v>
          </cell>
          <cell r="BC325">
            <v>21.712086946655944</v>
          </cell>
        </row>
        <row r="326">
          <cell r="F326">
            <v>1225279755</v>
          </cell>
          <cell r="M326">
            <v>38117</v>
          </cell>
          <cell r="N326">
            <v>38221.430136986302</v>
          </cell>
          <cell r="U326">
            <v>27834</v>
          </cell>
          <cell r="W326">
            <v>120</v>
          </cell>
          <cell r="Z326">
            <v>332.53333333333336</v>
          </cell>
          <cell r="AO326">
            <v>25.6400000000001</v>
          </cell>
          <cell r="BC326">
            <v>12.336861853870959</v>
          </cell>
        </row>
        <row r="327">
          <cell r="F327">
            <v>1720166838</v>
          </cell>
          <cell r="M327">
            <v>30616</v>
          </cell>
          <cell r="N327">
            <v>30699.879452054796</v>
          </cell>
          <cell r="U327">
            <v>27886</v>
          </cell>
          <cell r="W327">
            <v>118</v>
          </cell>
          <cell r="Z327">
            <v>400.21186440677968</v>
          </cell>
          <cell r="AO327">
            <v>26.970000000000027</v>
          </cell>
          <cell r="BC327">
            <v>14.171646697609892</v>
          </cell>
        </row>
        <row r="328">
          <cell r="F328">
            <v>1023358991</v>
          </cell>
          <cell r="M328">
            <v>23143</v>
          </cell>
          <cell r="N328">
            <v>23206.405479452056</v>
          </cell>
          <cell r="U328">
            <v>28577</v>
          </cell>
          <cell r="W328">
            <v>104</v>
          </cell>
          <cell r="Z328">
            <v>485.77884615384613</v>
          </cell>
          <cell r="AO328">
            <v>31.849999999999909</v>
          </cell>
          <cell r="BC328">
            <v>14.068907770126501</v>
          </cell>
        </row>
        <row r="329">
          <cell r="F329">
            <v>1700833233</v>
          </cell>
          <cell r="M329">
            <v>17284</v>
          </cell>
          <cell r="N329">
            <v>17331.353424657536</v>
          </cell>
          <cell r="U329">
            <v>28075</v>
          </cell>
          <cell r="W329">
            <v>70</v>
          </cell>
          <cell r="Z329">
            <v>460.34285714285716</v>
          </cell>
          <cell r="AO329">
            <v>5.8499999999999091</v>
          </cell>
          <cell r="BC329">
            <v>27.541560207749896</v>
          </cell>
        </row>
        <row r="330">
          <cell r="F330">
            <v>1215982525</v>
          </cell>
          <cell r="M330">
            <v>41025</v>
          </cell>
          <cell r="N330">
            <v>41137.397260273974</v>
          </cell>
          <cell r="U330">
            <v>27312</v>
          </cell>
          <cell r="W330">
            <v>140</v>
          </cell>
          <cell r="Z330">
            <v>400</v>
          </cell>
          <cell r="AO330">
            <v>11.150000000000091</v>
          </cell>
          <cell r="BC330">
            <v>21.533676083158717</v>
          </cell>
        </row>
        <row r="331">
          <cell r="F331">
            <v>1427003110</v>
          </cell>
          <cell r="M331">
            <v>36601</v>
          </cell>
          <cell r="N331">
            <v>36701.27671232877</v>
          </cell>
          <cell r="U331">
            <v>27529</v>
          </cell>
          <cell r="W331">
            <v>120</v>
          </cell>
          <cell r="Z331">
            <v>400</v>
          </cell>
          <cell r="AO331">
            <v>14.660000000000082</v>
          </cell>
          <cell r="BC331">
            <v>20.059438947945232</v>
          </cell>
        </row>
        <row r="332">
          <cell r="F332">
            <v>1598710949</v>
          </cell>
          <cell r="M332">
            <v>30300</v>
          </cell>
          <cell r="N332">
            <v>30383.01369863014</v>
          </cell>
          <cell r="U332">
            <v>28803</v>
          </cell>
          <cell r="W332">
            <v>98</v>
          </cell>
          <cell r="Z332">
            <v>400</v>
          </cell>
          <cell r="AO332">
            <v>14.809999999999945</v>
          </cell>
          <cell r="BC332">
            <v>19.362723728605921</v>
          </cell>
        </row>
        <row r="333">
          <cell r="F333">
            <v>1770538092</v>
          </cell>
          <cell r="M333">
            <v>28216</v>
          </cell>
          <cell r="N333">
            <v>28293.304109589044</v>
          </cell>
          <cell r="U333">
            <v>28792</v>
          </cell>
          <cell r="W333">
            <v>100</v>
          </cell>
          <cell r="Z333">
            <v>350</v>
          </cell>
          <cell r="AO333">
            <v>25.349999999999909</v>
          </cell>
          <cell r="BC333">
            <v>13.951782514907361</v>
          </cell>
        </row>
        <row r="334">
          <cell r="F334">
            <v>1871548487</v>
          </cell>
          <cell r="M334">
            <v>23964</v>
          </cell>
          <cell r="N334">
            <v>24029.654794520549</v>
          </cell>
          <cell r="U334">
            <v>28147</v>
          </cell>
          <cell r="W334">
            <v>60</v>
          </cell>
          <cell r="Z334">
            <v>400</v>
          </cell>
          <cell r="AO334">
            <v>11.1099999999999</v>
          </cell>
          <cell r="BC334">
            <v>17.23430985728595</v>
          </cell>
        </row>
        <row r="335">
          <cell r="F335">
            <v>1467407775</v>
          </cell>
          <cell r="M335">
            <v>18072</v>
          </cell>
          <cell r="N335">
            <v>18121.512328767127</v>
          </cell>
          <cell r="U335">
            <v>28805</v>
          </cell>
          <cell r="W335">
            <v>60</v>
          </cell>
          <cell r="Z335">
            <v>425</v>
          </cell>
          <cell r="AO335">
            <v>1</v>
          </cell>
          <cell r="BC335">
            <v>26.260288223207095</v>
          </cell>
        </row>
        <row r="336">
          <cell r="F336">
            <v>1881993079</v>
          </cell>
          <cell r="M336">
            <v>34006</v>
          </cell>
          <cell r="N336">
            <v>34099.167123287676</v>
          </cell>
          <cell r="U336">
            <v>27103</v>
          </cell>
          <cell r="W336">
            <v>151</v>
          </cell>
          <cell r="Z336">
            <v>801.83206106870227</v>
          </cell>
          <cell r="AO336">
            <v>19.839999999999918</v>
          </cell>
          <cell r="BC336">
            <v>30.231388089282845</v>
          </cell>
        </row>
        <row r="337">
          <cell r="F337">
            <v>1255379293</v>
          </cell>
          <cell r="M337">
            <v>26742</v>
          </cell>
          <cell r="N337">
            <v>26815.265753424661</v>
          </cell>
          <cell r="U337">
            <v>28704</v>
          </cell>
          <cell r="W337">
            <v>100</v>
          </cell>
          <cell r="Z337">
            <v>386.58</v>
          </cell>
          <cell r="AO337">
            <v>24.160000000000082</v>
          </cell>
          <cell r="BC337">
            <v>14.887663058374127</v>
          </cell>
        </row>
        <row r="338">
          <cell r="F338">
            <v>1881648350</v>
          </cell>
          <cell r="M338">
            <v>15976</v>
          </cell>
          <cell r="N338">
            <v>16019.7698630137</v>
          </cell>
          <cell r="U338">
            <v>27983</v>
          </cell>
          <cell r="W338">
            <v>60</v>
          </cell>
          <cell r="Z338">
            <v>556.60205363204341</v>
          </cell>
          <cell r="AO338">
            <v>8.1700000000000728</v>
          </cell>
          <cell r="BC338">
            <v>31.438787827008852</v>
          </cell>
        </row>
        <row r="339">
          <cell r="F339">
            <v>1669410312</v>
          </cell>
          <cell r="M339">
            <v>27143</v>
          </cell>
          <cell r="N339">
            <v>27217.364383561646</v>
          </cell>
          <cell r="U339">
            <v>28083</v>
          </cell>
          <cell r="W339">
            <v>107</v>
          </cell>
          <cell r="Z339">
            <v>376.41121495327104</v>
          </cell>
          <cell r="AO339">
            <v>26.200000000000045</v>
          </cell>
          <cell r="BC339">
            <v>13.791630406157338</v>
          </cell>
        </row>
        <row r="340">
          <cell r="F340">
            <v>1184705048</v>
          </cell>
          <cell r="M340">
            <v>13692</v>
          </cell>
          <cell r="N340">
            <v>13729.512328767125</v>
          </cell>
          <cell r="U340">
            <v>28573</v>
          </cell>
          <cell r="W340">
            <v>80</v>
          </cell>
          <cell r="Z340">
            <v>325</v>
          </cell>
          <cell r="AO340">
            <v>31.019999999999982</v>
          </cell>
          <cell r="BC340">
            <v>9.8676494238517289</v>
          </cell>
        </row>
        <row r="341">
          <cell r="F341">
            <v>1386187813</v>
          </cell>
          <cell r="M341">
            <v>32046</v>
          </cell>
          <cell r="N341">
            <v>32133.797260273976</v>
          </cell>
          <cell r="U341">
            <v>27712</v>
          </cell>
          <cell r="W341">
            <v>132</v>
          </cell>
          <cell r="Z341">
            <v>386.07575757575756</v>
          </cell>
          <cell r="AO341">
            <v>27.759999999999991</v>
          </cell>
          <cell r="BC341">
            <v>13.539980109354506</v>
          </cell>
        </row>
        <row r="342">
          <cell r="F342" t="e">
            <v>#N/A</v>
          </cell>
          <cell r="M342">
            <v>18501</v>
          </cell>
          <cell r="N342">
            <v>18551.687671232878</v>
          </cell>
          <cell r="U342">
            <v>28719</v>
          </cell>
          <cell r="W342">
            <v>60</v>
          </cell>
          <cell r="Z342">
            <v>400</v>
          </cell>
          <cell r="AO342">
            <v>19.680000000000064</v>
          </cell>
          <cell r="BC342">
            <v>17.515149609669596</v>
          </cell>
        </row>
        <row r="343">
          <cell r="F343">
            <v>1669449799</v>
          </cell>
          <cell r="M343">
            <v>27822</v>
          </cell>
          <cell r="N343">
            <v>27898.224657534251</v>
          </cell>
          <cell r="U343">
            <v>27215</v>
          </cell>
          <cell r="W343">
            <v>104</v>
          </cell>
          <cell r="Z343">
            <v>1259.6153846153845</v>
          </cell>
          <cell r="AO343">
            <v>1.0799999999999272</v>
          </cell>
          <cell r="BC343">
            <v>43.494377310555969</v>
          </cell>
        </row>
        <row r="344">
          <cell r="F344">
            <v>1245285253</v>
          </cell>
          <cell r="M344">
            <v>30012</v>
          </cell>
          <cell r="N344">
            <v>30094.224657534251</v>
          </cell>
          <cell r="U344">
            <v>28560</v>
          </cell>
          <cell r="W344">
            <v>110</v>
          </cell>
          <cell r="Z344">
            <v>200</v>
          </cell>
          <cell r="AO344">
            <v>4.6900000000000546</v>
          </cell>
          <cell r="BC344">
            <v>25.640708927236069</v>
          </cell>
        </row>
        <row r="345">
          <cell r="F345">
            <v>1629047279</v>
          </cell>
          <cell r="M345">
            <v>30843</v>
          </cell>
          <cell r="N345">
            <v>30927.501369863017</v>
          </cell>
          <cell r="U345">
            <v>27021</v>
          </cell>
          <cell r="W345">
            <v>96</v>
          </cell>
          <cell r="Z345">
            <v>269.52499999999998</v>
          </cell>
          <cell r="AO345">
            <v>25.869999999999891</v>
          </cell>
          <cell r="BC345">
            <v>12.579780661336416</v>
          </cell>
        </row>
        <row r="346">
          <cell r="F346">
            <v>1942279609</v>
          </cell>
          <cell r="M346">
            <v>32520</v>
          </cell>
          <cell r="N346">
            <v>32609.095890410961</v>
          </cell>
          <cell r="U346">
            <v>28025</v>
          </cell>
          <cell r="W346">
            <v>120</v>
          </cell>
          <cell r="Z346">
            <v>297.28333333333336</v>
          </cell>
          <cell r="AO346">
            <v>35.5</v>
          </cell>
          <cell r="BC346">
            <v>8.6351250846091858</v>
          </cell>
        </row>
        <row r="347">
          <cell r="F347">
            <v>1114996758</v>
          </cell>
          <cell r="M347">
            <v>26541</v>
          </cell>
          <cell r="N347">
            <v>26613.715068493155</v>
          </cell>
          <cell r="U347">
            <v>28732</v>
          </cell>
          <cell r="W347">
            <v>90</v>
          </cell>
          <cell r="Z347">
            <v>425.2</v>
          </cell>
          <cell r="AO347">
            <v>19.279999999999973</v>
          </cell>
          <cell r="BC347">
            <v>18.727068834124751</v>
          </cell>
        </row>
        <row r="348">
          <cell r="F348">
            <v>1902875578</v>
          </cell>
          <cell r="M348">
            <v>27292</v>
          </cell>
          <cell r="N348">
            <v>27366.772602739729</v>
          </cell>
          <cell r="U348">
            <v>27316</v>
          </cell>
          <cell r="W348">
            <v>90</v>
          </cell>
          <cell r="Z348">
            <v>421.86666666666667</v>
          </cell>
          <cell r="AO348">
            <v>19.440000000000055</v>
          </cell>
          <cell r="BC348">
            <v>18.922014782473461</v>
          </cell>
        </row>
        <row r="349">
          <cell r="F349">
            <v>1144299702</v>
          </cell>
          <cell r="M349">
            <v>37585</v>
          </cell>
          <cell r="N349">
            <v>37687.972602739726</v>
          </cell>
          <cell r="U349">
            <v>27616</v>
          </cell>
          <cell r="W349">
            <v>132</v>
          </cell>
          <cell r="Z349">
            <v>425.05303030303031</v>
          </cell>
          <cell r="AO349">
            <v>15.940000000000055</v>
          </cell>
          <cell r="BC349">
            <v>20.647308194912522</v>
          </cell>
        </row>
        <row r="350">
          <cell r="F350">
            <v>1689640583</v>
          </cell>
          <cell r="M350">
            <v>15203</v>
          </cell>
          <cell r="N350">
            <v>15244.652054794522</v>
          </cell>
          <cell r="U350">
            <v>28581</v>
          </cell>
          <cell r="W350">
            <v>144</v>
          </cell>
          <cell r="Z350">
            <v>379.23497267759564</v>
          </cell>
          <cell r="AO350">
            <v>28.829999999999927</v>
          </cell>
          <cell r="BC350">
            <v>12.529644514978697</v>
          </cell>
        </row>
        <row r="351">
          <cell r="F351">
            <v>1831125285</v>
          </cell>
          <cell r="M351">
            <v>16609</v>
          </cell>
          <cell r="N351">
            <v>16654.504109589041</v>
          </cell>
          <cell r="U351">
            <v>28901</v>
          </cell>
          <cell r="W351">
            <v>76</v>
          </cell>
          <cell r="Z351">
            <v>328.94736842105266</v>
          </cell>
          <cell r="AO351">
            <v>26.190000000000055</v>
          </cell>
          <cell r="BC351">
            <v>12.72285522352937</v>
          </cell>
        </row>
        <row r="352">
          <cell r="F352">
            <v>1629515499</v>
          </cell>
          <cell r="M352">
            <v>26413</v>
          </cell>
          <cell r="N352">
            <v>26485.364383561646</v>
          </cell>
          <cell r="U352">
            <v>27021</v>
          </cell>
          <cell r="W352">
            <v>96</v>
          </cell>
          <cell r="Z352">
            <v>523.10536044362289</v>
          </cell>
          <cell r="AO352">
            <v>26.410000000000082</v>
          </cell>
          <cell r="BC352">
            <v>18.508657221911193</v>
          </cell>
        </row>
        <row r="353">
          <cell r="F353">
            <v>1952766271</v>
          </cell>
          <cell r="M353">
            <v>45111</v>
          </cell>
          <cell r="N353">
            <v>45234.591780821924</v>
          </cell>
          <cell r="U353">
            <v>27909</v>
          </cell>
          <cell r="W353">
            <v>146</v>
          </cell>
          <cell r="Z353">
            <v>447.01764705882351</v>
          </cell>
          <cell r="AO353">
            <v>10.660000000000082</v>
          </cell>
          <cell r="BC353">
            <v>24.152195662186887</v>
          </cell>
        </row>
        <row r="354">
          <cell r="F354">
            <v>1659319366</v>
          </cell>
          <cell r="M354">
            <v>28346</v>
          </cell>
          <cell r="N354">
            <v>28423.660273972604</v>
          </cell>
          <cell r="U354">
            <v>27052</v>
          </cell>
          <cell r="W354">
            <v>90</v>
          </cell>
          <cell r="Z354">
            <v>295.21417831349061</v>
          </cell>
          <cell r="AO354">
            <v>35.5</v>
          </cell>
          <cell r="BC354">
            <v>8.5061130379947798</v>
          </cell>
        </row>
        <row r="355">
          <cell r="F355">
            <v>1972050276</v>
          </cell>
          <cell r="M355">
            <v>30062</v>
          </cell>
          <cell r="N355">
            <v>30144.361643835618</v>
          </cell>
          <cell r="U355">
            <v>27589</v>
          </cell>
          <cell r="W355">
            <v>140</v>
          </cell>
          <cell r="Z355">
            <v>308.75282880386197</v>
          </cell>
          <cell r="AO355">
            <v>35.5</v>
          </cell>
          <cell r="BC355">
            <v>8.6351250846091876</v>
          </cell>
        </row>
        <row r="356">
          <cell r="F356">
            <v>1154369841</v>
          </cell>
          <cell r="M356">
            <v>21481</v>
          </cell>
          <cell r="N356">
            <v>21539.852054794523</v>
          </cell>
          <cell r="U356">
            <v>27545</v>
          </cell>
          <cell r="W356">
            <v>80</v>
          </cell>
          <cell r="Z356">
            <v>309.6254509517961</v>
          </cell>
          <cell r="AO356">
            <v>21.309999999999945</v>
          </cell>
          <cell r="BC356">
            <v>15.936129021756658</v>
          </cell>
        </row>
        <row r="357">
          <cell r="F357">
            <v>1639153919</v>
          </cell>
          <cell r="M357">
            <v>18618</v>
          </cell>
          <cell r="N357">
            <v>18669.008219178086</v>
          </cell>
          <cell r="U357">
            <v>28358</v>
          </cell>
          <cell r="W357">
            <v>62</v>
          </cell>
          <cell r="Z357">
            <v>425</v>
          </cell>
          <cell r="AO357">
            <v>7.5499999999999545</v>
          </cell>
          <cell r="BC357">
            <v>24.608972363738911</v>
          </cell>
        </row>
        <row r="358">
          <cell r="F358">
            <v>1043314602</v>
          </cell>
          <cell r="M358">
            <v>32941</v>
          </cell>
          <cell r="N358">
            <v>33031.249315068497</v>
          </cell>
          <cell r="U358">
            <v>27262</v>
          </cell>
          <cell r="W358">
            <v>129</v>
          </cell>
          <cell r="Z358">
            <v>514.48062015503876</v>
          </cell>
          <cell r="AO358">
            <v>9.8900000000001</v>
          </cell>
          <cell r="BC358">
            <v>27.281181531384401</v>
          </cell>
        </row>
        <row r="359">
          <cell r="F359">
            <v>1700821865</v>
          </cell>
          <cell r="M359">
            <v>17213</v>
          </cell>
          <cell r="N359">
            <v>17260.15890410959</v>
          </cell>
          <cell r="U359">
            <v>27263</v>
          </cell>
          <cell r="W359">
            <v>68</v>
          </cell>
          <cell r="Z359">
            <v>387.52941176470586</v>
          </cell>
          <cell r="AO359">
            <v>22.130000000000109</v>
          </cell>
          <cell r="BC359">
            <v>16.056562176634817</v>
          </cell>
        </row>
        <row r="360">
          <cell r="F360">
            <v>1902853781</v>
          </cell>
          <cell r="M360">
            <v>22925</v>
          </cell>
          <cell r="N360">
            <v>22987.808219178085</v>
          </cell>
          <cell r="U360">
            <v>28301</v>
          </cell>
          <cell r="W360">
            <v>86</v>
          </cell>
          <cell r="Z360">
            <v>668.36609162450463</v>
          </cell>
          <cell r="AO360">
            <v>13.970000000000027</v>
          </cell>
          <cell r="BC360">
            <v>33.299818384012532</v>
          </cell>
        </row>
        <row r="361">
          <cell r="F361">
            <v>1235264219</v>
          </cell>
          <cell r="M361">
            <v>29465</v>
          </cell>
          <cell r="N361">
            <v>29545.726027397264</v>
          </cell>
          <cell r="U361">
            <v>27217</v>
          </cell>
          <cell r="W361">
            <v>160</v>
          </cell>
          <cell r="Z361">
            <v>293.5625</v>
          </cell>
          <cell r="AO361">
            <v>19.920000000000073</v>
          </cell>
          <cell r="BC361">
            <v>17.641502245286048</v>
          </cell>
        </row>
        <row r="362">
          <cell r="F362">
            <v>1366577355</v>
          </cell>
          <cell r="M362">
            <v>42695</v>
          </cell>
          <cell r="N362">
            <v>42811.972602739734</v>
          </cell>
          <cell r="U362">
            <v>28211</v>
          </cell>
          <cell r="W362">
            <v>180</v>
          </cell>
          <cell r="Z362">
            <v>297</v>
          </cell>
          <cell r="AO362">
            <v>16.970000000000027</v>
          </cell>
          <cell r="BC362">
            <v>19.088374766156356</v>
          </cell>
        </row>
        <row r="363">
          <cell r="F363">
            <v>1033244090</v>
          </cell>
          <cell r="M363">
            <v>39625</v>
          </cell>
          <cell r="N363">
            <v>39733.561643835623</v>
          </cell>
          <cell r="U363">
            <v>28086</v>
          </cell>
          <cell r="W363">
            <v>154</v>
          </cell>
          <cell r="Z363">
            <v>327.75974025974028</v>
          </cell>
          <cell r="AO363">
            <v>21.589999999999918</v>
          </cell>
          <cell r="BC363">
            <v>15.568540313859835</v>
          </cell>
        </row>
        <row r="364">
          <cell r="F364">
            <v>1699310839</v>
          </cell>
          <cell r="M364">
            <v>24038</v>
          </cell>
          <cell r="N364">
            <v>24103.857534246577</v>
          </cell>
          <cell r="U364">
            <v>28139</v>
          </cell>
          <cell r="W364">
            <v>80</v>
          </cell>
          <cell r="Z364">
            <v>418.36250000000001</v>
          </cell>
          <cell r="AO364">
            <v>17.6099999999999</v>
          </cell>
          <cell r="BC364">
            <v>19.883065785693297</v>
          </cell>
        </row>
        <row r="365">
          <cell r="F365">
            <v>1770618720</v>
          </cell>
          <cell r="M365">
            <v>30921</v>
          </cell>
          <cell r="N365">
            <v>31005.715068493155</v>
          </cell>
          <cell r="U365">
            <v>28150</v>
          </cell>
          <cell r="W365">
            <v>160</v>
          </cell>
          <cell r="Z365">
            <v>408.6875</v>
          </cell>
          <cell r="AO365">
            <v>4.9800000000000182</v>
          </cell>
          <cell r="BC365">
            <v>26.603281863456907</v>
          </cell>
        </row>
        <row r="366">
          <cell r="F366">
            <v>1356476311</v>
          </cell>
          <cell r="M366">
            <v>18051</v>
          </cell>
          <cell r="N366">
            <v>18100.454794520549</v>
          </cell>
          <cell r="U366">
            <v>28782</v>
          </cell>
          <cell r="W366">
            <v>70</v>
          </cell>
          <cell r="Z366">
            <v>431.28301800566675</v>
          </cell>
          <cell r="AO366">
            <v>1.4400000000000546</v>
          </cell>
          <cell r="BC366">
            <v>27.479352574419117</v>
          </cell>
        </row>
        <row r="367">
          <cell r="F367">
            <v>1528606225</v>
          </cell>
          <cell r="M367">
            <v>33413</v>
          </cell>
          <cell r="N367">
            <v>33504.542465753431</v>
          </cell>
          <cell r="U367">
            <v>28659</v>
          </cell>
          <cell r="W367">
            <v>111</v>
          </cell>
          <cell r="Z367">
            <v>486.8</v>
          </cell>
          <cell r="AO367">
            <v>5.2599999999999909</v>
          </cell>
          <cell r="BC367">
            <v>28.870234703922634</v>
          </cell>
        </row>
        <row r="368">
          <cell r="F368">
            <v>1669083291</v>
          </cell>
          <cell r="M368">
            <v>31553</v>
          </cell>
          <cell r="N368">
            <v>31639.44657534247</v>
          </cell>
          <cell r="U368">
            <v>27892</v>
          </cell>
          <cell r="W368">
            <v>154</v>
          </cell>
          <cell r="Z368">
            <v>302.65584415584414</v>
          </cell>
          <cell r="AO368">
            <v>35.5</v>
          </cell>
          <cell r="BC368">
            <v>8.4499932473811441</v>
          </cell>
        </row>
        <row r="369">
          <cell r="F369">
            <v>1629425491</v>
          </cell>
          <cell r="M369">
            <v>34145</v>
          </cell>
          <cell r="N369">
            <v>34238.547945205486</v>
          </cell>
          <cell r="U369">
            <v>28139</v>
          </cell>
          <cell r="W369">
            <v>136</v>
          </cell>
          <cell r="Z369">
            <v>325</v>
          </cell>
          <cell r="AO369">
            <v>32.1099999999999</v>
          </cell>
          <cell r="BC369">
            <v>8.9323910543110312</v>
          </cell>
        </row>
        <row r="370">
          <cell r="F370">
            <v>1629016340</v>
          </cell>
          <cell r="M370">
            <v>22528</v>
          </cell>
          <cell r="N370">
            <v>22589.72054794521</v>
          </cell>
          <cell r="U370">
            <v>27055</v>
          </cell>
          <cell r="W370">
            <v>76</v>
          </cell>
          <cell r="Z370">
            <v>357.88157894736844</v>
          </cell>
          <cell r="AO370">
            <v>26.220000000000027</v>
          </cell>
          <cell r="BC370">
            <v>13.21989961959247</v>
          </cell>
        </row>
        <row r="371">
          <cell r="F371">
            <v>1750703278</v>
          </cell>
          <cell r="M371">
            <v>21519</v>
          </cell>
          <cell r="N371">
            <v>21577.956164383562</v>
          </cell>
          <cell r="U371">
            <v>27893</v>
          </cell>
          <cell r="W371">
            <v>90</v>
          </cell>
          <cell r="Z371">
            <v>400</v>
          </cell>
          <cell r="AO371">
            <v>18.1099999999999</v>
          </cell>
          <cell r="BC371">
            <v>18.23671462626918</v>
          </cell>
        </row>
        <row r="372">
          <cell r="F372">
            <v>1215979059</v>
          </cell>
          <cell r="M372">
            <v>19260</v>
          </cell>
          <cell r="N372">
            <v>19312.767123287675</v>
          </cell>
          <cell r="U372">
            <v>28212</v>
          </cell>
          <cell r="W372">
            <v>70</v>
          </cell>
          <cell r="Z372">
            <v>527.34285714285716</v>
          </cell>
          <cell r="AO372">
            <v>14.869999999999891</v>
          </cell>
          <cell r="BC372">
            <v>26.359905036940916</v>
          </cell>
        </row>
        <row r="373">
          <cell r="F373">
            <v>1821551797</v>
          </cell>
          <cell r="M373">
            <v>54272</v>
          </cell>
          <cell r="N373">
            <v>54420.690410958909</v>
          </cell>
          <cell r="U373">
            <v>27104</v>
          </cell>
          <cell r="W373">
            <v>230</v>
          </cell>
          <cell r="Z373">
            <v>321.69565217391306</v>
          </cell>
          <cell r="AO373">
            <v>24.8900000000001</v>
          </cell>
          <cell r="BC373">
            <v>12.552538221756672</v>
          </cell>
        </row>
        <row r="374">
          <cell r="F374">
            <v>1992793962</v>
          </cell>
          <cell r="M374">
            <v>36890</v>
          </cell>
          <cell r="N374">
            <v>36991.068493150691</v>
          </cell>
          <cell r="U374">
            <v>28443</v>
          </cell>
          <cell r="W374">
            <v>112</v>
          </cell>
          <cell r="Z374">
            <v>488.76478889367894</v>
          </cell>
          <cell r="AO374">
            <v>17.200000000000045</v>
          </cell>
          <cell r="BC374">
            <v>19.894753601888304</v>
          </cell>
        </row>
        <row r="375">
          <cell r="F375">
            <v>1023481520</v>
          </cell>
          <cell r="M375">
            <v>22986</v>
          </cell>
          <cell r="N375">
            <v>23048.975342465757</v>
          </cell>
          <cell r="U375">
            <v>28301</v>
          </cell>
          <cell r="W375">
            <v>80</v>
          </cell>
          <cell r="Z375">
            <v>839.96789759125659</v>
          </cell>
          <cell r="AO375">
            <v>6.1199999999998909</v>
          </cell>
          <cell r="BC375">
            <v>41.103725475906508</v>
          </cell>
        </row>
        <row r="376">
          <cell r="F376">
            <v>1174178313</v>
          </cell>
          <cell r="M376">
            <v>34553</v>
          </cell>
          <cell r="N376">
            <v>34647.665753424662</v>
          </cell>
          <cell r="U376">
            <v>27055</v>
          </cell>
          <cell r="W376">
            <v>147</v>
          </cell>
          <cell r="Z376">
            <v>347.1846389991116</v>
          </cell>
          <cell r="AO376">
            <v>35.5</v>
          </cell>
          <cell r="BC376">
            <v>9.1785237552993273</v>
          </cell>
        </row>
        <row r="377">
          <cell r="F377">
            <v>1558029488</v>
          </cell>
          <cell r="M377">
            <v>27387</v>
          </cell>
          <cell r="N377">
            <v>27462.032876712332</v>
          </cell>
          <cell r="U377">
            <v>28714</v>
          </cell>
          <cell r="W377">
            <v>140</v>
          </cell>
          <cell r="Z377">
            <v>325</v>
          </cell>
          <cell r="AO377">
            <v>35.5</v>
          </cell>
          <cell r="BC377">
            <v>8.4499932473811423</v>
          </cell>
        </row>
        <row r="378">
          <cell r="F378">
            <v>1487060893</v>
          </cell>
          <cell r="M378">
            <v>28255</v>
          </cell>
          <cell r="N378">
            <v>28332.410958904111</v>
          </cell>
          <cell r="U378">
            <v>28170</v>
          </cell>
          <cell r="W378">
            <v>95</v>
          </cell>
          <cell r="Z378">
            <v>405.45263157894738</v>
          </cell>
          <cell r="AO378">
            <v>19.849999999999909</v>
          </cell>
          <cell r="BC378">
            <v>18.243210287219746</v>
          </cell>
        </row>
        <row r="379">
          <cell r="F379">
            <v>1629535455</v>
          </cell>
          <cell r="M379">
            <v>26079</v>
          </cell>
          <cell r="N379">
            <v>26150.449315068498</v>
          </cell>
          <cell r="U379">
            <v>28605</v>
          </cell>
          <cell r="W379">
            <v>92</v>
          </cell>
          <cell r="Z379">
            <v>698.4752479943287</v>
          </cell>
          <cell r="AO379">
            <v>5.5499999999999545</v>
          </cell>
          <cell r="BC379">
            <v>40.906910671643629</v>
          </cell>
        </row>
        <row r="380">
          <cell r="F380">
            <v>1265441208</v>
          </cell>
          <cell r="M380">
            <v>19351</v>
          </cell>
          <cell r="N380">
            <v>19404.016438356168</v>
          </cell>
          <cell r="U380">
            <v>27565</v>
          </cell>
          <cell r="W380">
            <v>80</v>
          </cell>
          <cell r="Z380">
            <v>312.38749999999999</v>
          </cell>
          <cell r="AO380">
            <v>24.369999999999891</v>
          </cell>
          <cell r="BC380">
            <v>14.820076559226449</v>
          </cell>
        </row>
        <row r="381">
          <cell r="F381">
            <v>1710537998</v>
          </cell>
          <cell r="M381">
            <v>30385</v>
          </cell>
          <cell r="N381">
            <v>30468.246575342469</v>
          </cell>
          <cell r="U381">
            <v>28150</v>
          </cell>
          <cell r="W381">
            <v>120</v>
          </cell>
          <cell r="Z381">
            <v>425</v>
          </cell>
          <cell r="AO381">
            <v>3.3399999999999181</v>
          </cell>
          <cell r="BC381">
            <v>26.9993795910556</v>
          </cell>
        </row>
        <row r="382">
          <cell r="F382">
            <v>1659365666</v>
          </cell>
          <cell r="M382">
            <v>0</v>
          </cell>
          <cell r="N382">
            <v>0</v>
          </cell>
          <cell r="U382">
            <v>28352</v>
          </cell>
          <cell r="W382">
            <v>50</v>
          </cell>
          <cell r="Z382">
            <v>350</v>
          </cell>
          <cell r="AO382">
            <v>27.509999999999991</v>
          </cell>
          <cell r="BC382">
            <v>12.57335090427075</v>
          </cell>
        </row>
        <row r="383">
          <cell r="F383">
            <v>1184196206</v>
          </cell>
          <cell r="M383">
            <v>19363</v>
          </cell>
          <cell r="N383">
            <v>19416.049315068496</v>
          </cell>
          <cell r="U383">
            <v>28741</v>
          </cell>
          <cell r="W383">
            <v>80</v>
          </cell>
          <cell r="Z383">
            <v>375</v>
          </cell>
          <cell r="AO383">
            <v>20.599999999999909</v>
          </cell>
          <cell r="BC383">
            <v>17.092321701853386</v>
          </cell>
        </row>
        <row r="384">
          <cell r="F384">
            <v>1104950765</v>
          </cell>
          <cell r="M384">
            <v>25007</v>
          </cell>
          <cell r="N384">
            <v>25075.512328767127</v>
          </cell>
          <cell r="U384">
            <v>28621</v>
          </cell>
          <cell r="W384">
            <v>99</v>
          </cell>
          <cell r="Z384">
            <v>648.18955441797493</v>
          </cell>
          <cell r="AO384">
            <v>16.339999999999918</v>
          </cell>
          <cell r="BC384">
            <v>30.084272955326892</v>
          </cell>
        </row>
        <row r="385">
          <cell r="F385">
            <v>1760462196</v>
          </cell>
          <cell r="M385">
            <v>9728</v>
          </cell>
          <cell r="N385">
            <v>9754.652054794522</v>
          </cell>
          <cell r="U385">
            <v>28677</v>
          </cell>
          <cell r="W385">
            <v>48</v>
          </cell>
          <cell r="Z385">
            <v>445.71187499999996</v>
          </cell>
          <cell r="AO385">
            <v>35.5</v>
          </cell>
          <cell r="BC385">
            <v>10.657411372750801</v>
          </cell>
        </row>
        <row r="386">
          <cell r="F386">
            <v>1457709891</v>
          </cell>
          <cell r="M386">
            <v>0</v>
          </cell>
          <cell r="N386">
            <v>0</v>
          </cell>
          <cell r="U386">
            <v>28461</v>
          </cell>
          <cell r="W386">
            <v>64</v>
          </cell>
          <cell r="Z386">
            <v>400</v>
          </cell>
          <cell r="AO386">
            <v>17.670000000000073</v>
          </cell>
          <cell r="BC386">
            <v>18.236690972441547</v>
          </cell>
        </row>
        <row r="387">
          <cell r="F387">
            <v>1386688703</v>
          </cell>
          <cell r="M387">
            <v>0</v>
          </cell>
          <cell r="N387">
            <v>0</v>
          </cell>
          <cell r="U387">
            <v>28501</v>
          </cell>
          <cell r="W387">
            <v>26</v>
          </cell>
          <cell r="Z387">
            <v>325</v>
          </cell>
          <cell r="AO387">
            <v>35.5</v>
          </cell>
          <cell r="BC387" t="e">
            <v>#N/A</v>
          </cell>
        </row>
        <row r="388">
          <cell r="F388">
            <v>1770582363</v>
          </cell>
          <cell r="M388">
            <v>0</v>
          </cell>
          <cell r="N388">
            <v>0</v>
          </cell>
          <cell r="U388">
            <v>27502</v>
          </cell>
          <cell r="W388">
            <v>107</v>
          </cell>
          <cell r="Z388">
            <v>425</v>
          </cell>
          <cell r="AO388">
            <v>6.8699999999998909</v>
          </cell>
          <cell r="BC388">
            <v>25.080292617969395</v>
          </cell>
        </row>
        <row r="389">
          <cell r="F389">
            <v>1720088339</v>
          </cell>
          <cell r="M389">
            <v>28615</v>
          </cell>
          <cell r="N389">
            <v>28693.397260273974</v>
          </cell>
          <cell r="U389">
            <v>27288</v>
          </cell>
          <cell r="W389">
            <v>121</v>
          </cell>
          <cell r="Z389">
            <v>350</v>
          </cell>
          <cell r="AO389">
            <v>28.450000000000045</v>
          </cell>
          <cell r="BC389">
            <v>12.177909936502804</v>
          </cell>
        </row>
        <row r="390">
          <cell r="F390">
            <v>1326143504</v>
          </cell>
          <cell r="M390">
            <v>29198</v>
          </cell>
          <cell r="N390">
            <v>29277.994520547949</v>
          </cell>
          <cell r="U390">
            <v>27401</v>
          </cell>
          <cell r="W390">
            <v>107</v>
          </cell>
          <cell r="Z390">
            <v>381.95543108278423</v>
          </cell>
          <cell r="AO390">
            <v>30.069999999999936</v>
          </cell>
          <cell r="BC390">
            <v>12.097021812327121</v>
          </cell>
        </row>
        <row r="391">
          <cell r="F391">
            <v>1932107547</v>
          </cell>
          <cell r="M391">
            <v>11182</v>
          </cell>
          <cell r="N391">
            <v>11212.635616438358</v>
          </cell>
          <cell r="U391">
            <v>27030</v>
          </cell>
          <cell r="W391">
            <v>33</v>
          </cell>
          <cell r="Z391">
            <v>400</v>
          </cell>
          <cell r="AO391">
            <v>18.660000000000082</v>
          </cell>
          <cell r="BC391">
            <v>16.827482967054156</v>
          </cell>
        </row>
        <row r="392">
          <cell r="F392">
            <v>1558391250</v>
          </cell>
          <cell r="M392">
            <v>15675</v>
          </cell>
          <cell r="N392">
            <v>15717.945205479453</v>
          </cell>
          <cell r="U392">
            <v>27874</v>
          </cell>
          <cell r="W392">
            <v>60</v>
          </cell>
          <cell r="Z392">
            <v>507.34004554212646</v>
          </cell>
          <cell r="AO392">
            <v>29.029999999999973</v>
          </cell>
          <cell r="BC392">
            <v>16.554125393587579</v>
          </cell>
        </row>
        <row r="393">
          <cell r="F393">
            <v>1538137468</v>
          </cell>
          <cell r="M393">
            <v>10559.442013129103</v>
          </cell>
          <cell r="N393">
            <v>8456.796010514774</v>
          </cell>
          <cell r="U393">
            <v>28425</v>
          </cell>
          <cell r="W393">
            <v>43</v>
          </cell>
          <cell r="Z393">
            <v>350</v>
          </cell>
          <cell r="AO393">
            <v>27.480000000000018</v>
          </cell>
          <cell r="BC393">
            <v>12.182498776631739</v>
          </cell>
        </row>
        <row r="394">
          <cell r="F394">
            <v>1942583752</v>
          </cell>
          <cell r="M394">
            <v>19085</v>
          </cell>
          <cell r="N394">
            <v>19085</v>
          </cell>
          <cell r="U394">
            <v>27573</v>
          </cell>
          <cell r="W394">
            <v>60</v>
          </cell>
          <cell r="Z394">
            <v>425</v>
          </cell>
          <cell r="AO394">
            <v>7</v>
          </cell>
          <cell r="BC394">
            <v>24.670387459297086</v>
          </cell>
        </row>
        <row r="395">
          <cell r="F395">
            <v>1187450150</v>
          </cell>
          <cell r="M395">
            <v>0</v>
          </cell>
          <cell r="N395">
            <v>0</v>
          </cell>
          <cell r="U395">
            <v>28328</v>
          </cell>
          <cell r="W395">
            <v>30</v>
          </cell>
          <cell r="Z395">
            <v>350</v>
          </cell>
          <cell r="AO395">
            <v>26.759999999999991</v>
          </cell>
          <cell r="BC395">
            <v>12.885541141982275</v>
          </cell>
        </row>
        <row r="396">
          <cell r="F396">
            <v>1053953844</v>
          </cell>
          <cell r="M396">
            <v>16960</v>
          </cell>
          <cell r="N396">
            <v>17006.465753424658</v>
          </cell>
          <cell r="U396">
            <v>28112</v>
          </cell>
          <cell r="W396">
            <v>70</v>
          </cell>
          <cell r="Z396">
            <v>400</v>
          </cell>
          <cell r="AO396">
            <v>16.299999999999955</v>
          </cell>
          <cell r="BC396">
            <v>19.695677975825962</v>
          </cell>
        </row>
        <row r="397">
          <cell r="F397">
            <v>1528040888</v>
          </cell>
          <cell r="M397">
            <v>22588</v>
          </cell>
          <cell r="N397">
            <v>30282.813186813186</v>
          </cell>
          <cell r="U397">
            <v>28359</v>
          </cell>
          <cell r="W397">
            <v>115</v>
          </cell>
          <cell r="Z397">
            <v>400</v>
          </cell>
          <cell r="AO397">
            <v>10</v>
          </cell>
          <cell r="BC397">
            <v>23.735789576954069</v>
          </cell>
        </row>
        <row r="398">
          <cell r="F398">
            <v>1134298615</v>
          </cell>
          <cell r="M398">
            <v>2033</v>
          </cell>
          <cell r="N398">
            <v>2038.5698630136988</v>
          </cell>
          <cell r="U398">
            <v>27406</v>
          </cell>
          <cell r="W398">
            <v>23</v>
          </cell>
          <cell r="Z398">
            <v>400</v>
          </cell>
          <cell r="AO398">
            <v>13</v>
          </cell>
          <cell r="BC398">
            <v>21.036003674456083</v>
          </cell>
        </row>
        <row r="399">
          <cell r="F399">
            <v>1952486771</v>
          </cell>
          <cell r="M399">
            <v>32287</v>
          </cell>
          <cell r="N399">
            <v>32375.45753424658</v>
          </cell>
          <cell r="U399">
            <v>28906</v>
          </cell>
          <cell r="W399">
            <v>134</v>
          </cell>
          <cell r="Z399">
            <v>552.94776119402979</v>
          </cell>
          <cell r="AO399">
            <v>4</v>
          </cell>
          <cell r="BC399">
            <v>33.019219258142193</v>
          </cell>
        </row>
        <row r="400">
          <cell r="F400">
            <v>1376542878</v>
          </cell>
          <cell r="M400">
            <v>29950</v>
          </cell>
          <cell r="N400">
            <v>30032.054794520551</v>
          </cell>
          <cell r="U400">
            <v>27607</v>
          </cell>
          <cell r="W400">
            <v>120</v>
          </cell>
          <cell r="Z400">
            <v>400</v>
          </cell>
          <cell r="AO400">
            <v>10.630000000000109</v>
          </cell>
          <cell r="BC400">
            <v>23.467881221917825</v>
          </cell>
        </row>
        <row r="401">
          <cell r="F401">
            <v>1629511597</v>
          </cell>
          <cell r="M401">
            <v>13746</v>
          </cell>
          <cell r="N401">
            <v>13783.660273972604</v>
          </cell>
          <cell r="U401">
            <v>27016</v>
          </cell>
          <cell r="W401">
            <v>40</v>
          </cell>
          <cell r="Z401">
            <v>633.79999999999995</v>
          </cell>
          <cell r="AO401">
            <v>35.5</v>
          </cell>
          <cell r="BC401">
            <v>10.849557095810511</v>
          </cell>
        </row>
        <row r="402">
          <cell r="F402">
            <v>1407966864</v>
          </cell>
          <cell r="M402">
            <v>24722</v>
          </cell>
          <cell r="N402">
            <v>24789.731506849319</v>
          </cell>
          <cell r="U402">
            <v>27320</v>
          </cell>
          <cell r="W402">
            <v>82</v>
          </cell>
          <cell r="Z402">
            <v>400</v>
          </cell>
          <cell r="AO402">
            <v>17.809999999999945</v>
          </cell>
          <cell r="BC402">
            <v>18.777697744399703</v>
          </cell>
        </row>
        <row r="403">
          <cell r="F403">
            <v>1548230188</v>
          </cell>
          <cell r="M403">
            <v>22182</v>
          </cell>
          <cell r="N403">
            <v>22242.772602739729</v>
          </cell>
          <cell r="U403">
            <v>27407</v>
          </cell>
          <cell r="W403">
            <v>88</v>
          </cell>
          <cell r="Z403">
            <v>375</v>
          </cell>
          <cell r="AO403">
            <v>24</v>
          </cell>
          <cell r="BC403">
            <v>14.952939947622884</v>
          </cell>
        </row>
        <row r="404">
          <cell r="F404">
            <v>1124094008</v>
          </cell>
          <cell r="M404">
            <v>0</v>
          </cell>
          <cell r="N404">
            <v>0</v>
          </cell>
          <cell r="U404">
            <v>27610</v>
          </cell>
          <cell r="W404">
            <v>36</v>
          </cell>
          <cell r="Z404">
            <v>325</v>
          </cell>
          <cell r="AO404">
            <v>35.5</v>
          </cell>
          <cell r="BC404" t="e">
            <v>#N/A</v>
          </cell>
        </row>
        <row r="405">
          <cell r="F405">
            <v>1366418246</v>
          </cell>
          <cell r="M405">
            <v>0</v>
          </cell>
          <cell r="N405">
            <v>0</v>
          </cell>
          <cell r="U405">
            <v>27597</v>
          </cell>
          <cell r="W405">
            <v>19</v>
          </cell>
          <cell r="Z405">
            <v>325</v>
          </cell>
          <cell r="AO405">
            <v>35.5</v>
          </cell>
          <cell r="BC405" t="e">
            <v>#N/A</v>
          </cell>
        </row>
        <row r="406">
          <cell r="F406">
            <v>1437110913</v>
          </cell>
          <cell r="M406">
            <v>0</v>
          </cell>
          <cell r="N406">
            <v>0</v>
          </cell>
          <cell r="U406">
            <v>28577</v>
          </cell>
          <cell r="W406">
            <v>42</v>
          </cell>
          <cell r="Z406">
            <v>325</v>
          </cell>
          <cell r="AO406">
            <v>35.5</v>
          </cell>
          <cell r="BC406" t="e">
            <v>#N/A</v>
          </cell>
        </row>
        <row r="407">
          <cell r="F407">
            <v>1366552739</v>
          </cell>
          <cell r="M407">
            <v>32525</v>
          </cell>
          <cell r="N407">
            <v>32614.109589041098</v>
          </cell>
          <cell r="U407">
            <v>27282</v>
          </cell>
          <cell r="W407">
            <v>120</v>
          </cell>
          <cell r="Z407">
            <v>361.45833333333331</v>
          </cell>
          <cell r="AO407">
            <v>21.759999999999991</v>
          </cell>
          <cell r="BC407">
            <v>15.998131936341609</v>
          </cell>
        </row>
        <row r="408">
          <cell r="F408">
            <v>1518968890</v>
          </cell>
          <cell r="M408">
            <v>12558</v>
          </cell>
          <cell r="N408">
            <v>12592.405479452056</v>
          </cell>
          <cell r="U408">
            <v>27235</v>
          </cell>
          <cell r="W408">
            <v>60</v>
          </cell>
          <cell r="Z408">
            <v>400</v>
          </cell>
          <cell r="AO408">
            <v>13.950000000000045</v>
          </cell>
          <cell r="BC408">
            <v>20.589976515713108</v>
          </cell>
        </row>
        <row r="409">
          <cell r="F409">
            <v>1811920267</v>
          </cell>
          <cell r="M409">
            <v>32278</v>
          </cell>
          <cell r="N409">
            <v>32366.432876712333</v>
          </cell>
          <cell r="U409">
            <v>27330</v>
          </cell>
          <cell r="W409">
            <v>131</v>
          </cell>
          <cell r="Z409">
            <v>421.12977099236639</v>
          </cell>
          <cell r="AO409">
            <v>24.599999999999909</v>
          </cell>
          <cell r="BC409">
            <v>16.091853667048365</v>
          </cell>
        </row>
        <row r="410">
          <cell r="F410">
            <v>1861446338</v>
          </cell>
          <cell r="M410">
            <v>18494</v>
          </cell>
          <cell r="N410">
            <v>18544.668493150686</v>
          </cell>
          <cell r="U410">
            <v>27332</v>
          </cell>
          <cell r="W410">
            <v>80</v>
          </cell>
          <cell r="Z410">
            <v>457.86475000000002</v>
          </cell>
          <cell r="AO410">
            <v>18.079999999999927</v>
          </cell>
          <cell r="BC410">
            <v>21.189590324615214</v>
          </cell>
        </row>
        <row r="411">
          <cell r="F411">
            <v>1730136250</v>
          </cell>
          <cell r="M411">
            <v>40312</v>
          </cell>
          <cell r="N411">
            <v>40422.443835616439</v>
          </cell>
          <cell r="U411">
            <v>27603</v>
          </cell>
          <cell r="W411">
            <v>150</v>
          </cell>
          <cell r="Z411">
            <v>384.63333333333333</v>
          </cell>
          <cell r="AO411">
            <v>4.1500000000000909</v>
          </cell>
          <cell r="BC411">
            <v>26.275957683964485</v>
          </cell>
        </row>
        <row r="412">
          <cell r="F412">
            <v>1982328829</v>
          </cell>
          <cell r="M412">
            <v>28887</v>
          </cell>
          <cell r="N412">
            <v>28966.142465753426</v>
          </cell>
          <cell r="U412">
            <v>28078</v>
          </cell>
          <cell r="W412">
            <v>114</v>
          </cell>
          <cell r="Z412">
            <v>420.07894736842104</v>
          </cell>
          <cell r="AO412">
            <v>13.8900000000001</v>
          </cell>
          <cell r="BC412">
            <v>21.331531688215051</v>
          </cell>
        </row>
        <row r="413">
          <cell r="F413">
            <v>1891908687</v>
          </cell>
          <cell r="M413">
            <v>28273</v>
          </cell>
          <cell r="N413">
            <v>28350.460273972607</v>
          </cell>
          <cell r="U413">
            <v>27006</v>
          </cell>
          <cell r="W413">
            <v>117</v>
          </cell>
          <cell r="Z413">
            <v>347.23931623931622</v>
          </cell>
          <cell r="AO413">
            <v>21.569999999999936</v>
          </cell>
          <cell r="BC413">
            <v>16.029133393634194</v>
          </cell>
        </row>
        <row r="414">
          <cell r="F414">
            <v>1326519844</v>
          </cell>
          <cell r="M414">
            <v>28256</v>
          </cell>
          <cell r="N414">
            <v>28333.413698630138</v>
          </cell>
          <cell r="U414">
            <v>28401</v>
          </cell>
          <cell r="W414">
            <v>110</v>
          </cell>
          <cell r="Z414">
            <v>553.27272727272725</v>
          </cell>
          <cell r="AO414">
            <v>15.069999999999936</v>
          </cell>
          <cell r="BC414">
            <v>25.648418391623501</v>
          </cell>
        </row>
        <row r="415">
          <cell r="F415">
            <v>1932368586</v>
          </cell>
          <cell r="M415">
            <v>4691</v>
          </cell>
          <cell r="N415">
            <v>4703.8520547945209</v>
          </cell>
          <cell r="U415">
            <v>27215</v>
          </cell>
          <cell r="W415">
            <v>16</v>
          </cell>
          <cell r="Z415">
            <v>13542.9375</v>
          </cell>
          <cell r="AO415">
            <v>4</v>
          </cell>
          <cell r="BC415">
            <v>42.673823545527789</v>
          </cell>
        </row>
        <row r="416">
          <cell r="F416">
            <v>1306372230</v>
          </cell>
          <cell r="M416">
            <v>43399</v>
          </cell>
          <cell r="N416">
            <v>43517.901369863015</v>
          </cell>
          <cell r="U416">
            <v>27407</v>
          </cell>
          <cell r="W416">
            <v>135</v>
          </cell>
          <cell r="Z416">
            <v>495.46666666666664</v>
          </cell>
          <cell r="AO416">
            <v>14.549999999999955</v>
          </cell>
          <cell r="BC416">
            <v>23.663529006096908</v>
          </cell>
        </row>
        <row r="417">
          <cell r="F417">
            <v>1437484672</v>
          </cell>
          <cell r="M417">
            <v>27515</v>
          </cell>
          <cell r="N417">
            <v>27590.383561643837</v>
          </cell>
          <cell r="U417">
            <v>28422</v>
          </cell>
          <cell r="W417">
            <v>90</v>
          </cell>
          <cell r="Z417">
            <v>437.17777777777781</v>
          </cell>
          <cell r="AO417">
            <v>9.25</v>
          </cell>
          <cell r="BC417">
            <v>23.971369175966668</v>
          </cell>
        </row>
        <row r="418">
          <cell r="F418">
            <v>1982130811</v>
          </cell>
          <cell r="M418">
            <v>35282</v>
          </cell>
          <cell r="N418">
            <v>35378.663013698635</v>
          </cell>
          <cell r="U418">
            <v>27301</v>
          </cell>
          <cell r="W418">
            <v>134</v>
          </cell>
          <cell r="Z418">
            <v>499.16417910447763</v>
          </cell>
          <cell r="AO418">
            <v>14.720000000000027</v>
          </cell>
          <cell r="BC418">
            <v>24.690908760041847</v>
          </cell>
        </row>
        <row r="419">
          <cell r="F419">
            <v>1124342241</v>
          </cell>
          <cell r="M419">
            <v>30264</v>
          </cell>
          <cell r="N419">
            <v>30346.915068493152</v>
          </cell>
          <cell r="U419">
            <v>28173</v>
          </cell>
          <cell r="W419">
            <v>100</v>
          </cell>
          <cell r="Z419">
            <v>601.9</v>
          </cell>
          <cell r="AO419">
            <v>6.6700000000000728</v>
          </cell>
          <cell r="BC419">
            <v>35.628607738425806</v>
          </cell>
        </row>
        <row r="420">
          <cell r="F420">
            <v>1669613071</v>
          </cell>
          <cell r="M420">
            <v>26290</v>
          </cell>
          <cell r="N420">
            <v>26362.027397260277</v>
          </cell>
          <cell r="U420">
            <v>27282</v>
          </cell>
          <cell r="W420">
            <v>150</v>
          </cell>
          <cell r="Z420">
            <v>400</v>
          </cell>
          <cell r="AO420">
            <v>13.6400000000001</v>
          </cell>
          <cell r="BC420">
            <v>20.566501402095081</v>
          </cell>
        </row>
        <row r="421">
          <cell r="F421">
            <v>1518112036</v>
          </cell>
          <cell r="M421">
            <v>31978</v>
          </cell>
          <cell r="N421">
            <v>32065.610958904112</v>
          </cell>
          <cell r="U421">
            <v>27705</v>
          </cell>
          <cell r="W421">
            <v>138</v>
          </cell>
          <cell r="Z421">
            <v>329.83571428571429</v>
          </cell>
          <cell r="AO421">
            <v>7.0099999999999909</v>
          </cell>
          <cell r="BC421">
            <v>25.525294376954037</v>
          </cell>
        </row>
        <row r="422">
          <cell r="F422">
            <v>1114463932</v>
          </cell>
          <cell r="M422">
            <v>27871</v>
          </cell>
          <cell r="N422">
            <v>27947.358904109591</v>
          </cell>
          <cell r="U422">
            <v>28314</v>
          </cell>
          <cell r="W422">
            <v>90</v>
          </cell>
          <cell r="Z422">
            <v>690</v>
          </cell>
          <cell r="AO422">
            <v>11.220000000000027</v>
          </cell>
          <cell r="BC422">
            <v>36.03789506320711</v>
          </cell>
        </row>
        <row r="423">
          <cell r="F423">
            <v>1194028118</v>
          </cell>
          <cell r="M423">
            <v>33572</v>
          </cell>
          <cell r="N423">
            <v>33663.978082191781</v>
          </cell>
          <cell r="U423">
            <v>28412</v>
          </cell>
          <cell r="W423">
            <v>100</v>
          </cell>
          <cell r="Z423">
            <v>678.69</v>
          </cell>
          <cell r="AO423">
            <v>8.1300000000001091</v>
          </cell>
          <cell r="BC423">
            <v>33.948365775207797</v>
          </cell>
        </row>
        <row r="424">
          <cell r="F424">
            <v>1891871901</v>
          </cell>
          <cell r="M424">
            <v>0</v>
          </cell>
          <cell r="N424">
            <v>0</v>
          </cell>
          <cell r="U424">
            <v>28207</v>
          </cell>
          <cell r="W424">
            <v>16</v>
          </cell>
          <cell r="Z424">
            <v>350</v>
          </cell>
          <cell r="AO424">
            <v>26</v>
          </cell>
          <cell r="BC424">
            <v>14.218106718372281</v>
          </cell>
        </row>
        <row r="425">
          <cell r="F425">
            <v>1255682522</v>
          </cell>
          <cell r="M425">
            <v>23752</v>
          </cell>
          <cell r="N425">
            <v>23817.073972602742</v>
          </cell>
          <cell r="U425">
            <v>28412</v>
          </cell>
          <cell r="W425">
            <v>80</v>
          </cell>
          <cell r="Z425">
            <v>543.75</v>
          </cell>
          <cell r="AO425">
            <v>4.4500000000000455</v>
          </cell>
          <cell r="BC425">
            <v>32.443755432715598</v>
          </cell>
        </row>
        <row r="426">
          <cell r="F426">
            <v>1639556806</v>
          </cell>
          <cell r="M426">
            <v>31903</v>
          </cell>
          <cell r="N426">
            <v>31990.405479452056</v>
          </cell>
          <cell r="U426">
            <v>27612</v>
          </cell>
          <cell r="W426">
            <v>134</v>
          </cell>
          <cell r="Z426">
            <v>378.1044776119403</v>
          </cell>
          <cell r="AO426">
            <v>12.970000000000027</v>
          </cell>
          <cell r="BC426">
            <v>21.050088742626897</v>
          </cell>
        </row>
        <row r="427">
          <cell r="F427">
            <v>1588805014</v>
          </cell>
          <cell r="M427">
            <v>32525</v>
          </cell>
          <cell r="N427">
            <v>32614.109589041098</v>
          </cell>
          <cell r="U427">
            <v>27526</v>
          </cell>
          <cell r="W427">
            <v>100</v>
          </cell>
          <cell r="Z427">
            <v>540.66</v>
          </cell>
          <cell r="AO427">
            <v>8</v>
          </cell>
          <cell r="BC427">
            <v>29.521077533100684</v>
          </cell>
        </row>
        <row r="428">
          <cell r="F428">
            <v>1962832899</v>
          </cell>
          <cell r="M428">
            <v>31213</v>
          </cell>
          <cell r="N428">
            <v>31298.515068493154</v>
          </cell>
          <cell r="U428">
            <v>28277</v>
          </cell>
          <cell r="W428">
            <v>120</v>
          </cell>
          <cell r="Z428">
            <v>661.41666666666663</v>
          </cell>
          <cell r="AO428">
            <v>10.700000000000045</v>
          </cell>
          <cell r="BC428">
            <v>35.814962869725996</v>
          </cell>
        </row>
        <row r="429">
          <cell r="F429">
            <v>1710312079</v>
          </cell>
          <cell r="M429">
            <v>24288</v>
          </cell>
          <cell r="N429">
            <v>24354.542465753428</v>
          </cell>
          <cell r="U429">
            <v>28227</v>
          </cell>
          <cell r="W429">
            <v>120</v>
          </cell>
          <cell r="Z429">
            <v>556.76666666666665</v>
          </cell>
          <cell r="AO429">
            <v>10.5</v>
          </cell>
          <cell r="BC429">
            <v>30.554407884995971</v>
          </cell>
        </row>
        <row r="430">
          <cell r="F430">
            <v>1992106348</v>
          </cell>
          <cell r="M430">
            <v>27427</v>
          </cell>
          <cell r="N430">
            <v>27502.142465753426</v>
          </cell>
          <cell r="U430">
            <v>28110</v>
          </cell>
          <cell r="W430">
            <v>90</v>
          </cell>
          <cell r="Z430">
            <v>684.44444444444446</v>
          </cell>
          <cell r="AO430">
            <v>6.2699999999999818</v>
          </cell>
          <cell r="BC430">
            <v>40.140070508041852</v>
          </cell>
        </row>
        <row r="431">
          <cell r="F431">
            <v>1376932889</v>
          </cell>
          <cell r="M431">
            <v>31721</v>
          </cell>
          <cell r="N431">
            <v>31807.90684931507</v>
          </cell>
          <cell r="U431">
            <v>28031</v>
          </cell>
          <cell r="W431">
            <v>102</v>
          </cell>
          <cell r="Z431">
            <v>700.98039215686276</v>
          </cell>
          <cell r="AO431">
            <v>7.0599999999999454</v>
          </cell>
          <cell r="BC431">
            <v>40.203034979105333</v>
          </cell>
        </row>
        <row r="432">
          <cell r="F432">
            <v>1912323635</v>
          </cell>
          <cell r="M432">
            <v>30229</v>
          </cell>
          <cell r="N432">
            <v>30311.819178082194</v>
          </cell>
          <cell r="U432">
            <v>27012</v>
          </cell>
          <cell r="W432">
            <v>100</v>
          </cell>
          <cell r="Z432">
            <v>703.74</v>
          </cell>
          <cell r="AO432">
            <v>9.6099999999999</v>
          </cell>
          <cell r="BC432">
            <v>37.939859516518936</v>
          </cell>
        </row>
        <row r="433">
          <cell r="F433">
            <v>1841697422</v>
          </cell>
          <cell r="M433">
            <v>5512</v>
          </cell>
          <cell r="N433">
            <v>5527.101369863014</v>
          </cell>
          <cell r="U433">
            <v>28405</v>
          </cell>
          <cell r="W433">
            <v>20</v>
          </cell>
          <cell r="Z433">
            <v>425</v>
          </cell>
          <cell r="AO433">
            <v>7.9900000000000091</v>
          </cell>
          <cell r="BC433">
            <v>23.210199923448826</v>
          </cell>
        </row>
        <row r="434">
          <cell r="F434">
            <v>1003205337</v>
          </cell>
          <cell r="M434">
            <v>31204</v>
          </cell>
          <cell r="N434">
            <v>31289.490410958908</v>
          </cell>
          <cell r="U434">
            <v>27520</v>
          </cell>
          <cell r="W434">
            <v>100</v>
          </cell>
          <cell r="Z434">
            <v>663.98</v>
          </cell>
          <cell r="AO434">
            <v>9</v>
          </cell>
          <cell r="BC434">
            <v>36.618744968520055</v>
          </cell>
        </row>
        <row r="435">
          <cell r="F435">
            <v>1477137628</v>
          </cell>
          <cell r="M435">
            <v>28462.811816192563</v>
          </cell>
          <cell r="N435">
            <v>22795.16219852621</v>
          </cell>
          <cell r="U435">
            <v>28078</v>
          </cell>
          <cell r="W435">
            <v>90</v>
          </cell>
          <cell r="Z435">
            <v>617.74444444444441</v>
          </cell>
          <cell r="AO435">
            <v>4.7599999999999909</v>
          </cell>
          <cell r="BC435">
            <v>37.10003972490221</v>
          </cell>
        </row>
        <row r="436">
          <cell r="F436">
            <v>1841617552</v>
          </cell>
          <cell r="M436">
            <v>0</v>
          </cell>
          <cell r="N436">
            <v>0</v>
          </cell>
          <cell r="U436">
            <v>27006</v>
          </cell>
          <cell r="W436">
            <v>15</v>
          </cell>
          <cell r="Z436">
            <v>425</v>
          </cell>
          <cell r="AO436">
            <v>7</v>
          </cell>
          <cell r="BC436">
            <v>25.224169327155519</v>
          </cell>
        </row>
        <row r="437">
          <cell r="F437">
            <v>1992998504</v>
          </cell>
          <cell r="M437">
            <v>37119</v>
          </cell>
          <cell r="N437">
            <v>37220.695890410963</v>
          </cell>
          <cell r="U437">
            <v>28215</v>
          </cell>
          <cell r="W437">
            <v>120</v>
          </cell>
          <cell r="Z437">
            <v>425</v>
          </cell>
          <cell r="AO437">
            <v>7</v>
          </cell>
          <cell r="BC437">
            <v>25.495211005237707</v>
          </cell>
        </row>
        <row r="438">
          <cell r="F438">
            <v>1093228397</v>
          </cell>
          <cell r="M438">
            <v>27249</v>
          </cell>
          <cell r="N438">
            <v>27323.654794520549</v>
          </cell>
          <cell r="U438">
            <v>27529</v>
          </cell>
          <cell r="W438">
            <v>100</v>
          </cell>
          <cell r="Z438">
            <v>425</v>
          </cell>
          <cell r="AO438">
            <v>7</v>
          </cell>
          <cell r="BC438">
            <v>25.224169327155519</v>
          </cell>
        </row>
        <row r="439">
          <cell r="F439">
            <v>1558872333</v>
          </cell>
          <cell r="M439">
            <v>26910</v>
          </cell>
          <cell r="N439">
            <v>26983.726027397264</v>
          </cell>
          <cell r="U439">
            <v>28420</v>
          </cell>
          <cell r="W439">
            <v>100</v>
          </cell>
          <cell r="Z439">
            <v>644</v>
          </cell>
          <cell r="AO439">
            <v>4.1300000000001091</v>
          </cell>
          <cell r="BC439">
            <v>37.583502461356979</v>
          </cell>
        </row>
        <row r="440">
          <cell r="F440">
            <v>1730183625</v>
          </cell>
          <cell r="M440">
            <v>11928</v>
          </cell>
          <cell r="N440">
            <v>11960.679452054796</v>
          </cell>
          <cell r="U440">
            <v>27410</v>
          </cell>
          <cell r="W440">
            <v>40</v>
          </cell>
          <cell r="Z440">
            <v>350</v>
          </cell>
          <cell r="AO440">
            <v>29</v>
          </cell>
          <cell r="BC440">
            <v>11.953132965350521</v>
          </cell>
        </row>
        <row r="441">
          <cell r="F441">
            <v>1003380890</v>
          </cell>
          <cell r="M441">
            <v>0</v>
          </cell>
          <cell r="N441">
            <v>0</v>
          </cell>
          <cell r="U441">
            <v>28712</v>
          </cell>
          <cell r="W441">
            <v>10</v>
          </cell>
          <cell r="Z441">
            <v>425</v>
          </cell>
          <cell r="AO441">
            <v>0</v>
          </cell>
          <cell r="BC441">
            <v>27.595690128928279</v>
          </cell>
        </row>
        <row r="442">
          <cell r="AO442" t="str">
            <v xml:space="preserve"> </v>
          </cell>
        </row>
      </sheetData>
      <sheetData sheetId="10">
        <row r="3">
          <cell r="NW3" t="str">
            <v>Actual Facility Age in</v>
          </cell>
        </row>
        <row r="4">
          <cell r="NW4">
            <v>2024</v>
          </cell>
        </row>
        <row r="7">
          <cell r="NW7">
            <v>23.920000000000073</v>
          </cell>
          <cell r="OA7">
            <v>1992242119</v>
          </cell>
        </row>
        <row r="8">
          <cell r="NW8">
            <v>1.8499999999999091</v>
          </cell>
          <cell r="OA8">
            <v>1245737840</v>
          </cell>
        </row>
        <row r="9">
          <cell r="NW9">
            <v>16.119999999999891</v>
          </cell>
          <cell r="OA9">
            <v>1174149934</v>
          </cell>
        </row>
        <row r="10">
          <cell r="NW10">
            <v>24.869999999999891</v>
          </cell>
          <cell r="OA10">
            <v>1285687962</v>
          </cell>
        </row>
        <row r="11">
          <cell r="NW11">
            <v>4.5299999999999727</v>
          </cell>
          <cell r="OA11">
            <v>1245227578</v>
          </cell>
        </row>
        <row r="12">
          <cell r="NW12">
            <v>17.299999999999955</v>
          </cell>
          <cell r="OA12">
            <v>1427608959</v>
          </cell>
        </row>
        <row r="13">
          <cell r="NW13">
            <v>16.220000000000027</v>
          </cell>
          <cell r="OA13">
            <v>1063919652</v>
          </cell>
        </row>
        <row r="14">
          <cell r="NW14">
            <v>6.8599999999999</v>
          </cell>
          <cell r="OA14">
            <v>1518435650</v>
          </cell>
        </row>
        <row r="15">
          <cell r="NW15">
            <v>54.049999999999955</v>
          </cell>
          <cell r="OA15">
            <v>1669991865</v>
          </cell>
        </row>
        <row r="16">
          <cell r="NW16">
            <v>39.710000000000036</v>
          </cell>
          <cell r="OA16">
            <v>1871143305</v>
          </cell>
        </row>
        <row r="17">
          <cell r="NW17">
            <v>4.3099999999999454</v>
          </cell>
          <cell r="OA17">
            <v>1043703945</v>
          </cell>
        </row>
        <row r="18">
          <cell r="NW18">
            <v>16.950000000000045</v>
          </cell>
          <cell r="OA18">
            <v>1831649268</v>
          </cell>
        </row>
        <row r="19">
          <cell r="NW19">
            <v>30.559999999999945</v>
          </cell>
          <cell r="OA19">
            <v>1689147035</v>
          </cell>
        </row>
        <row r="20">
          <cell r="NW20">
            <v>33.079999999999927</v>
          </cell>
          <cell r="OA20">
            <v>1295391795</v>
          </cell>
        </row>
        <row r="21">
          <cell r="NW21">
            <v>13.589999999999918</v>
          </cell>
          <cell r="OA21">
            <v>1598262198</v>
          </cell>
        </row>
        <row r="22">
          <cell r="NW22">
            <v>16.490000000000009</v>
          </cell>
          <cell r="OA22">
            <v>1437627593</v>
          </cell>
        </row>
        <row r="23">
          <cell r="NW23">
            <v>13.980000000000018</v>
          </cell>
          <cell r="OA23">
            <v>1598233645</v>
          </cell>
        </row>
        <row r="24">
          <cell r="NW24">
            <v>19.769999999999982</v>
          </cell>
          <cell r="OA24">
            <v>1659849701</v>
          </cell>
        </row>
        <row r="25">
          <cell r="NW25">
            <v>6.7899999999999636</v>
          </cell>
          <cell r="OA25">
            <v>1770149270</v>
          </cell>
        </row>
        <row r="26">
          <cell r="NW26">
            <v>17.6099999999999</v>
          </cell>
          <cell r="OA26">
            <v>1699310839</v>
          </cell>
        </row>
        <row r="27">
          <cell r="NW27">
            <v>32.180000000000064</v>
          </cell>
          <cell r="OA27">
            <v>1932606530</v>
          </cell>
        </row>
        <row r="28">
          <cell r="NW28">
            <v>18.529999999999973</v>
          </cell>
          <cell r="OA28">
            <v>1528505757</v>
          </cell>
        </row>
        <row r="29">
          <cell r="NW29">
            <v>26.029999999999973</v>
          </cell>
          <cell r="OA29">
            <v>1972071033</v>
          </cell>
        </row>
        <row r="30">
          <cell r="NW30">
            <v>36.519999999999982</v>
          </cell>
          <cell r="OA30">
            <v>1841840378</v>
          </cell>
        </row>
        <row r="31">
          <cell r="NW31">
            <v>47.720000000000027</v>
          </cell>
          <cell r="OA31">
            <v>1760032296</v>
          </cell>
        </row>
        <row r="32">
          <cell r="NW32">
            <v>1</v>
          </cell>
          <cell r="OA32">
            <v>1205357878</v>
          </cell>
        </row>
        <row r="33">
          <cell r="NW33">
            <v>25.920000000000073</v>
          </cell>
          <cell r="OA33">
            <v>1578059085</v>
          </cell>
        </row>
        <row r="34">
          <cell r="NW34">
            <v>21.759999999999991</v>
          </cell>
          <cell r="OA34">
            <v>1366552739</v>
          </cell>
        </row>
        <row r="35">
          <cell r="NW35">
            <v>16.509999999999991</v>
          </cell>
          <cell r="OA35">
            <v>1114501442</v>
          </cell>
        </row>
        <row r="36">
          <cell r="NW36">
            <v>25.269999999999982</v>
          </cell>
          <cell r="OA36">
            <v>1962126904</v>
          </cell>
        </row>
        <row r="37">
          <cell r="NW37">
            <v>33.569999999999936</v>
          </cell>
          <cell r="OA37">
            <v>1891470332</v>
          </cell>
        </row>
        <row r="38">
          <cell r="NW38">
            <v>44.980000000000018</v>
          </cell>
          <cell r="OA38">
            <v>1023671765</v>
          </cell>
        </row>
        <row r="39">
          <cell r="NW39">
            <v>16.930000000000064</v>
          </cell>
          <cell r="OA39">
            <v>1760106702</v>
          </cell>
        </row>
        <row r="40">
          <cell r="NW40">
            <v>19.849999999999909</v>
          </cell>
          <cell r="OA40">
            <v>1487060893</v>
          </cell>
        </row>
        <row r="41">
          <cell r="NW41">
            <v>7</v>
          </cell>
          <cell r="OA41">
            <v>1992998504</v>
          </cell>
        </row>
        <row r="42">
          <cell r="NW42">
            <v>14.720000000000027</v>
          </cell>
          <cell r="OA42">
            <v>1982130811</v>
          </cell>
        </row>
        <row r="43">
          <cell r="NW43">
            <v>5.5299999999999727</v>
          </cell>
          <cell r="OA43">
            <v>1194722629</v>
          </cell>
        </row>
        <row r="44">
          <cell r="NW44">
            <v>29.279999999999973</v>
          </cell>
          <cell r="OA44">
            <v>1255878245</v>
          </cell>
        </row>
        <row r="45">
          <cell r="NW45">
            <v>7.0599999999999454</v>
          </cell>
          <cell r="OA45">
            <v>1376932889</v>
          </cell>
        </row>
        <row r="46">
          <cell r="NW46">
            <v>31.400000000000091</v>
          </cell>
          <cell r="OA46">
            <v>1275519506</v>
          </cell>
        </row>
        <row r="47">
          <cell r="NW47">
            <v>11.220000000000027</v>
          </cell>
          <cell r="OA47">
            <v>1114463932</v>
          </cell>
        </row>
        <row r="48">
          <cell r="NW48">
            <v>33.099999999999909</v>
          </cell>
          <cell r="OA48">
            <v>1609852375</v>
          </cell>
        </row>
        <row r="49">
          <cell r="NW49">
            <v>10.190000000000055</v>
          </cell>
          <cell r="OA49">
            <v>1093791337</v>
          </cell>
        </row>
        <row r="50">
          <cell r="NW50">
            <v>13.029999999999973</v>
          </cell>
          <cell r="OA50">
            <v>1073599635</v>
          </cell>
        </row>
        <row r="51">
          <cell r="NW51">
            <v>7.25</v>
          </cell>
          <cell r="OA51">
            <v>1053396788</v>
          </cell>
        </row>
        <row r="52">
          <cell r="NW52">
            <v>21.069999999999936</v>
          </cell>
          <cell r="OA52">
            <v>1851377543</v>
          </cell>
        </row>
        <row r="53">
          <cell r="NW53">
            <v>11.240000000000009</v>
          </cell>
          <cell r="OA53">
            <v>1508842295</v>
          </cell>
        </row>
        <row r="54">
          <cell r="NW54">
            <v>34.440000000000055</v>
          </cell>
          <cell r="OA54">
            <v>1639155302</v>
          </cell>
        </row>
        <row r="55">
          <cell r="NW55">
            <v>28.769999999999982</v>
          </cell>
          <cell r="OA55">
            <v>1346226040</v>
          </cell>
        </row>
        <row r="56">
          <cell r="NW56">
            <v>7.0299999999999727</v>
          </cell>
          <cell r="OA56">
            <v>1730722240</v>
          </cell>
        </row>
        <row r="57">
          <cell r="NW57">
            <v>19.269999999999982</v>
          </cell>
          <cell r="OA57">
            <v>1528044294</v>
          </cell>
        </row>
        <row r="58">
          <cell r="NW58">
            <v>17.6400000000001</v>
          </cell>
          <cell r="OA58">
            <v>1356372650</v>
          </cell>
        </row>
        <row r="59">
          <cell r="NW59">
            <v>4.4500000000000455</v>
          </cell>
          <cell r="OA59">
            <v>1255682522</v>
          </cell>
        </row>
        <row r="60">
          <cell r="NW60">
            <v>35.230000000000018</v>
          </cell>
          <cell r="OA60">
            <v>1225064777</v>
          </cell>
        </row>
        <row r="61">
          <cell r="NW61">
            <v>7.1099999999999</v>
          </cell>
          <cell r="OA61">
            <v>1649254582</v>
          </cell>
        </row>
        <row r="62">
          <cell r="NW62">
            <v>10.809999999999945</v>
          </cell>
          <cell r="OA62">
            <v>1316512346</v>
          </cell>
        </row>
        <row r="63">
          <cell r="NW63">
            <v>7</v>
          </cell>
          <cell r="OA63">
            <v>1093228397</v>
          </cell>
        </row>
        <row r="64">
          <cell r="NW64">
            <v>21.569999999999936</v>
          </cell>
          <cell r="OA64">
            <v>1891908687</v>
          </cell>
        </row>
        <row r="65">
          <cell r="NW65">
            <v>7</v>
          </cell>
          <cell r="OA65">
            <v>1841617552</v>
          </cell>
        </row>
        <row r="66">
          <cell r="NW66">
            <v>36.8599999999999</v>
          </cell>
          <cell r="OA66">
            <v>1235175175</v>
          </cell>
        </row>
        <row r="67">
          <cell r="NW67">
            <v>27.650000000000091</v>
          </cell>
          <cell r="OA67">
            <v>1992724157</v>
          </cell>
        </row>
        <row r="68">
          <cell r="NW68">
            <v>26.130000000000109</v>
          </cell>
          <cell r="OA68">
            <v>1174608350</v>
          </cell>
        </row>
        <row r="69">
          <cell r="NW69">
            <v>31.630000000000109</v>
          </cell>
          <cell r="OA69">
            <v>1497283899</v>
          </cell>
        </row>
        <row r="70">
          <cell r="NW70">
            <v>35.960000000000036</v>
          </cell>
          <cell r="OA70">
            <v>1407574981</v>
          </cell>
        </row>
        <row r="71">
          <cell r="NW71">
            <v>24.369999999999891</v>
          </cell>
          <cell r="OA71">
            <v>1265441208</v>
          </cell>
        </row>
        <row r="72">
          <cell r="NW72">
            <v>23.630000000000109</v>
          </cell>
          <cell r="OA72">
            <v>1609515378</v>
          </cell>
        </row>
        <row r="73">
          <cell r="NW73">
            <v>21.8900000000001</v>
          </cell>
          <cell r="OA73">
            <v>1225777998</v>
          </cell>
        </row>
        <row r="74">
          <cell r="NW74">
            <v>8.8399999999999181</v>
          </cell>
          <cell r="OA74">
            <v>1700525300</v>
          </cell>
        </row>
        <row r="75">
          <cell r="NW75">
            <v>58.299999999999955</v>
          </cell>
          <cell r="OA75">
            <v>1710601653</v>
          </cell>
        </row>
        <row r="76">
          <cell r="NW76">
            <v>10</v>
          </cell>
          <cell r="OA76">
            <v>1295723377</v>
          </cell>
        </row>
        <row r="77">
          <cell r="NW77">
            <v>25</v>
          </cell>
          <cell r="OA77">
            <v>1952446510</v>
          </cell>
        </row>
        <row r="78">
          <cell r="NW78">
            <v>4.1300000000001091</v>
          </cell>
          <cell r="OA78">
            <v>1558872333</v>
          </cell>
        </row>
        <row r="79">
          <cell r="NW79">
            <v>14.549999999999955</v>
          </cell>
          <cell r="OA79">
            <v>1306372230</v>
          </cell>
        </row>
        <row r="80">
          <cell r="NW80">
            <v>24.839999999999918</v>
          </cell>
          <cell r="OA80">
            <v>1336196526</v>
          </cell>
        </row>
        <row r="81">
          <cell r="NW81">
            <v>1.8399999999999181</v>
          </cell>
          <cell r="OA81">
            <v>1295279594</v>
          </cell>
        </row>
        <row r="82">
          <cell r="NW82">
            <v>8</v>
          </cell>
          <cell r="OA82">
            <v>1225524747</v>
          </cell>
        </row>
        <row r="83">
          <cell r="NW83">
            <v>21.119999999999891</v>
          </cell>
          <cell r="OA83">
            <v>1215400668</v>
          </cell>
        </row>
        <row r="84">
          <cell r="NW84">
            <v>3.3599999999999</v>
          </cell>
          <cell r="OA84">
            <v>1144804485</v>
          </cell>
        </row>
        <row r="85">
          <cell r="NW85">
            <v>4.4800000000000182</v>
          </cell>
          <cell r="OA85">
            <v>1114501459</v>
          </cell>
        </row>
        <row r="86">
          <cell r="NW86">
            <v>24.930000000000064</v>
          </cell>
          <cell r="OA86">
            <v>1558393835</v>
          </cell>
        </row>
        <row r="87">
          <cell r="NW87">
            <v>23.8599999999999</v>
          </cell>
          <cell r="OA87">
            <v>1336863273</v>
          </cell>
        </row>
        <row r="88">
          <cell r="NW88">
            <v>21.039999999999964</v>
          </cell>
          <cell r="OA88">
            <v>1669821336</v>
          </cell>
        </row>
        <row r="89">
          <cell r="NW89">
            <v>18.5</v>
          </cell>
          <cell r="OA89">
            <v>1083661193</v>
          </cell>
        </row>
        <row r="90">
          <cell r="NW90">
            <v>27.400000000000091</v>
          </cell>
          <cell r="OA90">
            <v>1336118298</v>
          </cell>
        </row>
        <row r="91">
          <cell r="NW91">
            <v>3.9200000000000728</v>
          </cell>
          <cell r="OA91">
            <v>1194309336</v>
          </cell>
        </row>
        <row r="92">
          <cell r="NW92">
            <v>14.450000000000045</v>
          </cell>
          <cell r="OA92">
            <v>1699710293</v>
          </cell>
        </row>
        <row r="93">
          <cell r="NW93">
            <v>37.809999999999945</v>
          </cell>
          <cell r="OA93">
            <v>1083659692</v>
          </cell>
        </row>
        <row r="94">
          <cell r="NW94">
            <v>5.5599999999999454</v>
          </cell>
          <cell r="OA94">
            <v>1740249382</v>
          </cell>
        </row>
        <row r="95">
          <cell r="NW95">
            <v>11.019999999999982</v>
          </cell>
          <cell r="OA95">
            <v>1225000888</v>
          </cell>
        </row>
        <row r="96">
          <cell r="NW96">
            <v>21.869999999999891</v>
          </cell>
          <cell r="OA96">
            <v>1407803679</v>
          </cell>
        </row>
        <row r="97">
          <cell r="NW97">
            <v>18.75</v>
          </cell>
          <cell r="OA97">
            <v>1114666427</v>
          </cell>
        </row>
        <row r="98">
          <cell r="NW98">
            <v>10.5</v>
          </cell>
          <cell r="OA98">
            <v>1710312079</v>
          </cell>
        </row>
        <row r="99">
          <cell r="NW99">
            <v>3.3399999999999181</v>
          </cell>
          <cell r="OA99">
            <v>1710537998</v>
          </cell>
        </row>
        <row r="100">
          <cell r="NW100">
            <v>23.769999999999982</v>
          </cell>
          <cell r="OA100">
            <v>1841854361</v>
          </cell>
        </row>
        <row r="101">
          <cell r="NW101">
            <v>12.279999999999973</v>
          </cell>
          <cell r="OA101">
            <v>1346806015</v>
          </cell>
        </row>
        <row r="102">
          <cell r="NW102">
            <v>23.119999999999891</v>
          </cell>
          <cell r="OA102">
            <v>1801428768</v>
          </cell>
        </row>
        <row r="103">
          <cell r="NW103">
            <v>34.75</v>
          </cell>
          <cell r="OA103">
            <v>1407325103</v>
          </cell>
        </row>
        <row r="104">
          <cell r="NW104">
            <v>9.1300000000001091</v>
          </cell>
          <cell r="OA104">
            <v>1891722187</v>
          </cell>
        </row>
        <row r="105">
          <cell r="NW105">
            <v>26</v>
          </cell>
          <cell r="OA105">
            <v>1346851052</v>
          </cell>
        </row>
        <row r="106">
          <cell r="NW106">
            <v>20.259999999999991</v>
          </cell>
          <cell r="OA106">
            <v>1073599510</v>
          </cell>
        </row>
        <row r="107">
          <cell r="NW107">
            <v>1</v>
          </cell>
          <cell r="OA107">
            <v>1972587376</v>
          </cell>
        </row>
        <row r="108">
          <cell r="NW108">
            <v>11.400000000000091</v>
          </cell>
          <cell r="OA108">
            <v>1942236161</v>
          </cell>
        </row>
        <row r="109">
          <cell r="NW109">
            <v>30.5</v>
          </cell>
          <cell r="OA109">
            <v>1437103850</v>
          </cell>
        </row>
        <row r="110">
          <cell r="NW110">
            <v>14.1099999999999</v>
          </cell>
          <cell r="OA110">
            <v>1851375703</v>
          </cell>
        </row>
        <row r="111">
          <cell r="NW111">
            <v>12.789999999999964</v>
          </cell>
          <cell r="OA111">
            <v>1225654098</v>
          </cell>
        </row>
        <row r="112">
          <cell r="NW112">
            <v>3</v>
          </cell>
          <cell r="OA112">
            <v>1639630452</v>
          </cell>
        </row>
        <row r="113">
          <cell r="NW113">
            <v>9.5699999999999363</v>
          </cell>
          <cell r="OA113">
            <v>1093131310</v>
          </cell>
        </row>
        <row r="114">
          <cell r="NW114">
            <v>5</v>
          </cell>
          <cell r="OA114">
            <v>1912485517</v>
          </cell>
        </row>
        <row r="115">
          <cell r="NW115">
            <v>7.9900000000000091</v>
          </cell>
          <cell r="OA115">
            <v>1841697422</v>
          </cell>
        </row>
        <row r="116">
          <cell r="NW116">
            <v>1</v>
          </cell>
          <cell r="OA116">
            <v>1356346191</v>
          </cell>
        </row>
        <row r="117">
          <cell r="NW117">
            <v>38.210000000000036</v>
          </cell>
          <cell r="OA117">
            <v>1972261808</v>
          </cell>
        </row>
        <row r="118">
          <cell r="NW118">
            <v>21.8900000000001</v>
          </cell>
          <cell r="OA118">
            <v>1831551514</v>
          </cell>
        </row>
        <row r="119">
          <cell r="NW119">
            <v>33.039999999999964</v>
          </cell>
          <cell r="OA119">
            <v>1154792000</v>
          </cell>
        </row>
        <row r="120">
          <cell r="NW120">
            <v>20.599999999999909</v>
          </cell>
          <cell r="OA120">
            <v>1184196206</v>
          </cell>
        </row>
        <row r="121">
          <cell r="NW121">
            <v>18.910000000000082</v>
          </cell>
          <cell r="OA121">
            <v>1134868730</v>
          </cell>
        </row>
        <row r="122">
          <cell r="NW122">
            <v>18.839999999999918</v>
          </cell>
          <cell r="OA122" t="str">
            <v>1831849025</v>
          </cell>
        </row>
        <row r="123">
          <cell r="NW123">
            <v>23</v>
          </cell>
          <cell r="OA123">
            <v>1750418802</v>
          </cell>
        </row>
        <row r="124">
          <cell r="NW124">
            <v>27.509999999999991</v>
          </cell>
          <cell r="OA124">
            <v>1659365666</v>
          </cell>
        </row>
        <row r="125">
          <cell r="NW125">
            <v>13.8599999999999</v>
          </cell>
          <cell r="OA125">
            <v>1265556294</v>
          </cell>
        </row>
        <row r="126">
          <cell r="NW126">
            <v>10.660000000000082</v>
          </cell>
          <cell r="OA126">
            <v>1952766271</v>
          </cell>
        </row>
        <row r="127">
          <cell r="NW127">
            <v>4.7799999999999727</v>
          </cell>
          <cell r="OA127">
            <v>1609124155</v>
          </cell>
        </row>
        <row r="128">
          <cell r="NW128">
            <v>24.869999999999891</v>
          </cell>
          <cell r="OA128">
            <v>1407803828</v>
          </cell>
        </row>
        <row r="129">
          <cell r="NW129">
            <v>56.730000000000018</v>
          </cell>
          <cell r="OA129">
            <v>1821024274</v>
          </cell>
        </row>
        <row r="130">
          <cell r="NW130">
            <v>26.8900000000001</v>
          </cell>
          <cell r="OA130">
            <v>1770995094</v>
          </cell>
        </row>
        <row r="131">
          <cell r="NW131">
            <v>20.8900000000001</v>
          </cell>
          <cell r="OA131">
            <v>1275508970</v>
          </cell>
        </row>
        <row r="132">
          <cell r="NW132">
            <v>35.740000000000009</v>
          </cell>
          <cell r="OA132">
            <v>1568127488</v>
          </cell>
        </row>
        <row r="133">
          <cell r="NW133">
            <v>24.740000000000009</v>
          </cell>
          <cell r="OA133">
            <v>1396747689</v>
          </cell>
        </row>
        <row r="134">
          <cell r="NW134">
            <v>21.880000000000109</v>
          </cell>
          <cell r="OA134">
            <v>1932135381</v>
          </cell>
        </row>
        <row r="135">
          <cell r="NW135">
            <v>4</v>
          </cell>
          <cell r="OA135">
            <v>1710932355</v>
          </cell>
        </row>
        <row r="136">
          <cell r="NW136">
            <v>25.75</v>
          </cell>
          <cell r="OA136">
            <v>1376570275</v>
          </cell>
        </row>
        <row r="137">
          <cell r="NW137">
            <v>18</v>
          </cell>
          <cell r="OA137">
            <v>1417951492</v>
          </cell>
        </row>
        <row r="138">
          <cell r="NW138">
            <v>29</v>
          </cell>
          <cell r="OA138">
            <v>1730183625</v>
          </cell>
        </row>
        <row r="139">
          <cell r="NW139">
            <v>27.819999999999936</v>
          </cell>
          <cell r="OA139">
            <v>1730136128</v>
          </cell>
        </row>
        <row r="140">
          <cell r="NW140">
            <v>1.3599999999999</v>
          </cell>
          <cell r="OA140">
            <v>1679555403</v>
          </cell>
        </row>
        <row r="141">
          <cell r="NW141">
            <v>38.680000000000064</v>
          </cell>
          <cell r="OA141">
            <v>1982948550</v>
          </cell>
        </row>
        <row r="142">
          <cell r="NW142">
            <v>7</v>
          </cell>
          <cell r="OA142">
            <v>1174524458</v>
          </cell>
        </row>
        <row r="143">
          <cell r="NW143">
            <v>20.230000000000018</v>
          </cell>
          <cell r="OA143">
            <v>1316662711</v>
          </cell>
        </row>
        <row r="144">
          <cell r="NW144">
            <v>6.4700000000000273</v>
          </cell>
          <cell r="OA144">
            <v>1396802260</v>
          </cell>
        </row>
        <row r="145">
          <cell r="NW145">
            <v>47.079999999999927</v>
          </cell>
          <cell r="OA145">
            <v>1588618045</v>
          </cell>
        </row>
        <row r="146">
          <cell r="NW146">
            <v>7</v>
          </cell>
          <cell r="OA146">
            <v>1487393088</v>
          </cell>
        </row>
        <row r="147">
          <cell r="NW147">
            <v>38.380000000000109</v>
          </cell>
          <cell r="OA147">
            <v>1962066480</v>
          </cell>
        </row>
        <row r="148">
          <cell r="NW148">
            <v>27.599999999999909</v>
          </cell>
          <cell r="OA148">
            <v>1366487464</v>
          </cell>
        </row>
        <row r="149">
          <cell r="NW149">
            <v>29.1400000000001</v>
          </cell>
          <cell r="OA149">
            <v>1407882830</v>
          </cell>
        </row>
        <row r="150">
          <cell r="NW150">
            <v>12.420000000000073</v>
          </cell>
          <cell r="OA150">
            <v>1588642102</v>
          </cell>
        </row>
        <row r="151">
          <cell r="NW151">
            <v>25.869999999999891</v>
          </cell>
          <cell r="OA151">
            <v>1063458958</v>
          </cell>
        </row>
        <row r="152">
          <cell r="NW152">
            <v>33.230000000000018</v>
          </cell>
          <cell r="OA152">
            <v>1619908977</v>
          </cell>
        </row>
        <row r="153">
          <cell r="NW153">
            <v>21.920000000000073</v>
          </cell>
          <cell r="OA153">
            <v>1538808340</v>
          </cell>
        </row>
        <row r="154">
          <cell r="NW154">
            <v>9.9600000000000364</v>
          </cell>
          <cell r="OA154">
            <v>1033784970</v>
          </cell>
        </row>
        <row r="155">
          <cell r="NW155">
            <v>21.599999999999909</v>
          </cell>
          <cell r="OA155" t="str">
            <v>1730839929</v>
          </cell>
        </row>
        <row r="156">
          <cell r="NW156">
            <v>32.970000000000027</v>
          </cell>
          <cell r="OA156">
            <v>1649590498</v>
          </cell>
        </row>
        <row r="157">
          <cell r="NW157">
            <v>11.829999999999927</v>
          </cell>
          <cell r="OA157">
            <v>1932145836</v>
          </cell>
        </row>
        <row r="158">
          <cell r="NW158">
            <v>20.75</v>
          </cell>
          <cell r="OA158">
            <v>1285665539</v>
          </cell>
        </row>
        <row r="159">
          <cell r="NW159">
            <v>11.009999999999991</v>
          </cell>
          <cell r="OA159">
            <v>1104800069</v>
          </cell>
        </row>
        <row r="160">
          <cell r="NW160">
            <v>14.329999999999927</v>
          </cell>
          <cell r="OA160">
            <v>1215653324</v>
          </cell>
        </row>
        <row r="161">
          <cell r="NW161">
            <v>30.069999999999936</v>
          </cell>
          <cell r="OA161">
            <v>1326143504</v>
          </cell>
        </row>
        <row r="162">
          <cell r="NW162">
            <v>13.660000000000082</v>
          </cell>
          <cell r="OA162">
            <v>1578715504</v>
          </cell>
        </row>
        <row r="163">
          <cell r="NW163">
            <v>14.680000000000064</v>
          </cell>
          <cell r="OA163">
            <v>1639818230</v>
          </cell>
        </row>
        <row r="164">
          <cell r="NW164">
            <v>12.119999999999891</v>
          </cell>
          <cell r="OA164">
            <v>1376926519</v>
          </cell>
        </row>
        <row r="165">
          <cell r="NW165">
            <v>15.25</v>
          </cell>
          <cell r="OA165">
            <v>1811611577</v>
          </cell>
        </row>
        <row r="166">
          <cell r="NW166">
            <v>23.960000000000036</v>
          </cell>
          <cell r="OA166">
            <v>1336142470</v>
          </cell>
        </row>
        <row r="167">
          <cell r="NW167">
            <v>12.970000000000027</v>
          </cell>
          <cell r="OA167">
            <v>1639556806</v>
          </cell>
        </row>
        <row r="168">
          <cell r="NW168">
            <v>21.6400000000001</v>
          </cell>
          <cell r="OA168">
            <v>1811984925</v>
          </cell>
        </row>
        <row r="169">
          <cell r="NW169">
            <v>16.339999999999918</v>
          </cell>
          <cell r="OA169">
            <v>1104950765</v>
          </cell>
        </row>
        <row r="170">
          <cell r="NW170">
            <v>32.6400000000001</v>
          </cell>
          <cell r="OA170">
            <v>1922611102</v>
          </cell>
        </row>
        <row r="171">
          <cell r="NW171">
            <v>25.579999999999927</v>
          </cell>
          <cell r="OA171">
            <v>1689621880</v>
          </cell>
        </row>
        <row r="172">
          <cell r="NW172">
            <v>4.7599999999999909</v>
          </cell>
          <cell r="OA172">
            <v>1477137628</v>
          </cell>
        </row>
        <row r="173">
          <cell r="NW173">
            <v>3.4300000000000637</v>
          </cell>
          <cell r="OA173">
            <v>1932750841</v>
          </cell>
        </row>
        <row r="174">
          <cell r="NW174">
            <v>41.190000000000055</v>
          </cell>
          <cell r="OA174">
            <v>1760462196</v>
          </cell>
        </row>
        <row r="175">
          <cell r="NW175">
            <v>27.430000000000064</v>
          </cell>
          <cell r="OA175">
            <v>1255367447</v>
          </cell>
        </row>
        <row r="176">
          <cell r="NW176">
            <v>16.299999999999955</v>
          </cell>
          <cell r="OA176">
            <v>1053953844</v>
          </cell>
        </row>
        <row r="177">
          <cell r="NW177">
            <v>33.910000000000082</v>
          </cell>
          <cell r="OA177">
            <v>1750004800</v>
          </cell>
        </row>
        <row r="178">
          <cell r="NW178">
            <v>18.150000000000091</v>
          </cell>
          <cell r="OA178">
            <v>1972547321</v>
          </cell>
        </row>
        <row r="179">
          <cell r="NW179">
            <v>13</v>
          </cell>
          <cell r="OA179">
            <v>1134298615</v>
          </cell>
        </row>
        <row r="180">
          <cell r="NW180">
            <v>2.8099999999999454</v>
          </cell>
          <cell r="OA180">
            <v>1548206907</v>
          </cell>
        </row>
        <row r="181">
          <cell r="NW181">
            <v>36.220000000000027</v>
          </cell>
          <cell r="OA181">
            <v>1295704849</v>
          </cell>
        </row>
        <row r="182">
          <cell r="NW182">
            <v>48.339999999999918</v>
          </cell>
          <cell r="OA182">
            <v>1386688703</v>
          </cell>
        </row>
        <row r="183">
          <cell r="NW183">
            <v>6.7000000000000455</v>
          </cell>
          <cell r="OA183">
            <v>1083298236</v>
          </cell>
        </row>
        <row r="184">
          <cell r="NW184">
            <v>16.289999999999964</v>
          </cell>
          <cell r="OA184">
            <v>1538113014</v>
          </cell>
        </row>
        <row r="185">
          <cell r="NW185">
            <v>25.559999999999945</v>
          </cell>
          <cell r="OA185">
            <v>1164476636</v>
          </cell>
        </row>
        <row r="186">
          <cell r="NW186">
            <v>18.940000000000055</v>
          </cell>
          <cell r="OA186">
            <v>1669425401</v>
          </cell>
        </row>
        <row r="187">
          <cell r="NW187">
            <v>18.079999999999927</v>
          </cell>
          <cell r="OA187">
            <v>1861446338</v>
          </cell>
        </row>
        <row r="188">
          <cell r="NW188">
            <v>20.200000000000045</v>
          </cell>
          <cell r="OA188">
            <v>1407800972</v>
          </cell>
        </row>
        <row r="189">
          <cell r="NW189">
            <v>11.660000000000082</v>
          </cell>
          <cell r="OA189">
            <v>1326089616</v>
          </cell>
        </row>
        <row r="190">
          <cell r="NW190">
            <v>24.079999999999927</v>
          </cell>
          <cell r="OA190">
            <v>1548770423</v>
          </cell>
        </row>
        <row r="191">
          <cell r="NW191">
            <v>5.5499999999999545</v>
          </cell>
          <cell r="OA191">
            <v>1629535455</v>
          </cell>
        </row>
        <row r="192">
          <cell r="NW192">
            <v>38.210000000000036</v>
          </cell>
          <cell r="OA192">
            <v>1104471531</v>
          </cell>
        </row>
        <row r="193">
          <cell r="NW193">
            <v>39.5</v>
          </cell>
          <cell r="OA193">
            <v>1588219828</v>
          </cell>
        </row>
        <row r="194">
          <cell r="NW194">
            <v>29.220000000000027</v>
          </cell>
          <cell r="OA194">
            <v>1043865538</v>
          </cell>
        </row>
        <row r="195">
          <cell r="NW195">
            <v>29.730000000000018</v>
          </cell>
          <cell r="OA195">
            <v>1467007856</v>
          </cell>
        </row>
        <row r="196">
          <cell r="NW196">
            <v>19.839999999999918</v>
          </cell>
          <cell r="OA196">
            <v>1881993079</v>
          </cell>
        </row>
        <row r="197">
          <cell r="NW197">
            <v>7.9400000000000546</v>
          </cell>
          <cell r="OA197">
            <v>1861446270</v>
          </cell>
        </row>
        <row r="198">
          <cell r="NW198">
            <v>18.599999999999909</v>
          </cell>
          <cell r="OA198">
            <v>1255385720</v>
          </cell>
        </row>
        <row r="199">
          <cell r="NW199">
            <v>53</v>
          </cell>
          <cell r="OA199">
            <v>1295101673</v>
          </cell>
        </row>
        <row r="200">
          <cell r="NW200">
            <v>30</v>
          </cell>
          <cell r="OA200">
            <v>1760415434</v>
          </cell>
        </row>
        <row r="201">
          <cell r="NW201">
            <v>27.289999999999964</v>
          </cell>
          <cell r="OA201">
            <v>1629494059</v>
          </cell>
        </row>
        <row r="202">
          <cell r="NW202">
            <v>17.8900000000001</v>
          </cell>
          <cell r="OA202">
            <v>1467421024</v>
          </cell>
        </row>
        <row r="203">
          <cell r="NW203">
            <v>1</v>
          </cell>
          <cell r="OA203">
            <v>1447254149</v>
          </cell>
        </row>
        <row r="204">
          <cell r="NW204">
            <v>12.180000000000064</v>
          </cell>
          <cell r="OA204" t="str">
            <v>1124778311</v>
          </cell>
        </row>
        <row r="205">
          <cell r="NW205">
            <v>27.619999999999891</v>
          </cell>
          <cell r="OA205">
            <v>1457397952</v>
          </cell>
        </row>
        <row r="206">
          <cell r="NW206">
            <v>20.269999999999982</v>
          </cell>
          <cell r="OA206">
            <v>1497058416</v>
          </cell>
        </row>
        <row r="207">
          <cell r="NW207">
            <v>12.190000000000055</v>
          </cell>
          <cell r="OA207">
            <v>1235591918</v>
          </cell>
        </row>
        <row r="208">
          <cell r="NW208">
            <v>30.460000000000036</v>
          </cell>
          <cell r="OA208">
            <v>1952337073</v>
          </cell>
        </row>
        <row r="209">
          <cell r="NW209">
            <v>18.369999999999891</v>
          </cell>
          <cell r="OA209">
            <v>1326074048</v>
          </cell>
        </row>
        <row r="210">
          <cell r="NW210">
            <v>22.650000000000091</v>
          </cell>
          <cell r="OA210">
            <v>1962505313</v>
          </cell>
        </row>
        <row r="211">
          <cell r="NW211">
            <v>35.269999999999982</v>
          </cell>
          <cell r="OA211">
            <v>1720033475</v>
          </cell>
        </row>
        <row r="212">
          <cell r="NW212">
            <v>12.420000000000073</v>
          </cell>
          <cell r="OA212">
            <v>1477641694</v>
          </cell>
        </row>
        <row r="213">
          <cell r="NW213">
            <v>6</v>
          </cell>
          <cell r="OA213">
            <v>1790317840</v>
          </cell>
        </row>
        <row r="214">
          <cell r="NW214">
            <v>22.25</v>
          </cell>
          <cell r="OA214">
            <v>1336565779</v>
          </cell>
        </row>
        <row r="215">
          <cell r="NW215">
            <v>39.720000000000027</v>
          </cell>
          <cell r="OA215">
            <v>1649224056</v>
          </cell>
        </row>
        <row r="216">
          <cell r="NW216">
            <v>18.259999999999991</v>
          </cell>
          <cell r="OA216">
            <v>1831197714</v>
          </cell>
        </row>
        <row r="217">
          <cell r="NW217">
            <v>44.619999999999891</v>
          </cell>
          <cell r="OA217">
            <v>1952396509</v>
          </cell>
        </row>
        <row r="218">
          <cell r="NW218">
            <v>1</v>
          </cell>
          <cell r="OA218">
            <v>1396754875</v>
          </cell>
        </row>
        <row r="219">
          <cell r="NW219">
            <v>4</v>
          </cell>
          <cell r="OA219">
            <v>1952486771</v>
          </cell>
        </row>
        <row r="220">
          <cell r="NW220">
            <v>7.9100000000000819</v>
          </cell>
          <cell r="OA220">
            <v>1396771515</v>
          </cell>
        </row>
        <row r="221">
          <cell r="NW221">
            <v>18.660000000000082</v>
          </cell>
          <cell r="OA221">
            <v>1932107547</v>
          </cell>
        </row>
        <row r="222">
          <cell r="NW222">
            <v>28.680000000000064</v>
          </cell>
          <cell r="OA222">
            <v>1013951896</v>
          </cell>
        </row>
        <row r="223">
          <cell r="NW223">
            <v>19.579999999999927</v>
          </cell>
          <cell r="OA223">
            <v>1477146959</v>
          </cell>
        </row>
        <row r="224">
          <cell r="NW224">
            <v>21.480000000000018</v>
          </cell>
          <cell r="OA224">
            <v>1093754459</v>
          </cell>
        </row>
        <row r="225">
          <cell r="NW225">
            <v>13.8900000000001</v>
          </cell>
          <cell r="OA225">
            <v>1982328829</v>
          </cell>
        </row>
        <row r="226">
          <cell r="NW226">
            <v>29.029999999999973</v>
          </cell>
          <cell r="OA226">
            <v>1558391250</v>
          </cell>
        </row>
        <row r="227">
          <cell r="NW227">
            <v>5.6700000000000728</v>
          </cell>
          <cell r="OA227">
            <v>1033611959</v>
          </cell>
        </row>
        <row r="228">
          <cell r="NW228">
            <v>10.700000000000045</v>
          </cell>
          <cell r="OA228">
            <v>1962832899</v>
          </cell>
        </row>
        <row r="229">
          <cell r="NW229">
            <v>9.9800000000000182</v>
          </cell>
          <cell r="OA229">
            <v>1336612530</v>
          </cell>
        </row>
        <row r="230">
          <cell r="NW230">
            <v>13</v>
          </cell>
          <cell r="OA230">
            <v>1427248905</v>
          </cell>
        </row>
        <row r="231">
          <cell r="NW231">
            <v>8.4000000000000909</v>
          </cell>
          <cell r="OA231">
            <v>1609976901</v>
          </cell>
        </row>
        <row r="232">
          <cell r="NW232">
            <v>42.519999999999982</v>
          </cell>
          <cell r="OA232">
            <v>1235239567</v>
          </cell>
        </row>
        <row r="233">
          <cell r="NW233">
            <v>25.039999999999964</v>
          </cell>
          <cell r="OA233">
            <v>1841390002</v>
          </cell>
        </row>
        <row r="234">
          <cell r="NW234">
            <v>39.079999999999927</v>
          </cell>
          <cell r="OA234">
            <v>1194825448</v>
          </cell>
        </row>
        <row r="235">
          <cell r="NW235">
            <v>8</v>
          </cell>
          <cell r="OA235">
            <v>1275823155</v>
          </cell>
        </row>
        <row r="236">
          <cell r="NW236">
            <v>24.680000000000064</v>
          </cell>
          <cell r="OA236">
            <v>1265816185</v>
          </cell>
        </row>
        <row r="237">
          <cell r="NW237">
            <v>15.069999999999936</v>
          </cell>
          <cell r="OA237">
            <v>1326519844</v>
          </cell>
        </row>
        <row r="238">
          <cell r="NW238">
            <v>14.440000000000055</v>
          </cell>
          <cell r="OA238">
            <v>1396202024</v>
          </cell>
        </row>
        <row r="239">
          <cell r="NW239">
            <v>19.460000000000036</v>
          </cell>
          <cell r="OA239">
            <v>1114480233</v>
          </cell>
        </row>
        <row r="240">
          <cell r="NW240">
            <v>15.079999999999927</v>
          </cell>
          <cell r="OA240">
            <v>1902462401</v>
          </cell>
        </row>
        <row r="241">
          <cell r="NW241">
            <v>39.700000000000045</v>
          </cell>
          <cell r="OA241">
            <v>1962052498</v>
          </cell>
        </row>
        <row r="242">
          <cell r="NW242">
            <v>44.799999999999955</v>
          </cell>
          <cell r="OA242">
            <v>1225688757</v>
          </cell>
        </row>
        <row r="243">
          <cell r="NW243">
            <v>53.430000000000064</v>
          </cell>
          <cell r="OA243">
            <v>1851941389</v>
          </cell>
        </row>
        <row r="244">
          <cell r="NW244">
            <v>28.819999999999936</v>
          </cell>
          <cell r="OA244">
            <v>1194779504</v>
          </cell>
        </row>
        <row r="245">
          <cell r="NW245">
            <v>27.480000000000018</v>
          </cell>
          <cell r="OA245">
            <v>1538137468</v>
          </cell>
        </row>
        <row r="246">
          <cell r="NW246">
            <v>34.920000000000073</v>
          </cell>
          <cell r="OA246">
            <v>1780693663</v>
          </cell>
        </row>
        <row r="247">
          <cell r="NW247">
            <v>17.809999999999945</v>
          </cell>
          <cell r="OA247">
            <v>1407966864</v>
          </cell>
        </row>
        <row r="248">
          <cell r="NW248">
            <v>7</v>
          </cell>
          <cell r="OA248">
            <v>1942583752</v>
          </cell>
        </row>
        <row r="249">
          <cell r="NW249">
            <v>16.650000000000091</v>
          </cell>
          <cell r="OA249">
            <v>1144646274</v>
          </cell>
        </row>
        <row r="250">
          <cell r="NW250">
            <v>12.549999999999955</v>
          </cell>
          <cell r="OA250">
            <v>1124015458</v>
          </cell>
        </row>
        <row r="251">
          <cell r="NW251">
            <v>31.940000000000055</v>
          </cell>
          <cell r="OA251">
            <v>1982640785</v>
          </cell>
        </row>
        <row r="252">
          <cell r="NW252">
            <v>21.6400000000001</v>
          </cell>
          <cell r="OA252">
            <v>1922456664</v>
          </cell>
        </row>
        <row r="253">
          <cell r="NW253">
            <v>13.329999999999927</v>
          </cell>
          <cell r="OA253">
            <v>1811923931</v>
          </cell>
        </row>
        <row r="254">
          <cell r="NW254">
            <v>2.0399999999999636</v>
          </cell>
          <cell r="OA254">
            <v>1073034138</v>
          </cell>
        </row>
        <row r="255">
          <cell r="NW255">
            <v>34.079999999999927</v>
          </cell>
          <cell r="OA255">
            <v>1720085293</v>
          </cell>
        </row>
        <row r="256">
          <cell r="NW256">
            <v>29.3900000000001</v>
          </cell>
          <cell r="OA256">
            <v>1962447565</v>
          </cell>
        </row>
        <row r="257">
          <cell r="NW257">
            <v>26</v>
          </cell>
          <cell r="OA257">
            <v>1891871901</v>
          </cell>
        </row>
        <row r="258">
          <cell r="NW258">
            <v>26.970000000000027</v>
          </cell>
          <cell r="OA258">
            <v>1720166838</v>
          </cell>
        </row>
        <row r="259">
          <cell r="NW259">
            <v>7.0099999999999909</v>
          </cell>
          <cell r="OA259">
            <v>1518112036</v>
          </cell>
        </row>
        <row r="260">
          <cell r="NW260">
            <v>4.3800000000001091</v>
          </cell>
          <cell r="OA260">
            <v>1447435722</v>
          </cell>
        </row>
        <row r="261">
          <cell r="NW261">
            <v>4.75</v>
          </cell>
          <cell r="OA261">
            <v>1245287762</v>
          </cell>
        </row>
        <row r="262">
          <cell r="NW262">
            <v>31.819999999999936</v>
          </cell>
          <cell r="OA262">
            <v>1134175524</v>
          </cell>
        </row>
        <row r="263">
          <cell r="NW263">
            <v>24.430000000000064</v>
          </cell>
          <cell r="OA263">
            <v>1144277666</v>
          </cell>
        </row>
        <row r="264">
          <cell r="NW264">
            <v>4.6900000000000546</v>
          </cell>
          <cell r="OA264">
            <v>1245285253</v>
          </cell>
        </row>
        <row r="265">
          <cell r="NW265">
            <v>4.1500000000000909</v>
          </cell>
          <cell r="OA265">
            <v>1730136250</v>
          </cell>
        </row>
        <row r="266">
          <cell r="NW266">
            <v>25.720000000000027</v>
          </cell>
          <cell r="OA266">
            <v>1033513320</v>
          </cell>
        </row>
        <row r="267">
          <cell r="NW267">
            <v>31.849999999999909</v>
          </cell>
          <cell r="OA267">
            <v>1023358991</v>
          </cell>
        </row>
        <row r="268">
          <cell r="NW268">
            <v>5.8499999999999091</v>
          </cell>
          <cell r="OA268">
            <v>1700833233</v>
          </cell>
        </row>
        <row r="269">
          <cell r="NW269">
            <v>7.4000000000000909</v>
          </cell>
          <cell r="OA269">
            <v>1851348379</v>
          </cell>
        </row>
        <row r="270">
          <cell r="NW270">
            <v>6.2699999999999818</v>
          </cell>
          <cell r="OA270">
            <v>1992106348</v>
          </cell>
        </row>
        <row r="271">
          <cell r="NW271">
            <v>20.339999999999918</v>
          </cell>
          <cell r="OA271">
            <v>1548696834</v>
          </cell>
        </row>
        <row r="272">
          <cell r="NW272">
            <v>15.670000000000073</v>
          </cell>
          <cell r="OA272">
            <v>1396161527</v>
          </cell>
        </row>
        <row r="273">
          <cell r="NW273">
            <v>6.8699999999998909</v>
          </cell>
          <cell r="OA273">
            <v>1770582363</v>
          </cell>
        </row>
        <row r="274">
          <cell r="NW274">
            <v>10.630000000000109</v>
          </cell>
          <cell r="OA274">
            <v>1376542878</v>
          </cell>
        </row>
        <row r="275">
          <cell r="NW275">
            <v>14</v>
          </cell>
          <cell r="OA275">
            <v>1598127276</v>
          </cell>
        </row>
        <row r="276">
          <cell r="NW276">
            <v>24.650000000000091</v>
          </cell>
          <cell r="OA276">
            <v>1689603060</v>
          </cell>
        </row>
        <row r="277">
          <cell r="NW277">
            <v>7.3399999999999181</v>
          </cell>
          <cell r="OA277">
            <v>1932889078</v>
          </cell>
        </row>
        <row r="278">
          <cell r="NW278">
            <v>42.170000000000073</v>
          </cell>
          <cell r="OA278">
            <v>1306293170</v>
          </cell>
        </row>
        <row r="279">
          <cell r="NW279">
            <v>13.950000000000045</v>
          </cell>
          <cell r="OA279">
            <v>1518968890</v>
          </cell>
        </row>
        <row r="280">
          <cell r="NW280">
            <v>22.150000000000091</v>
          </cell>
          <cell r="OA280">
            <v>1750317897</v>
          </cell>
        </row>
        <row r="281">
          <cell r="NW281">
            <v>23.660000000000082</v>
          </cell>
          <cell r="OA281">
            <v>1659307395</v>
          </cell>
        </row>
        <row r="282">
          <cell r="NW282">
            <v>40.779999999999973</v>
          </cell>
          <cell r="OA282">
            <v>1669083291</v>
          </cell>
        </row>
        <row r="283">
          <cell r="NW283">
            <v>27.900000000000091</v>
          </cell>
          <cell r="OA283">
            <v>1205252640</v>
          </cell>
        </row>
        <row r="284">
          <cell r="NW284">
            <v>9.2699999999999818</v>
          </cell>
          <cell r="OA284">
            <v>1336193754</v>
          </cell>
        </row>
        <row r="285">
          <cell r="NW285">
            <v>6.2400000000000091</v>
          </cell>
          <cell r="OA285">
            <v>1568454262</v>
          </cell>
        </row>
        <row r="286">
          <cell r="NW286">
            <v>26.759999999999991</v>
          </cell>
          <cell r="OA286">
            <v>1187450150</v>
          </cell>
        </row>
        <row r="287">
          <cell r="NW287">
            <v>24.599999999999909</v>
          </cell>
          <cell r="OA287">
            <v>1811920267</v>
          </cell>
        </row>
        <row r="288">
          <cell r="NW288">
            <v>4</v>
          </cell>
          <cell r="OA288">
            <v>1669023685</v>
          </cell>
        </row>
        <row r="289">
          <cell r="NW289">
            <v>23.150000000000091</v>
          </cell>
          <cell r="OA289">
            <v>1053380626</v>
          </cell>
        </row>
        <row r="290">
          <cell r="NW290">
            <v>7</v>
          </cell>
          <cell r="OA290">
            <v>1346241627</v>
          </cell>
        </row>
        <row r="291">
          <cell r="NW291">
            <v>10.089999999999918</v>
          </cell>
          <cell r="OA291">
            <v>1316921190</v>
          </cell>
        </row>
        <row r="292">
          <cell r="NW292">
            <v>34</v>
          </cell>
          <cell r="OA292">
            <v>1740278126</v>
          </cell>
        </row>
        <row r="293">
          <cell r="NW293">
            <v>3</v>
          </cell>
          <cell r="OA293">
            <v>1740386473</v>
          </cell>
        </row>
        <row r="294">
          <cell r="NW294">
            <v>11.269999999999982</v>
          </cell>
          <cell r="OA294">
            <v>1689628141</v>
          </cell>
        </row>
        <row r="295">
          <cell r="NW295">
            <v>8.2100000000000364</v>
          </cell>
          <cell r="OA295">
            <v>1316351034</v>
          </cell>
        </row>
        <row r="296">
          <cell r="NW296">
            <v>5.4900000000000091</v>
          </cell>
          <cell r="OA296">
            <v>1437564739</v>
          </cell>
        </row>
        <row r="297">
          <cell r="NW297">
            <v>5.9400000000000546</v>
          </cell>
          <cell r="OA297">
            <v>1649685132</v>
          </cell>
        </row>
        <row r="298">
          <cell r="NW298">
            <v>14.230000000000018</v>
          </cell>
          <cell r="OA298">
            <v>1063838381</v>
          </cell>
        </row>
        <row r="299">
          <cell r="NW299">
            <v>38.799999999999955</v>
          </cell>
          <cell r="OA299">
            <v>1003869983</v>
          </cell>
        </row>
        <row r="300">
          <cell r="NW300">
            <v>22.740000000000009</v>
          </cell>
          <cell r="OA300">
            <v>1093708497</v>
          </cell>
        </row>
        <row r="301">
          <cell r="NW301">
            <v>14.059999999999945</v>
          </cell>
          <cell r="OA301">
            <v>1295733517</v>
          </cell>
        </row>
        <row r="302">
          <cell r="NW302">
            <v>34.1400000000001</v>
          </cell>
          <cell r="OA302">
            <v>1649268335</v>
          </cell>
        </row>
        <row r="303">
          <cell r="NW303">
            <v>10.819999999999936</v>
          </cell>
          <cell r="OA303">
            <v>1861504946</v>
          </cell>
        </row>
        <row r="304">
          <cell r="NW304">
            <v>45.430000000000064</v>
          </cell>
          <cell r="OA304">
            <v>1558029488</v>
          </cell>
        </row>
        <row r="305">
          <cell r="NW305">
            <v>48</v>
          </cell>
          <cell r="OA305">
            <v>1437110913</v>
          </cell>
        </row>
        <row r="306">
          <cell r="NW306">
            <v>17.670000000000073</v>
          </cell>
          <cell r="OA306">
            <v>1457709891</v>
          </cell>
        </row>
        <row r="307">
          <cell r="NW307">
            <v>23.869999999999891</v>
          </cell>
          <cell r="OA307">
            <v>1043263981</v>
          </cell>
        </row>
        <row r="308">
          <cell r="NW308">
            <v>9</v>
          </cell>
          <cell r="OA308">
            <v>1003205337</v>
          </cell>
        </row>
        <row r="309">
          <cell r="NW309">
            <v>14.960000000000036</v>
          </cell>
          <cell r="OA309">
            <v>1184712580</v>
          </cell>
        </row>
        <row r="310">
          <cell r="NW310">
            <v>2.6099999999999</v>
          </cell>
          <cell r="OA310">
            <v>1407843097</v>
          </cell>
        </row>
        <row r="311">
          <cell r="NW311">
            <v>3.0099999999999909</v>
          </cell>
          <cell r="OA311">
            <v>1891346797</v>
          </cell>
        </row>
        <row r="312">
          <cell r="NW312">
            <v>43.829999999999927</v>
          </cell>
          <cell r="OA312">
            <v>1629511597</v>
          </cell>
        </row>
        <row r="313">
          <cell r="NW313">
            <v>22.829999999999927</v>
          </cell>
          <cell r="OA313">
            <v>1164725198</v>
          </cell>
        </row>
        <row r="314">
          <cell r="NW314">
            <v>5.9100000000000819</v>
          </cell>
          <cell r="OA314">
            <v>1710244827</v>
          </cell>
        </row>
        <row r="315">
          <cell r="NW315">
            <v>11.480000000000018</v>
          </cell>
          <cell r="OA315">
            <v>1821414269</v>
          </cell>
        </row>
        <row r="316">
          <cell r="NW316">
            <v>11.539999999999964</v>
          </cell>
          <cell r="OA316" t="str">
            <v>1669122859</v>
          </cell>
        </row>
        <row r="317">
          <cell r="NW317">
            <v>33.1400000000001</v>
          </cell>
          <cell r="OA317">
            <v>1861003485</v>
          </cell>
        </row>
        <row r="318">
          <cell r="NW318">
            <v>10.930000000000064</v>
          </cell>
          <cell r="OA318">
            <v>1699313544</v>
          </cell>
        </row>
        <row r="319">
          <cell r="NW319">
            <v>11.369999999999891</v>
          </cell>
          <cell r="OA319">
            <v>1336602358</v>
          </cell>
        </row>
        <row r="320">
          <cell r="NW320">
            <v>18.380000000000109</v>
          </cell>
          <cell r="OA320">
            <v>1144868092</v>
          </cell>
        </row>
        <row r="321">
          <cell r="NW321">
            <v>24.8900000000001</v>
          </cell>
          <cell r="OA321">
            <v>1821551797</v>
          </cell>
        </row>
        <row r="322">
          <cell r="NW322">
            <v>19.230000000000018</v>
          </cell>
          <cell r="OA322">
            <v>1578286621</v>
          </cell>
        </row>
        <row r="323">
          <cell r="NW323">
            <v>19.069999999999936</v>
          </cell>
          <cell r="OA323">
            <v>1851030985</v>
          </cell>
        </row>
        <row r="324">
          <cell r="NW324">
            <v>26.059999999999945</v>
          </cell>
          <cell r="OA324">
            <v>1013656156</v>
          </cell>
        </row>
        <row r="325">
          <cell r="NW325">
            <v>15.910000000000082</v>
          </cell>
          <cell r="OA325">
            <v>1184363236</v>
          </cell>
        </row>
        <row r="326">
          <cell r="NW326">
            <v>18.549999999999955</v>
          </cell>
          <cell r="OA326">
            <v>1518606664</v>
          </cell>
        </row>
        <row r="327">
          <cell r="NW327">
            <v>23.400000000000091</v>
          </cell>
          <cell r="OA327">
            <v>1922747088</v>
          </cell>
        </row>
        <row r="328">
          <cell r="NW328">
            <v>15.579999999999927</v>
          </cell>
          <cell r="OA328">
            <v>1528544145</v>
          </cell>
        </row>
        <row r="329">
          <cell r="NW329">
            <v>28.740000000000009</v>
          </cell>
          <cell r="OA329">
            <v>1508505660</v>
          </cell>
        </row>
        <row r="330">
          <cell r="NW330">
            <v>3.5099999999999909</v>
          </cell>
          <cell r="OA330">
            <v>1255070306</v>
          </cell>
        </row>
        <row r="331">
          <cell r="NW331">
            <v>21.089999999999918</v>
          </cell>
          <cell r="OA331">
            <v>1417696576</v>
          </cell>
        </row>
        <row r="332">
          <cell r="NW332">
            <v>54.599999999999909</v>
          </cell>
          <cell r="OA332">
            <v>1699336776</v>
          </cell>
        </row>
        <row r="333">
          <cell r="NW333">
            <v>11.150000000000091</v>
          </cell>
          <cell r="OA333">
            <v>1215982525</v>
          </cell>
        </row>
        <row r="334">
          <cell r="NW334">
            <v>14.660000000000082</v>
          </cell>
          <cell r="OA334">
            <v>1427003110</v>
          </cell>
        </row>
        <row r="335">
          <cell r="NW335">
            <v>14.809999999999945</v>
          </cell>
          <cell r="OA335">
            <v>1598710949</v>
          </cell>
        </row>
        <row r="336">
          <cell r="NW336">
            <v>25.349999999999909</v>
          </cell>
          <cell r="OA336">
            <v>1770538092</v>
          </cell>
        </row>
        <row r="337">
          <cell r="NW337">
            <v>24.309999999999945</v>
          </cell>
          <cell r="OA337">
            <v>1851836118</v>
          </cell>
        </row>
        <row r="338">
          <cell r="NW338">
            <v>11.1099999999999</v>
          </cell>
          <cell r="OA338">
            <v>1871548487</v>
          </cell>
        </row>
        <row r="339">
          <cell r="NW339">
            <v>1</v>
          </cell>
          <cell r="OA339">
            <v>1467407775</v>
          </cell>
        </row>
        <row r="340">
          <cell r="NW340">
            <v>7.8800000000001091</v>
          </cell>
          <cell r="OA340">
            <v>1548293988</v>
          </cell>
        </row>
        <row r="341">
          <cell r="NW341">
            <v>3.6800000000000637</v>
          </cell>
          <cell r="OA341">
            <v>1417368143</v>
          </cell>
        </row>
        <row r="342">
          <cell r="NW342">
            <v>24.160000000000082</v>
          </cell>
          <cell r="OA342">
            <v>1255379293</v>
          </cell>
        </row>
        <row r="343">
          <cell r="NW343">
            <v>32.779999999999973</v>
          </cell>
          <cell r="OA343">
            <v>1366529406</v>
          </cell>
        </row>
        <row r="344">
          <cell r="NW344">
            <v>8.0699999999999363</v>
          </cell>
          <cell r="OA344">
            <v>1598704504</v>
          </cell>
        </row>
        <row r="345">
          <cell r="NW345">
            <v>13.6400000000001</v>
          </cell>
          <cell r="OA345">
            <v>1669613071</v>
          </cell>
        </row>
        <row r="346">
          <cell r="NW346">
            <v>8.1700000000000728</v>
          </cell>
          <cell r="OA346">
            <v>1881648350</v>
          </cell>
        </row>
        <row r="347">
          <cell r="NW347">
            <v>26.200000000000045</v>
          </cell>
          <cell r="OA347">
            <v>1669410312</v>
          </cell>
        </row>
        <row r="348">
          <cell r="NW348">
            <v>25.490000000000009</v>
          </cell>
          <cell r="OA348">
            <v>1356387153</v>
          </cell>
        </row>
        <row r="349">
          <cell r="NW349">
            <v>31.019999999999982</v>
          </cell>
          <cell r="OA349">
            <v>1184705048</v>
          </cell>
        </row>
        <row r="350">
          <cell r="NW350">
            <v>27.759999999999991</v>
          </cell>
          <cell r="OA350">
            <v>1386187813</v>
          </cell>
        </row>
        <row r="351">
          <cell r="NW351">
            <v>29.769999999999982</v>
          </cell>
          <cell r="OA351">
            <v>1952354565</v>
          </cell>
        </row>
        <row r="352">
          <cell r="NW352">
            <v>9.6099999999999</v>
          </cell>
          <cell r="OA352">
            <v>1912323635</v>
          </cell>
        </row>
        <row r="353">
          <cell r="NW353">
            <v>7.9300000000000637</v>
          </cell>
          <cell r="OA353">
            <v>1912902230</v>
          </cell>
        </row>
        <row r="354">
          <cell r="NW354">
            <v>8.1300000000001091</v>
          </cell>
          <cell r="OA354">
            <v>1194028118</v>
          </cell>
        </row>
        <row r="355">
          <cell r="NW355">
            <v>1</v>
          </cell>
          <cell r="OA355">
            <v>1215931977</v>
          </cell>
        </row>
        <row r="356">
          <cell r="NW356">
            <v>10.650000000000091</v>
          </cell>
          <cell r="OA356">
            <v>1508864323</v>
          </cell>
        </row>
        <row r="357">
          <cell r="NW357">
            <v>2.6199999999998909</v>
          </cell>
          <cell r="OA357">
            <v>1427052067</v>
          </cell>
        </row>
        <row r="358">
          <cell r="NW358">
            <v>19.680000000000064</v>
          </cell>
          <cell r="OA358">
            <v>0</v>
          </cell>
        </row>
        <row r="359">
          <cell r="NW359">
            <v>1.0799999999999272</v>
          </cell>
          <cell r="OA359">
            <v>1669449799</v>
          </cell>
        </row>
        <row r="360">
          <cell r="NW360">
            <v>4</v>
          </cell>
          <cell r="OA360">
            <v>1932368586</v>
          </cell>
        </row>
        <row r="361">
          <cell r="NW361">
            <v>28.450000000000045</v>
          </cell>
          <cell r="OA361">
            <v>1720088339</v>
          </cell>
        </row>
        <row r="362">
          <cell r="NW362">
            <v>33.349999999999909</v>
          </cell>
          <cell r="OA362">
            <v>1891007506</v>
          </cell>
        </row>
        <row r="363">
          <cell r="NW363">
            <v>25.6400000000001</v>
          </cell>
          <cell r="OA363">
            <v>1225279755</v>
          </cell>
        </row>
        <row r="364">
          <cell r="NW364">
            <v>7.1900000000000546</v>
          </cell>
          <cell r="OA364">
            <v>1235370750</v>
          </cell>
        </row>
        <row r="365">
          <cell r="NW365">
            <v>29.8599999999999</v>
          </cell>
          <cell r="OA365">
            <v>1497996920</v>
          </cell>
        </row>
        <row r="366">
          <cell r="NW366">
            <v>13.339999999999918</v>
          </cell>
          <cell r="OA366">
            <v>1295704997</v>
          </cell>
        </row>
        <row r="367">
          <cell r="NW367">
            <v>25.869999999999891</v>
          </cell>
          <cell r="OA367">
            <v>1629047279</v>
          </cell>
        </row>
        <row r="368">
          <cell r="NW368">
            <v>15.940000000000055</v>
          </cell>
          <cell r="OA368">
            <v>1144299702</v>
          </cell>
        </row>
        <row r="369">
          <cell r="NW369">
            <v>9.25</v>
          </cell>
          <cell r="OA369">
            <v>1437484672</v>
          </cell>
        </row>
        <row r="370">
          <cell r="NW370">
            <v>36.329999999999927</v>
          </cell>
          <cell r="OA370">
            <v>1942279609</v>
          </cell>
        </row>
        <row r="371">
          <cell r="NW371">
            <v>19.279999999999973</v>
          </cell>
          <cell r="OA371">
            <v>1114996758</v>
          </cell>
        </row>
        <row r="372">
          <cell r="NW372">
            <v>19.440000000000055</v>
          </cell>
          <cell r="OA372">
            <v>1902875578</v>
          </cell>
        </row>
        <row r="373">
          <cell r="NW373">
            <v>8</v>
          </cell>
          <cell r="OA373">
            <v>1588805014</v>
          </cell>
        </row>
        <row r="374">
          <cell r="NW374">
            <v>15.509999999999991</v>
          </cell>
          <cell r="OA374">
            <v>1669408969</v>
          </cell>
        </row>
        <row r="375">
          <cell r="NW375">
            <v>28.829999999999927</v>
          </cell>
          <cell r="OA375">
            <v>1689640583</v>
          </cell>
        </row>
        <row r="376">
          <cell r="NW376">
            <v>26.190000000000055</v>
          </cell>
          <cell r="OA376">
            <v>1831125285</v>
          </cell>
        </row>
        <row r="377">
          <cell r="NW377">
            <v>26.039999999999964</v>
          </cell>
          <cell r="OA377">
            <v>1871063214</v>
          </cell>
        </row>
        <row r="378">
          <cell r="NW378">
            <v>26.410000000000082</v>
          </cell>
          <cell r="OA378">
            <v>1629515499</v>
          </cell>
        </row>
        <row r="379">
          <cell r="NW379">
            <v>10.160000000000082</v>
          </cell>
          <cell r="OA379">
            <v>1134660103</v>
          </cell>
        </row>
        <row r="380">
          <cell r="NW380">
            <v>86.730000000000018</v>
          </cell>
          <cell r="OA380">
            <v>1447736087</v>
          </cell>
        </row>
        <row r="381">
          <cell r="NW381">
            <v>48.289999999999964</v>
          </cell>
          <cell r="OA381">
            <v>1366418246</v>
          </cell>
        </row>
        <row r="382">
          <cell r="NW382">
            <v>48.160000000000082</v>
          </cell>
          <cell r="OA382">
            <v>1124094008</v>
          </cell>
        </row>
        <row r="383">
          <cell r="NW383">
            <v>3.6400000000001</v>
          </cell>
          <cell r="OA383">
            <v>1205575511</v>
          </cell>
        </row>
        <row r="384">
          <cell r="NW384">
            <v>44.720000000000027</v>
          </cell>
          <cell r="OA384">
            <v>1659319366</v>
          </cell>
        </row>
        <row r="385">
          <cell r="NW385">
            <v>36.400000000000091</v>
          </cell>
          <cell r="OA385">
            <v>1972050276</v>
          </cell>
        </row>
        <row r="386">
          <cell r="NW386">
            <v>28.380000000000109</v>
          </cell>
          <cell r="OA386">
            <v>1023386190</v>
          </cell>
        </row>
        <row r="387">
          <cell r="NW387">
            <v>21.309999999999945</v>
          </cell>
          <cell r="OA387">
            <v>1154369841</v>
          </cell>
        </row>
        <row r="388">
          <cell r="NW388">
            <v>7.5499999999999545</v>
          </cell>
          <cell r="OA388">
            <v>1639153919</v>
          </cell>
        </row>
        <row r="389">
          <cell r="NW389">
            <v>9.8900000000001</v>
          </cell>
          <cell r="OA389">
            <v>1043314602</v>
          </cell>
        </row>
        <row r="390">
          <cell r="NW390">
            <v>9.9200000000000728</v>
          </cell>
          <cell r="OA390">
            <v>1891740544</v>
          </cell>
        </row>
        <row r="391">
          <cell r="NW391">
            <v>22.130000000000109</v>
          </cell>
          <cell r="OA391">
            <v>1700821865</v>
          </cell>
        </row>
        <row r="392">
          <cell r="NW392">
            <v>28.75</v>
          </cell>
          <cell r="OA392">
            <v>1184650541</v>
          </cell>
        </row>
        <row r="393">
          <cell r="NW393">
            <v>13.970000000000027</v>
          </cell>
          <cell r="OA393">
            <v>1902853781</v>
          </cell>
        </row>
        <row r="394">
          <cell r="NW394">
            <v>19.920000000000073</v>
          </cell>
          <cell r="OA394">
            <v>1235264219</v>
          </cell>
        </row>
        <row r="395">
          <cell r="NW395">
            <v>16.970000000000027</v>
          </cell>
          <cell r="OA395">
            <v>1366577355</v>
          </cell>
        </row>
        <row r="396">
          <cell r="NW396">
            <v>21.589999999999918</v>
          </cell>
          <cell r="OA396">
            <v>1033244090</v>
          </cell>
        </row>
        <row r="397">
          <cell r="NW397">
            <v>4.9800000000000182</v>
          </cell>
          <cell r="OA397">
            <v>1770618720</v>
          </cell>
        </row>
        <row r="398">
          <cell r="NW398">
            <v>1.4400000000000546</v>
          </cell>
          <cell r="OA398">
            <v>1356476311</v>
          </cell>
        </row>
        <row r="399">
          <cell r="NW399">
            <v>6.6700000000000728</v>
          </cell>
          <cell r="OA399">
            <v>1124342241</v>
          </cell>
        </row>
        <row r="400">
          <cell r="NW400">
            <v>24</v>
          </cell>
          <cell r="OA400">
            <v>1548230188</v>
          </cell>
        </row>
        <row r="401">
          <cell r="NW401">
            <v>5.2599999999999909</v>
          </cell>
          <cell r="OA401">
            <v>1528606225</v>
          </cell>
        </row>
        <row r="402">
          <cell r="NW402">
            <v>30.319999999999936</v>
          </cell>
          <cell r="OA402">
            <v>1508802497</v>
          </cell>
        </row>
        <row r="403">
          <cell r="NW403">
            <v>32.1099999999999</v>
          </cell>
          <cell r="OA403">
            <v>1629425491</v>
          </cell>
        </row>
        <row r="404">
          <cell r="NW404">
            <v>26.220000000000027</v>
          </cell>
          <cell r="OA404">
            <v>1629016340</v>
          </cell>
        </row>
        <row r="405">
          <cell r="NW405">
            <v>14.869999999999891</v>
          </cell>
          <cell r="OA405">
            <v>1215979059</v>
          </cell>
        </row>
        <row r="406">
          <cell r="NW406">
            <v>20.519999999999982</v>
          </cell>
          <cell r="OA406">
            <v>1457090128</v>
          </cell>
        </row>
        <row r="407">
          <cell r="NW407">
            <v>17.069999999999936</v>
          </cell>
          <cell r="OA407">
            <v>1700812146</v>
          </cell>
        </row>
        <row r="408">
          <cell r="NW408">
            <v>18.1099999999999</v>
          </cell>
          <cell r="OA408">
            <v>1750703278</v>
          </cell>
        </row>
        <row r="409">
          <cell r="NW409">
            <v>17.200000000000045</v>
          </cell>
          <cell r="OA409">
            <v>1992793962</v>
          </cell>
        </row>
        <row r="410">
          <cell r="NW410">
            <v>10</v>
          </cell>
          <cell r="OA410">
            <v>1528040888</v>
          </cell>
        </row>
        <row r="411">
          <cell r="NW411">
            <v>19.849999999999909</v>
          </cell>
          <cell r="OA411">
            <v>1912683095</v>
          </cell>
        </row>
        <row r="412">
          <cell r="NW412">
            <v>6.1199999999998909</v>
          </cell>
          <cell r="OA412">
            <v>1023481520</v>
          </cell>
        </row>
        <row r="413">
          <cell r="NW413">
            <v>39.410000000000082</v>
          </cell>
          <cell r="OA413">
            <v>1174178313</v>
          </cell>
        </row>
        <row r="414">
          <cell r="NW414">
            <v>12.089999999999918</v>
          </cell>
          <cell r="OA414">
            <v>1164848503</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16"/>
  <sheetViews>
    <sheetView tabSelected="1" workbookViewId="0"/>
  </sheetViews>
  <sheetFormatPr defaultRowHeight="13.2" x14ac:dyDescent="0.25"/>
  <cols>
    <col min="8" max="8" width="12.33203125" customWidth="1"/>
    <col min="9" max="9" width="14.33203125" customWidth="1"/>
  </cols>
  <sheetData>
    <row r="1" spans="1:9" ht="22.8" x14ac:dyDescent="0.4">
      <c r="A1" s="6" t="s">
        <v>29</v>
      </c>
      <c r="B1" s="6"/>
      <c r="C1" s="6"/>
      <c r="D1" s="6"/>
      <c r="E1" s="6"/>
      <c r="F1" s="6"/>
      <c r="G1" s="6"/>
      <c r="H1" s="6"/>
      <c r="I1" s="6"/>
    </row>
    <row r="2" spans="1:9" ht="22.8" x14ac:dyDescent="0.4">
      <c r="A2" s="6" t="s">
        <v>30</v>
      </c>
      <c r="B2" s="6"/>
      <c r="C2" s="6"/>
      <c r="D2" s="6"/>
      <c r="E2" s="6"/>
      <c r="F2" s="6"/>
      <c r="G2" s="6"/>
      <c r="H2" s="6"/>
      <c r="I2" s="6"/>
    </row>
    <row r="3" spans="1:9" ht="91.5" customHeight="1" x14ac:dyDescent="0.25">
      <c r="A3" s="231" t="s">
        <v>768</v>
      </c>
      <c r="B3" s="232"/>
      <c r="C3" s="232"/>
      <c r="D3" s="232"/>
      <c r="E3" s="232"/>
      <c r="F3" s="232"/>
      <c r="G3" s="232"/>
      <c r="H3" s="232"/>
      <c r="I3" s="232"/>
    </row>
    <row r="4" spans="1:9" ht="26.25" customHeight="1" x14ac:dyDescent="0.25">
      <c r="A4" s="5" t="s">
        <v>530</v>
      </c>
    </row>
    <row r="5" spans="1:9" ht="26.4" customHeight="1" x14ac:dyDescent="0.25">
      <c r="B5" s="228" t="s">
        <v>531</v>
      </c>
      <c r="C5" s="229"/>
      <c r="D5" s="229"/>
      <c r="E5" s="229"/>
      <c r="F5" s="229"/>
      <c r="G5" s="229"/>
      <c r="H5" s="229"/>
      <c r="I5" s="229"/>
    </row>
    <row r="6" spans="1:9" ht="25.5" customHeight="1" x14ac:dyDescent="0.25">
      <c r="A6" s="5" t="s">
        <v>532</v>
      </c>
    </row>
    <row r="7" spans="1:9" ht="13.95" customHeight="1" x14ac:dyDescent="0.25">
      <c r="B7" s="228" t="s">
        <v>533</v>
      </c>
      <c r="C7" s="229"/>
      <c r="D7" s="229"/>
      <c r="E7" s="229"/>
      <c r="F7" s="229"/>
      <c r="G7" s="229"/>
      <c r="H7" s="229"/>
      <c r="I7" s="229"/>
    </row>
    <row r="8" spans="1:9" ht="25.5" customHeight="1" x14ac:dyDescent="0.25">
      <c r="A8" s="5" t="s">
        <v>362</v>
      </c>
    </row>
    <row r="9" spans="1:9" ht="39.6" customHeight="1" x14ac:dyDescent="0.25">
      <c r="B9" s="228" t="s">
        <v>534</v>
      </c>
      <c r="C9" s="229"/>
      <c r="D9" s="229"/>
      <c r="E9" s="229"/>
      <c r="F9" s="229"/>
      <c r="G9" s="229"/>
      <c r="H9" s="229"/>
      <c r="I9" s="229"/>
    </row>
    <row r="10" spans="1:9" ht="25.5" customHeight="1" x14ac:dyDescent="0.25">
      <c r="A10" s="5" t="s">
        <v>535</v>
      </c>
      <c r="B10" s="40"/>
      <c r="C10" s="40"/>
      <c r="D10" s="40"/>
      <c r="E10" s="40"/>
      <c r="F10" s="40"/>
      <c r="G10" s="40"/>
      <c r="H10" s="40"/>
      <c r="I10" s="40"/>
    </row>
    <row r="11" spans="1:9" ht="24.6" customHeight="1" x14ac:dyDescent="0.25">
      <c r="B11" s="228" t="s">
        <v>538</v>
      </c>
      <c r="C11" s="228"/>
      <c r="D11" s="228"/>
      <c r="E11" s="228"/>
      <c r="F11" s="228"/>
      <c r="G11" s="228"/>
      <c r="H11" s="228"/>
      <c r="I11" s="228"/>
    </row>
    <row r="12" spans="1:9" ht="25.5" customHeight="1" x14ac:dyDescent="0.25">
      <c r="A12" s="5" t="s">
        <v>805</v>
      </c>
      <c r="B12" s="40"/>
      <c r="C12" s="40"/>
      <c r="D12" s="40"/>
      <c r="E12" s="40"/>
      <c r="F12" s="40"/>
      <c r="G12" s="40"/>
      <c r="H12" s="40"/>
      <c r="I12" s="40"/>
    </row>
    <row r="13" spans="1:9" ht="29.25" customHeight="1" x14ac:dyDescent="0.25">
      <c r="B13" s="228" t="s">
        <v>806</v>
      </c>
      <c r="C13" s="228"/>
      <c r="D13" s="228"/>
      <c r="E13" s="228"/>
      <c r="F13" s="228"/>
      <c r="G13" s="228"/>
      <c r="H13" s="228"/>
      <c r="I13" s="228"/>
    </row>
    <row r="14" spans="1:9" ht="38.25" customHeight="1" x14ac:dyDescent="0.25">
      <c r="A14" s="228" t="s">
        <v>47</v>
      </c>
      <c r="B14" s="229"/>
      <c r="C14" s="229"/>
      <c r="D14" s="229"/>
      <c r="E14" s="229"/>
      <c r="F14" s="229"/>
      <c r="G14" s="229"/>
      <c r="H14" s="229"/>
      <c r="I14" s="229"/>
    </row>
    <row r="15" spans="1:9" ht="42" customHeight="1" x14ac:dyDescent="0.25">
      <c r="A15" s="230" t="s">
        <v>556</v>
      </c>
      <c r="B15" s="230"/>
      <c r="C15" s="230"/>
      <c r="D15" s="230"/>
      <c r="E15" s="230"/>
      <c r="F15" s="230"/>
      <c r="G15" s="230"/>
      <c r="H15" s="230"/>
      <c r="I15" s="230"/>
    </row>
    <row r="16" spans="1:9" ht="24" customHeight="1" x14ac:dyDescent="0.25">
      <c r="A16" s="228" t="s">
        <v>360</v>
      </c>
      <c r="B16" s="229"/>
      <c r="C16" s="229"/>
      <c r="D16" s="229"/>
      <c r="E16" s="229"/>
      <c r="F16" s="229"/>
      <c r="G16" s="229"/>
      <c r="H16" s="229"/>
      <c r="I16" s="229"/>
    </row>
  </sheetData>
  <sheetProtection algorithmName="SHA-512" hashValue="BzaH4JPcmLDPx6CjLjh7+W1PCPo94el/RzxeT5hBFWN8sQPrgjfBZ/oMG5I1izuqcqAjqW5U7Ll6s0IwZkXq3g==" saltValue="uztm60F3stRkBM6eybJF9Q==" spinCount="100000" sheet="1" objects="1" scenarios="1"/>
  <mergeCells count="9">
    <mergeCell ref="A16:I16"/>
    <mergeCell ref="A15:I15"/>
    <mergeCell ref="A14:I14"/>
    <mergeCell ref="A3:I3"/>
    <mergeCell ref="B9:I9"/>
    <mergeCell ref="B5:I5"/>
    <mergeCell ref="B7:I7"/>
    <mergeCell ref="B11:I11"/>
    <mergeCell ref="B13:I13"/>
  </mergeCells>
  <phoneticPr fontId="6"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7CB4D-8AF1-4D11-BCCD-F00D64DA0E12}">
  <sheetPr>
    <tabColor theme="9" tint="0.79998168889431442"/>
  </sheetPr>
  <dimension ref="A1:L419"/>
  <sheetViews>
    <sheetView workbookViewId="0">
      <selection sqref="A1:K1"/>
    </sheetView>
  </sheetViews>
  <sheetFormatPr defaultColWidth="9.109375" defaultRowHeight="13.2" x14ac:dyDescent="0.25"/>
  <cols>
    <col min="1" max="1" width="16" style="184" customWidth="1"/>
    <col min="2" max="2" width="47.6640625" style="138" customWidth="1"/>
    <col min="3" max="8" width="13.5546875" style="138" customWidth="1"/>
    <col min="9" max="9" width="2.33203125" style="138" customWidth="1"/>
    <col min="10" max="10" width="12.5546875" style="138" customWidth="1"/>
    <col min="11" max="11" width="15.5546875" style="138" customWidth="1"/>
    <col min="12" max="12" width="13" style="183" customWidth="1"/>
    <col min="13" max="16384" width="9.109375" style="138"/>
  </cols>
  <sheetData>
    <row r="1" spans="1:11" ht="13.8" x14ac:dyDescent="0.25">
      <c r="A1" s="247" t="s">
        <v>771</v>
      </c>
      <c r="B1" s="247"/>
      <c r="C1" s="247"/>
      <c r="D1" s="247"/>
      <c r="E1" s="247"/>
      <c r="F1" s="247"/>
      <c r="G1" s="247"/>
      <c r="H1" s="247"/>
      <c r="I1" s="247"/>
      <c r="J1" s="247"/>
      <c r="K1" s="247"/>
    </row>
    <row r="2" spans="1:11" ht="13.8" x14ac:dyDescent="0.25">
      <c r="A2" s="247" t="s">
        <v>605</v>
      </c>
      <c r="B2" s="247"/>
      <c r="C2" s="247"/>
      <c r="D2" s="247"/>
      <c r="E2" s="247"/>
      <c r="F2" s="247"/>
      <c r="G2" s="247"/>
      <c r="H2" s="247"/>
      <c r="I2" s="247"/>
      <c r="J2" s="247"/>
      <c r="K2" s="247"/>
    </row>
    <row r="4" spans="1:11" ht="13.8" x14ac:dyDescent="0.25">
      <c r="A4" s="247" t="s">
        <v>772</v>
      </c>
      <c r="B4" s="247"/>
      <c r="C4" s="247"/>
      <c r="D4" s="247"/>
      <c r="E4" s="247"/>
      <c r="F4" s="247"/>
      <c r="G4" s="247"/>
      <c r="H4" s="247"/>
      <c r="I4" s="247"/>
      <c r="J4" s="247"/>
      <c r="K4" s="247"/>
    </row>
    <row r="5" spans="1:11" ht="15.6" x14ac:dyDescent="0.3">
      <c r="A5" s="251" t="s">
        <v>773</v>
      </c>
      <c r="B5" s="251"/>
      <c r="C5" s="251"/>
      <c r="D5" s="251"/>
      <c r="E5" s="251"/>
      <c r="F5" s="251"/>
      <c r="G5" s="251"/>
      <c r="H5" s="251"/>
      <c r="I5" s="251"/>
      <c r="J5" s="251"/>
      <c r="K5" s="251"/>
    </row>
    <row r="7" spans="1:11" ht="13.8" x14ac:dyDescent="0.25">
      <c r="A7" s="247" t="s">
        <v>774</v>
      </c>
      <c r="B7" s="247"/>
      <c r="C7" s="247"/>
      <c r="D7" s="247"/>
      <c r="E7" s="247"/>
      <c r="F7" s="247"/>
      <c r="G7" s="247"/>
      <c r="H7" s="247"/>
      <c r="I7" s="247"/>
      <c r="J7" s="247"/>
      <c r="K7" s="247"/>
    </row>
    <row r="8" spans="1:11" ht="24" customHeight="1" x14ac:dyDescent="0.25"/>
    <row r="9" spans="1:11" ht="13.8" x14ac:dyDescent="0.25">
      <c r="A9" s="247" t="s">
        <v>775</v>
      </c>
      <c r="B9" s="247"/>
      <c r="C9" s="247"/>
      <c r="D9" s="247"/>
      <c r="E9" s="247"/>
      <c r="F9" s="247"/>
      <c r="G9" s="247"/>
      <c r="H9" s="247"/>
      <c r="I9" s="247"/>
      <c r="J9" s="247"/>
      <c r="K9" s="247"/>
    </row>
    <row r="10" spans="1:11" x14ac:dyDescent="0.25">
      <c r="A10" s="248"/>
      <c r="B10" s="248"/>
      <c r="C10" s="248"/>
      <c r="D10" s="248"/>
      <c r="E10" s="248"/>
      <c r="F10" s="248"/>
      <c r="G10" s="248"/>
      <c r="H10" s="248"/>
      <c r="I10" s="248"/>
      <c r="J10" s="248"/>
      <c r="K10" s="248"/>
    </row>
    <row r="11" spans="1:11" x14ac:dyDescent="0.25">
      <c r="A11" s="249" t="s">
        <v>776</v>
      </c>
      <c r="B11" s="249"/>
      <c r="C11" s="249"/>
      <c r="D11" s="249"/>
      <c r="E11" s="249"/>
      <c r="F11" s="249"/>
      <c r="G11" s="249"/>
      <c r="H11" s="249"/>
      <c r="I11" s="249"/>
      <c r="J11" s="249"/>
      <c r="K11" s="249"/>
    </row>
    <row r="12" spans="1:11" x14ac:dyDescent="0.25">
      <c r="A12" s="250"/>
      <c r="B12" s="250"/>
      <c r="C12" s="250"/>
      <c r="D12" s="250"/>
      <c r="E12" s="250"/>
      <c r="F12" s="250"/>
      <c r="G12" s="250"/>
      <c r="H12" s="250"/>
      <c r="I12" s="250"/>
      <c r="J12" s="250"/>
      <c r="K12" s="250"/>
    </row>
    <row r="13" spans="1:11" x14ac:dyDescent="0.25">
      <c r="A13" s="138"/>
    </row>
    <row r="14" spans="1:11" x14ac:dyDescent="0.25">
      <c r="A14" s="168"/>
    </row>
    <row r="15" spans="1:11" x14ac:dyDescent="0.25">
      <c r="A15" s="168"/>
    </row>
    <row r="16" spans="1:11" x14ac:dyDescent="0.25">
      <c r="A16" s="168"/>
    </row>
    <row r="17" spans="1:12" x14ac:dyDescent="0.25">
      <c r="A17" s="168"/>
    </row>
    <row r="18" spans="1:12" x14ac:dyDescent="0.25">
      <c r="A18" s="168"/>
    </row>
    <row r="19" spans="1:12" x14ac:dyDescent="0.25">
      <c r="A19" s="168"/>
    </row>
    <row r="20" spans="1:12" x14ac:dyDescent="0.25">
      <c r="A20" s="205">
        <v>45376</v>
      </c>
    </row>
    <row r="21" spans="1:12" s="213" customFormat="1" ht="39.6" x14ac:dyDescent="0.25">
      <c r="A21" s="206" t="s">
        <v>48</v>
      </c>
      <c r="B21" s="206" t="s">
        <v>574</v>
      </c>
      <c r="C21" s="207" t="s">
        <v>777</v>
      </c>
      <c r="D21" s="207" t="s">
        <v>778</v>
      </c>
      <c r="E21" s="208" t="s">
        <v>779</v>
      </c>
      <c r="F21" s="208" t="s">
        <v>780</v>
      </c>
      <c r="G21" s="208" t="s">
        <v>781</v>
      </c>
      <c r="H21" s="208" t="s">
        <v>782</v>
      </c>
      <c r="I21" s="209"/>
      <c r="J21" s="210" t="s">
        <v>606</v>
      </c>
      <c r="K21" s="211" t="s">
        <v>783</v>
      </c>
      <c r="L21" s="212"/>
    </row>
    <row r="22" spans="1:12" ht="13.2" customHeight="1" x14ac:dyDescent="0.25">
      <c r="A22" s="185">
        <v>1114501442</v>
      </c>
      <c r="B22" s="186" t="s">
        <v>135</v>
      </c>
      <c r="C22" s="187">
        <v>267.37</v>
      </c>
      <c r="D22" s="188">
        <v>1.2385999999999999</v>
      </c>
      <c r="E22" s="189">
        <v>41.89</v>
      </c>
      <c r="F22" s="189">
        <v>194.97</v>
      </c>
      <c r="G22" s="189">
        <v>20.484101658630671</v>
      </c>
      <c r="H22" s="189">
        <v>9.4499999999999993</v>
      </c>
      <c r="I22" s="190"/>
      <c r="J22" s="191">
        <v>37.74</v>
      </c>
      <c r="K22" s="192">
        <v>304.53000000000003</v>
      </c>
      <c r="L22" s="225"/>
    </row>
    <row r="23" spans="1:12" ht="13.2" customHeight="1" x14ac:dyDescent="0.25">
      <c r="A23" s="185">
        <v>1962126904</v>
      </c>
      <c r="B23" s="186" t="s">
        <v>647</v>
      </c>
      <c r="C23" s="187">
        <v>272.36</v>
      </c>
      <c r="D23" s="188">
        <v>1.1662999999999999</v>
      </c>
      <c r="E23" s="189">
        <v>41.89</v>
      </c>
      <c r="F23" s="189">
        <v>187.43</v>
      </c>
      <c r="G23" s="189">
        <v>14.316907560270018</v>
      </c>
      <c r="H23" s="189">
        <v>29.25</v>
      </c>
      <c r="I23" s="190"/>
      <c r="J23" s="191">
        <v>37.74</v>
      </c>
      <c r="K23" s="192">
        <v>310.63</v>
      </c>
      <c r="L23" s="225"/>
    </row>
    <row r="24" spans="1:12" ht="13.2" customHeight="1" x14ac:dyDescent="0.25">
      <c r="A24" s="185">
        <v>1760106702</v>
      </c>
      <c r="B24" s="186" t="s">
        <v>784</v>
      </c>
      <c r="C24" s="187">
        <v>293.52</v>
      </c>
      <c r="D24" s="188">
        <v>1.3121</v>
      </c>
      <c r="E24" s="189">
        <v>41.89</v>
      </c>
      <c r="F24" s="189">
        <v>199.32999999999998</v>
      </c>
      <c r="G24" s="189">
        <v>27.334313121986455</v>
      </c>
      <c r="H24" s="189">
        <v>29.25</v>
      </c>
      <c r="I24" s="190"/>
      <c r="J24" s="191">
        <v>37.74</v>
      </c>
      <c r="K24" s="192">
        <v>335.54</v>
      </c>
      <c r="L24" s="225"/>
    </row>
    <row r="25" spans="1:12" ht="13.2" customHeight="1" x14ac:dyDescent="0.25">
      <c r="A25" s="185">
        <v>1962505313</v>
      </c>
      <c r="B25" s="186" t="s">
        <v>721</v>
      </c>
      <c r="C25" s="187">
        <v>288.08000000000004</v>
      </c>
      <c r="D25" s="188">
        <v>1.3192999999999999</v>
      </c>
      <c r="E25" s="189">
        <v>41.89</v>
      </c>
      <c r="F25" s="189">
        <v>200.70000000000002</v>
      </c>
      <c r="G25" s="189">
        <v>17.713191116349773</v>
      </c>
      <c r="H25" s="189">
        <v>29.25</v>
      </c>
      <c r="I25" s="190"/>
      <c r="J25" s="191">
        <v>37.74</v>
      </c>
      <c r="K25" s="192">
        <v>327.28999999999996</v>
      </c>
      <c r="L25" s="225"/>
    </row>
    <row r="26" spans="1:12" ht="13.2" customHeight="1" x14ac:dyDescent="0.25">
      <c r="A26" s="185">
        <v>1396202024</v>
      </c>
      <c r="B26" s="186" t="s">
        <v>250</v>
      </c>
      <c r="C26" s="187">
        <v>277.61</v>
      </c>
      <c r="D26" s="188">
        <v>1.1950000000000001</v>
      </c>
      <c r="E26" s="189">
        <v>41.89</v>
      </c>
      <c r="F26" s="189">
        <v>188.68</v>
      </c>
      <c r="G26" s="189">
        <v>21.070433461909328</v>
      </c>
      <c r="H26" s="189">
        <v>29.25</v>
      </c>
      <c r="I26" s="190"/>
      <c r="J26" s="191">
        <v>37.74</v>
      </c>
      <c r="K26" s="192">
        <v>318.63</v>
      </c>
      <c r="L26" s="225"/>
    </row>
    <row r="27" spans="1:12" ht="13.2" customHeight="1" x14ac:dyDescent="0.25">
      <c r="A27" s="185">
        <v>1194722629</v>
      </c>
      <c r="B27" s="186" t="s">
        <v>137</v>
      </c>
      <c r="C27" s="187">
        <v>290.98</v>
      </c>
      <c r="D27" s="188">
        <v>1.1912</v>
      </c>
      <c r="E27" s="189">
        <v>41.89</v>
      </c>
      <c r="F27" s="189">
        <v>191.07</v>
      </c>
      <c r="G27" s="189">
        <v>37.434464884559866</v>
      </c>
      <c r="H27" s="189">
        <v>29.25</v>
      </c>
      <c r="I27" s="190"/>
      <c r="J27" s="191">
        <v>37.74</v>
      </c>
      <c r="K27" s="192">
        <v>337.38</v>
      </c>
      <c r="L27" s="225"/>
    </row>
    <row r="28" spans="1:12" ht="13.2" customHeight="1" x14ac:dyDescent="0.25">
      <c r="A28" s="185">
        <v>1255878245</v>
      </c>
      <c r="B28" s="186" t="s">
        <v>138</v>
      </c>
      <c r="C28" s="187">
        <v>273.44</v>
      </c>
      <c r="D28" s="188">
        <v>1.1913</v>
      </c>
      <c r="E28" s="189">
        <v>41.89</v>
      </c>
      <c r="F28" s="189">
        <v>189.28</v>
      </c>
      <c r="G28" s="189">
        <v>12.517678871668867</v>
      </c>
      <c r="H28" s="189">
        <v>29.25</v>
      </c>
      <c r="I28" s="190"/>
      <c r="J28" s="191">
        <v>37.74</v>
      </c>
      <c r="K28" s="192">
        <v>310.68</v>
      </c>
      <c r="L28" s="225"/>
    </row>
    <row r="29" spans="1:12" ht="13.2" customHeight="1" x14ac:dyDescent="0.25">
      <c r="A29" s="185">
        <v>1275519506</v>
      </c>
      <c r="B29" s="186" t="s">
        <v>139</v>
      </c>
      <c r="C29" s="187">
        <v>279.08</v>
      </c>
      <c r="D29" s="188">
        <v>1.2485999999999999</v>
      </c>
      <c r="E29" s="189">
        <v>41.89</v>
      </c>
      <c r="F29" s="189">
        <v>193.72000000000003</v>
      </c>
      <c r="G29" s="189">
        <v>12.092063825813286</v>
      </c>
      <c r="H29" s="189">
        <v>29.25</v>
      </c>
      <c r="I29" s="190"/>
      <c r="J29" s="191">
        <v>37.74</v>
      </c>
      <c r="K29" s="192">
        <v>314.69</v>
      </c>
      <c r="L29" s="225"/>
    </row>
    <row r="30" spans="1:12" ht="13.2" customHeight="1" x14ac:dyDescent="0.25">
      <c r="A30" s="185">
        <v>1770995094</v>
      </c>
      <c r="B30" s="186" t="s">
        <v>645</v>
      </c>
      <c r="C30" s="187">
        <v>261.18</v>
      </c>
      <c r="D30" s="188">
        <v>1.0255000000000001</v>
      </c>
      <c r="E30" s="189">
        <v>41.89</v>
      </c>
      <c r="F30" s="189">
        <v>174.29000000000002</v>
      </c>
      <c r="G30" s="189">
        <v>13.580927656701979</v>
      </c>
      <c r="H30" s="189">
        <v>29.25</v>
      </c>
      <c r="I30" s="190"/>
      <c r="J30" s="191">
        <v>37.74</v>
      </c>
      <c r="K30" s="192">
        <v>296.75</v>
      </c>
      <c r="L30" s="225"/>
    </row>
    <row r="31" spans="1:12" ht="13.2" customHeight="1" x14ac:dyDescent="0.25">
      <c r="A31" s="185">
        <v>1609852375</v>
      </c>
      <c r="B31" s="186" t="s">
        <v>140</v>
      </c>
      <c r="C31" s="187">
        <v>266.66999999999996</v>
      </c>
      <c r="D31" s="188">
        <v>1.1211</v>
      </c>
      <c r="E31" s="189">
        <v>41.89</v>
      </c>
      <c r="F31" s="189">
        <v>182.62</v>
      </c>
      <c r="G31" s="189">
        <v>10.262722466266325</v>
      </c>
      <c r="H31" s="189">
        <v>29.25</v>
      </c>
      <c r="I31" s="190"/>
      <c r="J31" s="191">
        <v>37.74</v>
      </c>
      <c r="K31" s="192">
        <v>301.76</v>
      </c>
      <c r="L31" s="225"/>
    </row>
    <row r="32" spans="1:12" ht="13.2" customHeight="1" x14ac:dyDescent="0.25">
      <c r="A32" s="185">
        <v>1093791337</v>
      </c>
      <c r="B32" s="186" t="s">
        <v>141</v>
      </c>
      <c r="C32" s="187">
        <v>284.76</v>
      </c>
      <c r="D32" s="188">
        <v>1.1496</v>
      </c>
      <c r="E32" s="189">
        <v>41.89</v>
      </c>
      <c r="F32" s="189">
        <v>185.74</v>
      </c>
      <c r="G32" s="189">
        <v>27.685665569354249</v>
      </c>
      <c r="H32" s="189">
        <v>29.25</v>
      </c>
      <c r="I32" s="190"/>
      <c r="J32" s="191">
        <v>37.74</v>
      </c>
      <c r="K32" s="192">
        <v>322.31</v>
      </c>
      <c r="L32" s="225"/>
    </row>
    <row r="33" spans="1:12" ht="13.2" customHeight="1" x14ac:dyDescent="0.25">
      <c r="A33" s="185">
        <v>1912485517</v>
      </c>
      <c r="B33" s="186" t="s">
        <v>179</v>
      </c>
      <c r="C33" s="187">
        <v>295.45</v>
      </c>
      <c r="D33" s="188">
        <v>1.1666000000000001</v>
      </c>
      <c r="E33" s="189">
        <v>41.89</v>
      </c>
      <c r="F33" s="189">
        <v>187</v>
      </c>
      <c r="G33" s="189">
        <v>36.121712523211194</v>
      </c>
      <c r="H33" s="189">
        <v>29.25</v>
      </c>
      <c r="I33" s="190"/>
      <c r="J33" s="191">
        <v>37.74</v>
      </c>
      <c r="K33" s="192">
        <v>332</v>
      </c>
      <c r="L33" s="225"/>
    </row>
    <row r="34" spans="1:12" ht="13.2" customHeight="1" x14ac:dyDescent="0.25">
      <c r="A34" s="185">
        <v>1073599635</v>
      </c>
      <c r="B34" s="186" t="s">
        <v>142</v>
      </c>
      <c r="C34" s="187">
        <v>300.14</v>
      </c>
      <c r="D34" s="188">
        <v>1.2763</v>
      </c>
      <c r="E34" s="189">
        <v>41.89</v>
      </c>
      <c r="F34" s="189">
        <v>196.25</v>
      </c>
      <c r="G34" s="189">
        <v>32.188964492248466</v>
      </c>
      <c r="H34" s="189">
        <v>29.25</v>
      </c>
      <c r="I34" s="190"/>
      <c r="J34" s="191">
        <v>37.74</v>
      </c>
      <c r="K34" s="192">
        <v>337.32</v>
      </c>
      <c r="L34" s="225"/>
    </row>
    <row r="35" spans="1:12" ht="13.2" customHeight="1" x14ac:dyDescent="0.25">
      <c r="A35" s="185">
        <v>1053396788</v>
      </c>
      <c r="B35" s="186" t="s">
        <v>143</v>
      </c>
      <c r="C35" s="187">
        <v>287.75</v>
      </c>
      <c r="D35" s="188">
        <v>1.1125</v>
      </c>
      <c r="E35" s="189">
        <v>41.89</v>
      </c>
      <c r="F35" s="189">
        <v>182.46</v>
      </c>
      <c r="G35" s="189">
        <v>40.504811606021399</v>
      </c>
      <c r="H35" s="189">
        <v>29.25</v>
      </c>
      <c r="I35" s="190"/>
      <c r="J35" s="191">
        <v>37.74</v>
      </c>
      <c r="K35" s="192">
        <v>331.84000000000003</v>
      </c>
      <c r="L35" s="225"/>
    </row>
    <row r="36" spans="1:12" ht="13.2" customHeight="1" x14ac:dyDescent="0.25">
      <c r="A36" s="185">
        <v>1851377543</v>
      </c>
      <c r="B36" s="186" t="s">
        <v>144</v>
      </c>
      <c r="C36" s="187">
        <v>275.86</v>
      </c>
      <c r="D36" s="188">
        <v>1.2277</v>
      </c>
      <c r="E36" s="189">
        <v>41.89</v>
      </c>
      <c r="F36" s="189">
        <v>192.41</v>
      </c>
      <c r="G36" s="189">
        <v>17.294260993249786</v>
      </c>
      <c r="H36" s="189">
        <v>29.25</v>
      </c>
      <c r="I36" s="190"/>
      <c r="J36" s="191">
        <v>37.74</v>
      </c>
      <c r="K36" s="192">
        <v>318.58000000000004</v>
      </c>
      <c r="L36" s="225"/>
    </row>
    <row r="37" spans="1:12" ht="13.2" customHeight="1" x14ac:dyDescent="0.25">
      <c r="A37" s="185">
        <v>1598127276</v>
      </c>
      <c r="B37" s="186" t="s">
        <v>696</v>
      </c>
      <c r="C37" s="187">
        <v>283.40999999999997</v>
      </c>
      <c r="D37" s="188">
        <v>1.1383000000000001</v>
      </c>
      <c r="E37" s="189">
        <v>41.89</v>
      </c>
      <c r="F37" s="189">
        <v>181.87</v>
      </c>
      <c r="G37" s="189">
        <v>21.934655242966752</v>
      </c>
      <c r="H37" s="189">
        <v>29.25</v>
      </c>
      <c r="I37" s="190"/>
      <c r="J37" s="191">
        <v>37.74</v>
      </c>
      <c r="K37" s="192">
        <v>312.68</v>
      </c>
      <c r="L37" s="225"/>
    </row>
    <row r="38" spans="1:12" ht="13.2" customHeight="1" x14ac:dyDescent="0.25">
      <c r="A38" s="185">
        <v>1508842295</v>
      </c>
      <c r="B38" s="186" t="s">
        <v>145</v>
      </c>
      <c r="C38" s="187">
        <v>284.43</v>
      </c>
      <c r="D38" s="188">
        <v>1.1473</v>
      </c>
      <c r="E38" s="189">
        <v>41.89</v>
      </c>
      <c r="F38" s="189">
        <v>184.84</v>
      </c>
      <c r="G38" s="189">
        <v>32.339220490636038</v>
      </c>
      <c r="H38" s="189">
        <v>29.25</v>
      </c>
      <c r="I38" s="190"/>
      <c r="J38" s="191">
        <v>37.74</v>
      </c>
      <c r="K38" s="192">
        <v>326.06000000000006</v>
      </c>
      <c r="L38" s="225"/>
    </row>
    <row r="39" spans="1:12" ht="13.2" customHeight="1" x14ac:dyDescent="0.25">
      <c r="A39" s="185">
        <v>1639155302</v>
      </c>
      <c r="B39" s="186" t="s">
        <v>146</v>
      </c>
      <c r="C39" s="187">
        <v>280.56</v>
      </c>
      <c r="D39" s="188">
        <v>1.3396999999999999</v>
      </c>
      <c r="E39" s="189">
        <v>41.89</v>
      </c>
      <c r="F39" s="189">
        <v>202.56</v>
      </c>
      <c r="G39" s="189">
        <v>10.744448642841116</v>
      </c>
      <c r="H39" s="189">
        <v>29.25</v>
      </c>
      <c r="I39" s="190"/>
      <c r="J39" s="191">
        <v>37.74</v>
      </c>
      <c r="K39" s="192">
        <v>322.18</v>
      </c>
      <c r="L39" s="225"/>
    </row>
    <row r="40" spans="1:12" ht="13.2" customHeight="1" x14ac:dyDescent="0.25">
      <c r="A40" s="185">
        <v>1346226040</v>
      </c>
      <c r="B40" s="186" t="s">
        <v>147</v>
      </c>
      <c r="C40" s="187">
        <v>276.46000000000004</v>
      </c>
      <c r="D40" s="188">
        <v>1.2255</v>
      </c>
      <c r="E40" s="189">
        <v>41.89</v>
      </c>
      <c r="F40" s="189">
        <v>192.66000000000003</v>
      </c>
      <c r="G40" s="189">
        <v>14.619249280621963</v>
      </c>
      <c r="H40" s="189">
        <v>29.25</v>
      </c>
      <c r="I40" s="190"/>
      <c r="J40" s="191">
        <v>37.74</v>
      </c>
      <c r="K40" s="192">
        <v>316.16000000000003</v>
      </c>
      <c r="L40" s="225"/>
    </row>
    <row r="41" spans="1:12" ht="13.2" customHeight="1" x14ac:dyDescent="0.25">
      <c r="A41" s="185">
        <v>1730722240</v>
      </c>
      <c r="B41" s="186" t="s">
        <v>148</v>
      </c>
      <c r="C41" s="187">
        <v>292.78999999999996</v>
      </c>
      <c r="D41" s="188">
        <v>1.1871</v>
      </c>
      <c r="E41" s="189">
        <v>41.89</v>
      </c>
      <c r="F41" s="189">
        <v>188.4</v>
      </c>
      <c r="G41" s="189">
        <v>34.237961328201706</v>
      </c>
      <c r="H41" s="189">
        <v>29.25</v>
      </c>
      <c r="I41" s="190"/>
      <c r="J41" s="191">
        <v>37.74</v>
      </c>
      <c r="K41" s="192">
        <v>331.52000000000004</v>
      </c>
      <c r="L41" s="225"/>
    </row>
    <row r="42" spans="1:12" ht="13.2" customHeight="1" x14ac:dyDescent="0.25">
      <c r="A42" s="185">
        <v>1528044294</v>
      </c>
      <c r="B42" s="186" t="s">
        <v>149</v>
      </c>
      <c r="C42" s="187">
        <v>279.96000000000004</v>
      </c>
      <c r="D42" s="188">
        <v>1.2585</v>
      </c>
      <c r="E42" s="189">
        <v>41.89</v>
      </c>
      <c r="F42" s="189">
        <v>196.37</v>
      </c>
      <c r="G42" s="189">
        <v>21.970246158173161</v>
      </c>
      <c r="H42" s="189">
        <v>29.25</v>
      </c>
      <c r="I42" s="190"/>
      <c r="J42" s="191">
        <v>37.74</v>
      </c>
      <c r="K42" s="192">
        <v>327.22000000000003</v>
      </c>
      <c r="L42" s="225"/>
    </row>
    <row r="43" spans="1:12" ht="13.2" customHeight="1" x14ac:dyDescent="0.25">
      <c r="A43" s="185">
        <v>1962052498</v>
      </c>
      <c r="B43" s="186" t="s">
        <v>253</v>
      </c>
      <c r="C43" s="187">
        <v>267.94</v>
      </c>
      <c r="D43" s="188">
        <v>1.2516</v>
      </c>
      <c r="E43" s="189">
        <v>41.89</v>
      </c>
      <c r="F43" s="189">
        <v>193.65</v>
      </c>
      <c r="G43" s="189">
        <v>9.7717980816779182</v>
      </c>
      <c r="H43" s="189">
        <v>29.25</v>
      </c>
      <c r="I43" s="190"/>
      <c r="J43" s="191">
        <v>37.74</v>
      </c>
      <c r="K43" s="192">
        <v>312.3</v>
      </c>
      <c r="L43" s="225"/>
    </row>
    <row r="44" spans="1:12" ht="13.2" customHeight="1" x14ac:dyDescent="0.25">
      <c r="A44" s="185">
        <v>1871143305</v>
      </c>
      <c r="B44" s="186" t="s">
        <v>123</v>
      </c>
      <c r="C44" s="187">
        <v>267.01</v>
      </c>
      <c r="D44" s="188">
        <v>1.2354000000000001</v>
      </c>
      <c r="E44" s="189">
        <v>41.89</v>
      </c>
      <c r="F44" s="189">
        <v>192.19</v>
      </c>
      <c r="G44" s="189">
        <v>9.078925360977177</v>
      </c>
      <c r="H44" s="189">
        <v>29.25</v>
      </c>
      <c r="I44" s="190"/>
      <c r="J44" s="191">
        <v>37.74</v>
      </c>
      <c r="K44" s="192">
        <v>310.14999999999998</v>
      </c>
      <c r="L44" s="225"/>
    </row>
    <row r="45" spans="1:12" ht="13.2" customHeight="1" x14ac:dyDescent="0.25">
      <c r="A45" s="185">
        <v>1225688757</v>
      </c>
      <c r="B45" s="186" t="s">
        <v>254</v>
      </c>
      <c r="C45" s="187">
        <v>277.8</v>
      </c>
      <c r="D45" s="188">
        <v>1.333</v>
      </c>
      <c r="E45" s="189">
        <v>41.89</v>
      </c>
      <c r="F45" s="189">
        <v>199.68</v>
      </c>
      <c r="G45" s="189">
        <v>8.9282176952748351</v>
      </c>
      <c r="H45" s="189">
        <v>29.25</v>
      </c>
      <c r="I45" s="190"/>
      <c r="J45" s="191">
        <v>37.74</v>
      </c>
      <c r="K45" s="192">
        <v>317.49</v>
      </c>
      <c r="L45" s="225"/>
    </row>
    <row r="46" spans="1:12" ht="13.2" customHeight="1" x14ac:dyDescent="0.25">
      <c r="A46" s="185">
        <v>1841840378</v>
      </c>
      <c r="B46" s="186" t="s">
        <v>133</v>
      </c>
      <c r="C46" s="187">
        <v>273.46999999999997</v>
      </c>
      <c r="D46" s="188">
        <v>1.2382</v>
      </c>
      <c r="E46" s="189">
        <v>41.89</v>
      </c>
      <c r="F46" s="189">
        <v>192.02</v>
      </c>
      <c r="G46" s="189">
        <v>8.8328269045323058</v>
      </c>
      <c r="H46" s="189">
        <v>29.25</v>
      </c>
      <c r="I46" s="190"/>
      <c r="J46" s="191">
        <v>37.74</v>
      </c>
      <c r="K46" s="192">
        <v>309.73</v>
      </c>
      <c r="L46" s="225"/>
    </row>
    <row r="47" spans="1:12" ht="13.2" customHeight="1" x14ac:dyDescent="0.25">
      <c r="A47" s="185">
        <v>1760032296</v>
      </c>
      <c r="B47" s="186" t="s">
        <v>134</v>
      </c>
      <c r="C47" s="187">
        <v>271.44</v>
      </c>
      <c r="D47" s="188">
        <v>1.2517</v>
      </c>
      <c r="E47" s="189">
        <v>41.89</v>
      </c>
      <c r="F47" s="189">
        <v>191.29</v>
      </c>
      <c r="G47" s="189">
        <v>8.7374361137897782</v>
      </c>
      <c r="H47" s="189">
        <v>29.25</v>
      </c>
      <c r="I47" s="190"/>
      <c r="J47" s="191">
        <v>37.74</v>
      </c>
      <c r="K47" s="192">
        <v>308.91000000000003</v>
      </c>
      <c r="L47" s="225"/>
    </row>
    <row r="48" spans="1:12" ht="13.2" customHeight="1" x14ac:dyDescent="0.25">
      <c r="A48" s="185">
        <v>1295723377</v>
      </c>
      <c r="B48" s="186" t="s">
        <v>156</v>
      </c>
      <c r="C48" s="187">
        <v>257.87</v>
      </c>
      <c r="D48" s="188">
        <v>1.2542</v>
      </c>
      <c r="E48" s="189">
        <v>41.89</v>
      </c>
      <c r="F48" s="189">
        <v>190.9</v>
      </c>
      <c r="G48" s="189">
        <v>25.167390007232402</v>
      </c>
      <c r="H48" s="189">
        <v>0</v>
      </c>
      <c r="I48" s="190"/>
      <c r="J48" s="191">
        <v>37.74</v>
      </c>
      <c r="K48" s="192">
        <v>295.70000000000005</v>
      </c>
      <c r="L48" s="225"/>
    </row>
    <row r="49" spans="1:12" ht="13.2" customHeight="1" x14ac:dyDescent="0.25">
      <c r="A49" s="185">
        <v>1649254582</v>
      </c>
      <c r="B49" s="186" t="s">
        <v>150</v>
      </c>
      <c r="C49" s="187">
        <v>301.73</v>
      </c>
      <c r="D49" s="188">
        <v>1.2831999999999999</v>
      </c>
      <c r="E49" s="189">
        <v>41.89</v>
      </c>
      <c r="F49" s="189">
        <v>198.92</v>
      </c>
      <c r="G49" s="189">
        <v>40.911980838958605</v>
      </c>
      <c r="H49" s="189">
        <v>29.25</v>
      </c>
      <c r="I49" s="190"/>
      <c r="J49" s="191">
        <v>37.74</v>
      </c>
      <c r="K49" s="192">
        <v>348.71000000000004</v>
      </c>
      <c r="L49" s="225"/>
    </row>
    <row r="50" spans="1:12" ht="13.2" customHeight="1" x14ac:dyDescent="0.25">
      <c r="A50" s="185">
        <v>1316512346</v>
      </c>
      <c r="B50" s="186" t="s">
        <v>151</v>
      </c>
      <c r="C50" s="187">
        <v>292.13</v>
      </c>
      <c r="D50" s="188">
        <v>1.2722</v>
      </c>
      <c r="E50" s="189">
        <v>41.89</v>
      </c>
      <c r="F50" s="189">
        <v>195.93</v>
      </c>
      <c r="G50" s="189">
        <v>26.614187006210258</v>
      </c>
      <c r="H50" s="189">
        <v>29.25</v>
      </c>
      <c r="I50" s="190"/>
      <c r="J50" s="191">
        <v>37.74</v>
      </c>
      <c r="K50" s="192">
        <v>331.42</v>
      </c>
      <c r="L50" s="225"/>
    </row>
    <row r="51" spans="1:12" ht="13.2" customHeight="1" x14ac:dyDescent="0.25">
      <c r="A51" s="185">
        <v>1992724157</v>
      </c>
      <c r="B51" s="186" t="s">
        <v>153</v>
      </c>
      <c r="C51" s="187">
        <v>269.46000000000004</v>
      </c>
      <c r="D51" s="188">
        <v>1.1694</v>
      </c>
      <c r="E51" s="189">
        <v>41.89</v>
      </c>
      <c r="F51" s="189">
        <v>187.94</v>
      </c>
      <c r="G51" s="189">
        <v>13.235653134040462</v>
      </c>
      <c r="H51" s="189">
        <v>29.25</v>
      </c>
      <c r="I51" s="190"/>
      <c r="J51" s="191">
        <v>37.74</v>
      </c>
      <c r="K51" s="192">
        <v>310.06</v>
      </c>
      <c r="L51" s="225"/>
    </row>
    <row r="52" spans="1:12" ht="13.2" customHeight="1" x14ac:dyDescent="0.25">
      <c r="A52" s="185">
        <v>1578059085</v>
      </c>
      <c r="B52" s="186" t="s">
        <v>617</v>
      </c>
      <c r="C52" s="187">
        <v>274.63</v>
      </c>
      <c r="D52" s="188">
        <v>1.2095</v>
      </c>
      <c r="E52" s="189">
        <v>41.89</v>
      </c>
      <c r="F52" s="189">
        <v>190.19</v>
      </c>
      <c r="G52" s="189">
        <v>15.009849648123296</v>
      </c>
      <c r="H52" s="189">
        <v>29.25</v>
      </c>
      <c r="I52" s="190"/>
      <c r="J52" s="191">
        <v>37.74</v>
      </c>
      <c r="K52" s="192">
        <v>314.08</v>
      </c>
      <c r="L52" s="225"/>
    </row>
    <row r="53" spans="1:12" ht="13.2" customHeight="1" x14ac:dyDescent="0.25">
      <c r="A53" s="185">
        <v>1114480233</v>
      </c>
      <c r="B53" s="186" t="s">
        <v>251</v>
      </c>
      <c r="C53" s="187">
        <v>281.51</v>
      </c>
      <c r="D53" s="188">
        <v>1.2856000000000001</v>
      </c>
      <c r="E53" s="189">
        <v>41.89</v>
      </c>
      <c r="F53" s="189">
        <v>197.65</v>
      </c>
      <c r="G53" s="189">
        <v>19.392467733847617</v>
      </c>
      <c r="H53" s="189">
        <v>29.25</v>
      </c>
      <c r="I53" s="190"/>
      <c r="J53" s="191">
        <v>37.74</v>
      </c>
      <c r="K53" s="192">
        <v>325.92</v>
      </c>
      <c r="L53" s="225"/>
    </row>
    <row r="54" spans="1:12" ht="13.2" customHeight="1" x14ac:dyDescent="0.25">
      <c r="A54" s="185">
        <v>1689147035</v>
      </c>
      <c r="B54" s="186" t="s">
        <v>125</v>
      </c>
      <c r="C54" s="187">
        <v>268.60000000000002</v>
      </c>
      <c r="D54" s="188">
        <v>1.2156</v>
      </c>
      <c r="E54" s="189">
        <v>41.89</v>
      </c>
      <c r="F54" s="189">
        <v>191.92000000000002</v>
      </c>
      <c r="G54" s="189">
        <v>11.006088522179384</v>
      </c>
      <c r="H54" s="189">
        <v>29.25</v>
      </c>
      <c r="I54" s="190"/>
      <c r="J54" s="191">
        <v>37.74</v>
      </c>
      <c r="K54" s="192">
        <v>311.81</v>
      </c>
      <c r="L54" s="225"/>
    </row>
    <row r="55" spans="1:12" ht="13.2" customHeight="1" x14ac:dyDescent="0.25">
      <c r="A55" s="185" t="s">
        <v>785</v>
      </c>
      <c r="B55" s="186" t="s">
        <v>786</v>
      </c>
      <c r="C55" s="187">
        <v>277.19</v>
      </c>
      <c r="D55" s="188">
        <v>1.3240000000000001</v>
      </c>
      <c r="E55" s="189">
        <v>41.89</v>
      </c>
      <c r="F55" s="189">
        <v>199.28</v>
      </c>
      <c r="G55" s="189">
        <v>27.915151856373349</v>
      </c>
      <c r="H55" s="189">
        <v>9.4499999999999993</v>
      </c>
      <c r="I55" s="190"/>
      <c r="J55" s="191">
        <v>37.74</v>
      </c>
      <c r="K55" s="192">
        <v>316.28000000000003</v>
      </c>
      <c r="L55" s="225"/>
    </row>
    <row r="56" spans="1:12" ht="13.2" customHeight="1" x14ac:dyDescent="0.25">
      <c r="A56" s="185">
        <v>1407574981</v>
      </c>
      <c r="B56" s="186" t="s">
        <v>787</v>
      </c>
      <c r="C56" s="187">
        <v>267.21000000000004</v>
      </c>
      <c r="D56" s="188">
        <v>1.1569</v>
      </c>
      <c r="E56" s="189">
        <v>41.89</v>
      </c>
      <c r="F56" s="189">
        <v>185.76</v>
      </c>
      <c r="G56" s="189">
        <v>8.7374361137897765</v>
      </c>
      <c r="H56" s="189">
        <v>29.25</v>
      </c>
      <c r="I56" s="190"/>
      <c r="J56" s="191">
        <v>37.74</v>
      </c>
      <c r="K56" s="192">
        <v>303.38</v>
      </c>
      <c r="L56" s="225"/>
    </row>
    <row r="57" spans="1:12" ht="13.2" customHeight="1" x14ac:dyDescent="0.25">
      <c r="A57" s="185" t="s">
        <v>788</v>
      </c>
      <c r="B57" s="186" t="s">
        <v>428</v>
      </c>
      <c r="C57" s="187">
        <v>282.68</v>
      </c>
      <c r="D57" s="188">
        <v>1.2115</v>
      </c>
      <c r="E57" s="189">
        <v>41.89</v>
      </c>
      <c r="F57" s="189">
        <v>190.09</v>
      </c>
      <c r="G57" s="189">
        <v>17.037921407907472</v>
      </c>
      <c r="H57" s="189">
        <v>29.25</v>
      </c>
      <c r="I57" s="190"/>
      <c r="J57" s="191">
        <v>37.74</v>
      </c>
      <c r="K57" s="192">
        <v>316.01000000000005</v>
      </c>
      <c r="L57" s="225"/>
    </row>
    <row r="58" spans="1:12" ht="13.2" customHeight="1" x14ac:dyDescent="0.25">
      <c r="A58" s="185">
        <v>1336602358</v>
      </c>
      <c r="B58" s="186" t="s">
        <v>289</v>
      </c>
      <c r="C58" s="187">
        <v>272.60000000000002</v>
      </c>
      <c r="D58" s="188">
        <v>1.1579999999999999</v>
      </c>
      <c r="E58" s="189">
        <v>41.89</v>
      </c>
      <c r="F58" s="189">
        <v>186.89000000000001</v>
      </c>
      <c r="G58" s="189">
        <v>23.554795390549632</v>
      </c>
      <c r="H58" s="189">
        <v>29.25</v>
      </c>
      <c r="I58" s="190"/>
      <c r="J58" s="191">
        <v>37.74</v>
      </c>
      <c r="K58" s="192">
        <v>319.32</v>
      </c>
      <c r="L58" s="225"/>
    </row>
    <row r="59" spans="1:12" ht="13.2" customHeight="1" x14ac:dyDescent="0.25">
      <c r="A59" s="185">
        <v>1215400668</v>
      </c>
      <c r="B59" s="186" t="s">
        <v>159</v>
      </c>
      <c r="C59" s="187">
        <v>267.06</v>
      </c>
      <c r="D59" s="188">
        <v>1.1649</v>
      </c>
      <c r="E59" s="189">
        <v>41.89</v>
      </c>
      <c r="F59" s="189">
        <v>186.79999999999998</v>
      </c>
      <c r="G59" s="189">
        <v>17.0689221190935</v>
      </c>
      <c r="H59" s="189">
        <v>29.25</v>
      </c>
      <c r="I59" s="190"/>
      <c r="J59" s="191">
        <v>37.74</v>
      </c>
      <c r="K59" s="192">
        <v>312.75</v>
      </c>
      <c r="L59" s="225"/>
    </row>
    <row r="60" spans="1:12" ht="13.2" customHeight="1" x14ac:dyDescent="0.25">
      <c r="A60" s="185" t="s">
        <v>789</v>
      </c>
      <c r="B60" s="186" t="s">
        <v>416</v>
      </c>
      <c r="C60" s="187">
        <v>274.93</v>
      </c>
      <c r="D60" s="188">
        <v>1.1304000000000001</v>
      </c>
      <c r="E60" s="189">
        <v>41.89</v>
      </c>
      <c r="F60" s="189">
        <v>184.02</v>
      </c>
      <c r="G60" s="189">
        <v>18.888599228543917</v>
      </c>
      <c r="H60" s="189">
        <v>29.25</v>
      </c>
      <c r="I60" s="190"/>
      <c r="J60" s="191">
        <v>37.74</v>
      </c>
      <c r="K60" s="192">
        <v>311.79000000000002</v>
      </c>
      <c r="L60" s="225"/>
    </row>
    <row r="61" spans="1:12" ht="13.2" customHeight="1" x14ac:dyDescent="0.25">
      <c r="A61" s="185">
        <v>1548293988</v>
      </c>
      <c r="B61" s="186" t="s">
        <v>720</v>
      </c>
      <c r="C61" s="187">
        <v>322.91000000000003</v>
      </c>
      <c r="D61" s="188">
        <v>1.5389999999999999</v>
      </c>
      <c r="E61" s="189">
        <v>41.89</v>
      </c>
      <c r="F61" s="189">
        <v>212.69</v>
      </c>
      <c r="G61" s="189">
        <v>40.970235697000874</v>
      </c>
      <c r="H61" s="189">
        <v>29.25</v>
      </c>
      <c r="I61" s="190"/>
      <c r="J61" s="191">
        <v>37.74</v>
      </c>
      <c r="K61" s="192">
        <v>362.53999999999996</v>
      </c>
      <c r="L61" s="225"/>
    </row>
    <row r="62" spans="1:12" ht="13.2" customHeight="1" x14ac:dyDescent="0.25">
      <c r="A62" s="185">
        <v>1174608350</v>
      </c>
      <c r="B62" s="186" t="s">
        <v>154</v>
      </c>
      <c r="C62" s="187">
        <v>280.78999999999996</v>
      </c>
      <c r="D62" s="188">
        <v>1.2846</v>
      </c>
      <c r="E62" s="189">
        <v>41.89</v>
      </c>
      <c r="F62" s="189">
        <v>197.2</v>
      </c>
      <c r="G62" s="189">
        <v>13.9262021793635</v>
      </c>
      <c r="H62" s="189">
        <v>29.25</v>
      </c>
      <c r="I62" s="190"/>
      <c r="J62" s="191">
        <v>37.74</v>
      </c>
      <c r="K62" s="192">
        <v>320.01</v>
      </c>
      <c r="L62" s="225"/>
    </row>
    <row r="63" spans="1:12" ht="13.2" customHeight="1" x14ac:dyDescent="0.25">
      <c r="A63" s="185">
        <v>1225524747</v>
      </c>
      <c r="B63" s="186" t="s">
        <v>633</v>
      </c>
      <c r="C63" s="187">
        <v>280.34000000000003</v>
      </c>
      <c r="D63" s="188">
        <v>1.1644000000000001</v>
      </c>
      <c r="E63" s="189">
        <v>41.89</v>
      </c>
      <c r="F63" s="189">
        <v>185.70000000000002</v>
      </c>
      <c r="G63" s="189">
        <v>25.653167399951808</v>
      </c>
      <c r="H63" s="189">
        <v>29.25</v>
      </c>
      <c r="I63" s="190"/>
      <c r="J63" s="191">
        <v>37.74</v>
      </c>
      <c r="K63" s="192">
        <v>320.22999999999996</v>
      </c>
      <c r="L63" s="225"/>
    </row>
    <row r="64" spans="1:12" ht="13.2" customHeight="1" x14ac:dyDescent="0.25">
      <c r="A64" s="185">
        <v>1295704997</v>
      </c>
      <c r="B64" s="186" t="s">
        <v>318</v>
      </c>
      <c r="C64" s="187">
        <v>293.33</v>
      </c>
      <c r="D64" s="188">
        <v>1.1867000000000001</v>
      </c>
      <c r="E64" s="189">
        <v>41.89</v>
      </c>
      <c r="F64" s="189">
        <v>189.04</v>
      </c>
      <c r="G64" s="189">
        <v>26.746199049976358</v>
      </c>
      <c r="H64" s="189">
        <v>29.25</v>
      </c>
      <c r="I64" s="190"/>
      <c r="J64" s="191">
        <v>37.74</v>
      </c>
      <c r="K64" s="192">
        <v>324.67</v>
      </c>
      <c r="L64" s="225"/>
    </row>
    <row r="65" spans="1:12" ht="13.2" customHeight="1" x14ac:dyDescent="0.25">
      <c r="A65" s="185">
        <v>1063919652</v>
      </c>
      <c r="B65" s="186" t="s">
        <v>608</v>
      </c>
      <c r="C65" s="187">
        <v>277.34000000000003</v>
      </c>
      <c r="D65" s="188">
        <v>1.2571000000000001</v>
      </c>
      <c r="E65" s="189">
        <v>41.89</v>
      </c>
      <c r="F65" s="189">
        <v>195.04</v>
      </c>
      <c r="G65" s="189">
        <v>20.180801735776274</v>
      </c>
      <c r="H65" s="189">
        <v>29.25</v>
      </c>
      <c r="I65" s="190"/>
      <c r="J65" s="191">
        <v>37.74</v>
      </c>
      <c r="K65" s="192">
        <v>324.10000000000002</v>
      </c>
      <c r="L65" s="225"/>
    </row>
    <row r="66" spans="1:12" ht="13.2" customHeight="1" x14ac:dyDescent="0.25">
      <c r="A66" s="185">
        <v>1518435650</v>
      </c>
      <c r="B66" s="186" t="s">
        <v>122</v>
      </c>
      <c r="C66" s="187">
        <v>302.69</v>
      </c>
      <c r="D66" s="188">
        <v>1.1919</v>
      </c>
      <c r="E66" s="189">
        <v>41.89</v>
      </c>
      <c r="F66" s="189">
        <v>190.74</v>
      </c>
      <c r="G66" s="189">
        <v>43.922358008759154</v>
      </c>
      <c r="H66" s="189">
        <v>29.25</v>
      </c>
      <c r="I66" s="190"/>
      <c r="J66" s="191">
        <v>37.74</v>
      </c>
      <c r="K66" s="192">
        <v>343.54</v>
      </c>
      <c r="L66" s="225"/>
    </row>
    <row r="67" spans="1:12" ht="13.2" customHeight="1" x14ac:dyDescent="0.25">
      <c r="A67" s="185">
        <v>1700525300</v>
      </c>
      <c r="B67" s="186" t="s">
        <v>790</v>
      </c>
      <c r="C67" s="187">
        <v>294.10000000000002</v>
      </c>
      <c r="D67" s="188">
        <v>1.3010999999999999</v>
      </c>
      <c r="E67" s="189">
        <v>41.89</v>
      </c>
      <c r="F67" s="189">
        <v>200.14</v>
      </c>
      <c r="G67" s="189">
        <v>26.747861381344581</v>
      </c>
      <c r="H67" s="189">
        <v>29.25</v>
      </c>
      <c r="I67" s="190"/>
      <c r="J67" s="191">
        <v>37.74</v>
      </c>
      <c r="K67" s="192">
        <v>335.77</v>
      </c>
      <c r="L67" s="225"/>
    </row>
    <row r="68" spans="1:12" ht="13.2" customHeight="1" x14ac:dyDescent="0.25">
      <c r="A68" s="185">
        <v>1134868730</v>
      </c>
      <c r="B68" s="186" t="s">
        <v>576</v>
      </c>
      <c r="C68" s="187">
        <v>277.88</v>
      </c>
      <c r="D68" s="188">
        <v>1.2289000000000001</v>
      </c>
      <c r="E68" s="189">
        <v>41.89</v>
      </c>
      <c r="F68" s="189">
        <v>191.67</v>
      </c>
      <c r="G68" s="189">
        <v>19.265683915139782</v>
      </c>
      <c r="H68" s="189">
        <v>29.25</v>
      </c>
      <c r="I68" s="190"/>
      <c r="J68" s="191">
        <v>37.74</v>
      </c>
      <c r="K68" s="192">
        <v>319.82</v>
      </c>
      <c r="L68" s="225"/>
    </row>
    <row r="69" spans="1:12" ht="13.2" customHeight="1" x14ac:dyDescent="0.25">
      <c r="A69" s="185">
        <v>1851030985</v>
      </c>
      <c r="B69" s="186" t="s">
        <v>580</v>
      </c>
      <c r="C69" s="187">
        <v>268.76</v>
      </c>
      <c r="D69" s="188">
        <v>1.3092999999999999</v>
      </c>
      <c r="E69" s="189">
        <v>41.89</v>
      </c>
      <c r="F69" s="189">
        <v>201.54</v>
      </c>
      <c r="G69" s="189">
        <v>19.389539594985564</v>
      </c>
      <c r="H69" s="189">
        <v>9.4499999999999993</v>
      </c>
      <c r="I69" s="190"/>
      <c r="J69" s="191">
        <v>37.74</v>
      </c>
      <c r="K69" s="192">
        <v>310.01</v>
      </c>
      <c r="L69" s="225"/>
    </row>
    <row r="70" spans="1:12" ht="13.2" customHeight="1" x14ac:dyDescent="0.25">
      <c r="A70" s="185">
        <v>1487393088</v>
      </c>
      <c r="B70" s="186" t="s">
        <v>577</v>
      </c>
      <c r="C70" s="187">
        <v>291.23</v>
      </c>
      <c r="D70" s="188">
        <v>1.2552000000000001</v>
      </c>
      <c r="E70" s="189">
        <v>41.89</v>
      </c>
      <c r="F70" s="189">
        <v>197.8</v>
      </c>
      <c r="G70" s="189">
        <v>26.772097706123436</v>
      </c>
      <c r="H70" s="189">
        <v>29.25</v>
      </c>
      <c r="I70" s="190"/>
      <c r="J70" s="191">
        <v>37.74</v>
      </c>
      <c r="K70" s="192">
        <v>333.45</v>
      </c>
      <c r="L70" s="225"/>
    </row>
    <row r="71" spans="1:12" ht="13.2" customHeight="1" x14ac:dyDescent="0.25">
      <c r="A71" s="185">
        <v>1639818230</v>
      </c>
      <c r="B71" s="186" t="s">
        <v>579</v>
      </c>
      <c r="C71" s="187">
        <v>277.76</v>
      </c>
      <c r="D71" s="188">
        <v>1.2290000000000001</v>
      </c>
      <c r="E71" s="189">
        <v>41.89</v>
      </c>
      <c r="F71" s="189">
        <v>189.77</v>
      </c>
      <c r="G71" s="189">
        <v>20.941213211186096</v>
      </c>
      <c r="H71" s="189">
        <v>29.25</v>
      </c>
      <c r="I71" s="190"/>
      <c r="J71" s="191">
        <v>37.74</v>
      </c>
      <c r="K71" s="192">
        <v>319.59000000000003</v>
      </c>
      <c r="L71" s="225"/>
    </row>
    <row r="72" spans="1:12" ht="13.2" customHeight="1" x14ac:dyDescent="0.25">
      <c r="A72" s="185">
        <v>1184363236</v>
      </c>
      <c r="B72" s="186" t="s">
        <v>582</v>
      </c>
      <c r="C72" s="187">
        <v>285.01</v>
      </c>
      <c r="D72" s="188">
        <v>1.2921</v>
      </c>
      <c r="E72" s="189">
        <v>41.89</v>
      </c>
      <c r="F72" s="189">
        <v>199.12</v>
      </c>
      <c r="G72" s="189">
        <v>20.566759074252609</v>
      </c>
      <c r="H72" s="189">
        <v>29.25</v>
      </c>
      <c r="I72" s="190"/>
      <c r="J72" s="191">
        <v>37.74</v>
      </c>
      <c r="K72" s="192">
        <v>328.57</v>
      </c>
      <c r="L72" s="225"/>
    </row>
    <row r="73" spans="1:12" ht="13.2" customHeight="1" x14ac:dyDescent="0.25">
      <c r="A73" s="185">
        <v>1932606530</v>
      </c>
      <c r="B73" s="186" t="s">
        <v>613</v>
      </c>
      <c r="C73" s="187">
        <v>246.62</v>
      </c>
      <c r="D73" s="188">
        <v>1.1597999999999999</v>
      </c>
      <c r="E73" s="189">
        <v>41.89</v>
      </c>
      <c r="F73" s="189">
        <v>187.07</v>
      </c>
      <c r="G73" s="189">
        <v>10.544253746383772</v>
      </c>
      <c r="H73" s="189">
        <v>9.4499999999999993</v>
      </c>
      <c r="I73" s="190"/>
      <c r="J73" s="191">
        <v>37.74</v>
      </c>
      <c r="K73" s="192">
        <v>286.69000000000005</v>
      </c>
      <c r="L73" s="225"/>
    </row>
    <row r="74" spans="1:12" ht="13.2" customHeight="1" x14ac:dyDescent="0.25">
      <c r="A74" s="185">
        <v>1508505660</v>
      </c>
      <c r="B74" s="186" t="s">
        <v>585</v>
      </c>
      <c r="C74" s="187">
        <v>272.52</v>
      </c>
      <c r="D74" s="188">
        <v>1.2450000000000001</v>
      </c>
      <c r="E74" s="189">
        <v>41.89</v>
      </c>
      <c r="F74" s="189">
        <v>194.6</v>
      </c>
      <c r="G74" s="189">
        <v>12.337574108003851</v>
      </c>
      <c r="H74" s="189">
        <v>29.25</v>
      </c>
      <c r="I74" s="190"/>
      <c r="J74" s="191">
        <v>37.74</v>
      </c>
      <c r="K74" s="192">
        <v>315.82</v>
      </c>
      <c r="L74" s="225"/>
    </row>
    <row r="75" spans="1:12" ht="13.2" customHeight="1" x14ac:dyDescent="0.25">
      <c r="A75" s="185">
        <v>1205575511</v>
      </c>
      <c r="B75" s="186" t="s">
        <v>588</v>
      </c>
      <c r="C75" s="187">
        <v>292.87</v>
      </c>
      <c r="D75" s="188">
        <v>1.3347</v>
      </c>
      <c r="E75" s="189">
        <v>41.89</v>
      </c>
      <c r="F75" s="189">
        <v>197.32000000000002</v>
      </c>
      <c r="G75" s="189">
        <v>27.96996695998066</v>
      </c>
      <c r="H75" s="189">
        <v>29.25</v>
      </c>
      <c r="I75" s="190"/>
      <c r="J75" s="191">
        <v>37.74</v>
      </c>
      <c r="K75" s="192">
        <v>334.16999999999996</v>
      </c>
      <c r="L75" s="225"/>
    </row>
    <row r="76" spans="1:12" ht="13.2" customHeight="1" x14ac:dyDescent="0.25">
      <c r="A76" s="185">
        <v>1215653324</v>
      </c>
      <c r="B76" s="186" t="s">
        <v>707</v>
      </c>
      <c r="C76" s="187">
        <v>284.87</v>
      </c>
      <c r="D76" s="188">
        <v>1.2419</v>
      </c>
      <c r="E76" s="189">
        <v>41.89</v>
      </c>
      <c r="F76" s="189">
        <v>194.76</v>
      </c>
      <c r="G76" s="189">
        <v>23.972755563693386</v>
      </c>
      <c r="H76" s="189">
        <v>29.25</v>
      </c>
      <c r="I76" s="190"/>
      <c r="J76" s="191">
        <v>37.74</v>
      </c>
      <c r="K76" s="192">
        <v>327.61</v>
      </c>
      <c r="L76" s="225"/>
    </row>
    <row r="77" spans="1:12" ht="13.2" customHeight="1" x14ac:dyDescent="0.25">
      <c r="A77" s="193">
        <v>1417696576</v>
      </c>
      <c r="B77" s="186" t="s">
        <v>587</v>
      </c>
      <c r="C77" s="187">
        <v>287.04000000000002</v>
      </c>
      <c r="D77" s="188">
        <v>1.2871999999999999</v>
      </c>
      <c r="E77" s="189">
        <v>41.89</v>
      </c>
      <c r="F77" s="189">
        <v>199.5</v>
      </c>
      <c r="G77" s="189">
        <v>16.733422131147581</v>
      </c>
      <c r="H77" s="189">
        <v>29.25</v>
      </c>
      <c r="I77" s="190"/>
      <c r="J77" s="191">
        <v>37.74</v>
      </c>
      <c r="K77" s="192">
        <v>325.11</v>
      </c>
      <c r="L77" s="225"/>
    </row>
    <row r="78" spans="1:12" ht="13.2" customHeight="1" x14ac:dyDescent="0.25">
      <c r="A78" s="185">
        <v>1457090128</v>
      </c>
      <c r="B78" s="186" t="s">
        <v>589</v>
      </c>
      <c r="C78" s="187">
        <v>282.89</v>
      </c>
      <c r="D78" s="188">
        <v>1.2677</v>
      </c>
      <c r="E78" s="189">
        <v>41.89</v>
      </c>
      <c r="F78" s="189">
        <v>195.96</v>
      </c>
      <c r="G78" s="189">
        <v>17.000552947203484</v>
      </c>
      <c r="H78" s="189">
        <v>29.25</v>
      </c>
      <c r="I78" s="190"/>
      <c r="J78" s="191">
        <v>37.74</v>
      </c>
      <c r="K78" s="192">
        <v>321.84000000000003</v>
      </c>
      <c r="L78" s="225"/>
    </row>
    <row r="79" spans="1:12" ht="13.2" customHeight="1" x14ac:dyDescent="0.25">
      <c r="A79" s="185">
        <v>1609515378</v>
      </c>
      <c r="B79" s="186" t="s">
        <v>758</v>
      </c>
      <c r="C79" s="187">
        <v>282.92</v>
      </c>
      <c r="D79" s="188">
        <v>1.3161</v>
      </c>
      <c r="E79" s="189">
        <v>41.89</v>
      </c>
      <c r="F79" s="189">
        <v>199.05</v>
      </c>
      <c r="G79" s="189">
        <v>15.543049722757907</v>
      </c>
      <c r="H79" s="189">
        <v>29.25</v>
      </c>
      <c r="I79" s="190"/>
      <c r="J79" s="191">
        <v>37.74</v>
      </c>
      <c r="K79" s="192">
        <v>323.47000000000003</v>
      </c>
      <c r="L79" s="225"/>
    </row>
    <row r="80" spans="1:12" ht="13.2" customHeight="1" x14ac:dyDescent="0.25">
      <c r="A80" s="185">
        <v>1225777998</v>
      </c>
      <c r="B80" s="186" t="s">
        <v>741</v>
      </c>
      <c r="C80" s="187">
        <v>257.45</v>
      </c>
      <c r="D80" s="188">
        <v>1.2459</v>
      </c>
      <c r="E80" s="189">
        <v>41.89</v>
      </c>
      <c r="F80" s="189">
        <v>195.77</v>
      </c>
      <c r="G80" s="189">
        <v>16.719502814609399</v>
      </c>
      <c r="H80" s="189">
        <v>9.4499999999999993</v>
      </c>
      <c r="I80" s="190"/>
      <c r="J80" s="191">
        <v>37.74</v>
      </c>
      <c r="K80" s="192">
        <v>301.57000000000005</v>
      </c>
      <c r="L80" s="225"/>
    </row>
    <row r="81" spans="1:12" ht="13.2" customHeight="1" x14ac:dyDescent="0.25">
      <c r="A81" s="185">
        <v>1538808340</v>
      </c>
      <c r="B81" s="186" t="s">
        <v>578</v>
      </c>
      <c r="C81" s="187">
        <v>295.71000000000004</v>
      </c>
      <c r="D81" s="188">
        <v>1.4631000000000001</v>
      </c>
      <c r="E81" s="189">
        <v>41.89</v>
      </c>
      <c r="F81" s="189">
        <v>215.05</v>
      </c>
      <c r="G81" s="189">
        <v>17.092584233678348</v>
      </c>
      <c r="H81" s="189">
        <v>29.25</v>
      </c>
      <c r="I81" s="190"/>
      <c r="J81" s="191">
        <v>37.74</v>
      </c>
      <c r="K81" s="192">
        <v>341.02</v>
      </c>
      <c r="L81" s="225"/>
    </row>
    <row r="82" spans="1:12" ht="13.2" customHeight="1" x14ac:dyDescent="0.25">
      <c r="A82" s="185">
        <v>1114666427</v>
      </c>
      <c r="B82" s="186" t="s">
        <v>575</v>
      </c>
      <c r="C82" s="187">
        <v>287.95999999999998</v>
      </c>
      <c r="D82" s="188">
        <v>1.2895000000000001</v>
      </c>
      <c r="E82" s="189">
        <v>41.89</v>
      </c>
      <c r="F82" s="189">
        <v>198.38</v>
      </c>
      <c r="G82" s="189">
        <v>19.336758283510132</v>
      </c>
      <c r="H82" s="189">
        <v>29.25</v>
      </c>
      <c r="I82" s="190"/>
      <c r="J82" s="191">
        <v>37.74</v>
      </c>
      <c r="K82" s="192">
        <v>326.59999999999997</v>
      </c>
      <c r="L82" s="225"/>
    </row>
    <row r="83" spans="1:12" ht="13.2" customHeight="1" x14ac:dyDescent="0.25">
      <c r="A83" s="185">
        <v>1518606664</v>
      </c>
      <c r="B83" s="186" t="s">
        <v>583</v>
      </c>
      <c r="C83" s="187">
        <v>292.15999999999997</v>
      </c>
      <c r="D83" s="188">
        <v>1.3214999999999999</v>
      </c>
      <c r="E83" s="189">
        <v>41.89</v>
      </c>
      <c r="F83" s="189">
        <v>202.38</v>
      </c>
      <c r="G83" s="189">
        <v>19.75352579011507</v>
      </c>
      <c r="H83" s="189">
        <v>29.25</v>
      </c>
      <c r="I83" s="190"/>
      <c r="J83" s="191">
        <v>37.74</v>
      </c>
      <c r="K83" s="192">
        <v>331.01</v>
      </c>
      <c r="L83" s="225"/>
    </row>
    <row r="84" spans="1:12" ht="13.2" customHeight="1" x14ac:dyDescent="0.25">
      <c r="A84" s="185">
        <v>1598233645</v>
      </c>
      <c r="B84" s="186" t="s">
        <v>128</v>
      </c>
      <c r="C84" s="187">
        <v>285.07</v>
      </c>
      <c r="D84" s="188">
        <v>1.1816</v>
      </c>
      <c r="E84" s="189">
        <v>41.89</v>
      </c>
      <c r="F84" s="189">
        <v>188.6</v>
      </c>
      <c r="G84" s="189">
        <v>30.452010446779649</v>
      </c>
      <c r="H84" s="189">
        <v>29.25</v>
      </c>
      <c r="I84" s="190"/>
      <c r="J84" s="191">
        <v>37.74</v>
      </c>
      <c r="K84" s="192">
        <v>327.93</v>
      </c>
      <c r="L84" s="225"/>
    </row>
    <row r="85" spans="1:12" ht="13.2" customHeight="1" x14ac:dyDescent="0.25">
      <c r="A85" s="185">
        <v>1659849701</v>
      </c>
      <c r="B85" s="186" t="s">
        <v>129</v>
      </c>
      <c r="C85" s="187">
        <v>279.39999999999998</v>
      </c>
      <c r="D85" s="188">
        <v>1.2791999999999999</v>
      </c>
      <c r="E85" s="189">
        <v>41.89</v>
      </c>
      <c r="F85" s="189">
        <v>199.76000000000002</v>
      </c>
      <c r="G85" s="189">
        <v>19.221413172613325</v>
      </c>
      <c r="H85" s="189">
        <v>29.25</v>
      </c>
      <c r="I85" s="190"/>
      <c r="J85" s="191">
        <v>37.74</v>
      </c>
      <c r="K85" s="192">
        <v>327.86</v>
      </c>
      <c r="L85" s="225"/>
    </row>
    <row r="86" spans="1:12" ht="13.2" customHeight="1" x14ac:dyDescent="0.25">
      <c r="A86" s="185">
        <v>1013656156</v>
      </c>
      <c r="B86" s="186" t="s">
        <v>581</v>
      </c>
      <c r="C86" s="187">
        <v>292.26</v>
      </c>
      <c r="D86" s="188">
        <v>1.3092999999999999</v>
      </c>
      <c r="E86" s="189">
        <v>41.89</v>
      </c>
      <c r="F86" s="189">
        <v>202.21</v>
      </c>
      <c r="G86" s="189">
        <v>13.517578495660585</v>
      </c>
      <c r="H86" s="189">
        <v>29.25</v>
      </c>
      <c r="I86" s="190"/>
      <c r="J86" s="191">
        <v>37.74</v>
      </c>
      <c r="K86" s="192">
        <v>324.61</v>
      </c>
      <c r="L86" s="225"/>
    </row>
    <row r="87" spans="1:12" ht="13.2" customHeight="1" x14ac:dyDescent="0.25">
      <c r="A87" s="185">
        <v>1205357878</v>
      </c>
      <c r="B87" s="186" t="s">
        <v>616</v>
      </c>
      <c r="C87" s="187">
        <v>281.77999999999997</v>
      </c>
      <c r="D87" s="188">
        <v>1.3620000000000001</v>
      </c>
      <c r="E87" s="189">
        <v>41.89</v>
      </c>
      <c r="F87" s="189">
        <v>198.52</v>
      </c>
      <c r="G87" s="189">
        <v>20.479171959461894</v>
      </c>
      <c r="H87" s="189">
        <v>29.25</v>
      </c>
      <c r="I87" s="190"/>
      <c r="J87" s="191">
        <v>37.74</v>
      </c>
      <c r="K87" s="192">
        <v>327.88000000000005</v>
      </c>
      <c r="L87" s="225"/>
    </row>
    <row r="88" spans="1:12" ht="13.2" customHeight="1" x14ac:dyDescent="0.25">
      <c r="A88" s="185">
        <v>1255070306</v>
      </c>
      <c r="B88" s="186" t="s">
        <v>586</v>
      </c>
      <c r="C88" s="187">
        <v>293.17</v>
      </c>
      <c r="D88" s="188">
        <v>1.3476999999999999</v>
      </c>
      <c r="E88" s="189">
        <v>41.89</v>
      </c>
      <c r="F88" s="189">
        <v>203.49</v>
      </c>
      <c r="G88" s="189">
        <v>28.344390364030868</v>
      </c>
      <c r="H88" s="189">
        <v>29.25</v>
      </c>
      <c r="I88" s="190"/>
      <c r="J88" s="191">
        <v>37.74</v>
      </c>
      <c r="K88" s="192">
        <v>340.71</v>
      </c>
      <c r="L88" s="225"/>
    </row>
    <row r="89" spans="1:12" ht="13.2" customHeight="1" x14ac:dyDescent="0.25">
      <c r="A89" s="185">
        <v>1598262198</v>
      </c>
      <c r="B89" s="186" t="s">
        <v>612</v>
      </c>
      <c r="C89" s="187">
        <v>297.58999999999997</v>
      </c>
      <c r="D89" s="188">
        <v>1.3374999999999999</v>
      </c>
      <c r="E89" s="189">
        <v>41.89</v>
      </c>
      <c r="F89" s="189">
        <v>204.54</v>
      </c>
      <c r="G89" s="189">
        <v>26.278451125048718</v>
      </c>
      <c r="H89" s="189">
        <v>29.25</v>
      </c>
      <c r="I89" s="190"/>
      <c r="J89" s="191">
        <v>37.74</v>
      </c>
      <c r="K89" s="192">
        <v>339.70000000000005</v>
      </c>
      <c r="L89" s="225"/>
    </row>
    <row r="90" spans="1:12" ht="13.2" customHeight="1" x14ac:dyDescent="0.25">
      <c r="A90" s="185">
        <v>1437627593</v>
      </c>
      <c r="B90" s="186" t="s">
        <v>127</v>
      </c>
      <c r="C90" s="187">
        <v>286.63</v>
      </c>
      <c r="D90" s="188">
        <v>1.2567999999999999</v>
      </c>
      <c r="E90" s="189">
        <v>41.89</v>
      </c>
      <c r="F90" s="189">
        <v>195.75</v>
      </c>
      <c r="G90" s="189">
        <v>20.926775313404047</v>
      </c>
      <c r="H90" s="189">
        <v>29.25</v>
      </c>
      <c r="I90" s="190"/>
      <c r="J90" s="191">
        <v>37.74</v>
      </c>
      <c r="K90" s="192">
        <v>325.56</v>
      </c>
      <c r="L90" s="225"/>
    </row>
    <row r="91" spans="1:12" ht="13.2" customHeight="1" x14ac:dyDescent="0.25">
      <c r="A91" s="185">
        <v>1710601653</v>
      </c>
      <c r="B91" s="186" t="s">
        <v>759</v>
      </c>
      <c r="C91" s="187">
        <v>252.71</v>
      </c>
      <c r="D91" s="188">
        <v>1.0608</v>
      </c>
      <c r="E91" s="189">
        <v>41.89</v>
      </c>
      <c r="F91" s="189">
        <v>177.60999999999999</v>
      </c>
      <c r="G91" s="189">
        <v>11.213295231603102</v>
      </c>
      <c r="H91" s="189">
        <v>29.25</v>
      </c>
      <c r="I91" s="190"/>
      <c r="J91" s="191">
        <v>37.74</v>
      </c>
      <c r="K91" s="192">
        <v>297.7</v>
      </c>
      <c r="L91" s="225"/>
    </row>
    <row r="92" spans="1:12" ht="13.2" customHeight="1" x14ac:dyDescent="0.25">
      <c r="A92" s="185">
        <v>1356372650</v>
      </c>
      <c r="B92" s="186" t="s">
        <v>624</v>
      </c>
      <c r="C92" s="187">
        <v>281.05</v>
      </c>
      <c r="D92" s="188">
        <v>1.2466999999999999</v>
      </c>
      <c r="E92" s="189">
        <v>41.89</v>
      </c>
      <c r="F92" s="189">
        <v>191.43</v>
      </c>
      <c r="G92" s="189">
        <v>21.124666790860338</v>
      </c>
      <c r="H92" s="189">
        <v>29.25</v>
      </c>
      <c r="I92" s="190"/>
      <c r="J92" s="191">
        <v>37.74</v>
      </c>
      <c r="K92" s="192">
        <v>321.43</v>
      </c>
      <c r="L92" s="225"/>
    </row>
    <row r="93" spans="1:12" ht="13.2" customHeight="1" x14ac:dyDescent="0.25">
      <c r="A93" s="185">
        <v>1669408969</v>
      </c>
      <c r="B93" s="186" t="s">
        <v>727</v>
      </c>
      <c r="C93" s="187">
        <v>257.39</v>
      </c>
      <c r="D93" s="188">
        <v>1.1620999999999999</v>
      </c>
      <c r="E93" s="189">
        <v>41.89</v>
      </c>
      <c r="F93" s="189">
        <v>185.92000000000002</v>
      </c>
      <c r="G93" s="189">
        <v>21.439938997107046</v>
      </c>
      <c r="H93" s="189">
        <v>9.4499999999999993</v>
      </c>
      <c r="I93" s="190"/>
      <c r="J93" s="191">
        <v>37.74</v>
      </c>
      <c r="K93" s="192">
        <v>296.44</v>
      </c>
      <c r="L93" s="225"/>
    </row>
    <row r="94" spans="1:12" ht="13.2" customHeight="1" x14ac:dyDescent="0.25">
      <c r="A94" s="185">
        <v>1982640785</v>
      </c>
      <c r="B94" s="186" t="s">
        <v>681</v>
      </c>
      <c r="C94" s="187">
        <v>275.29000000000002</v>
      </c>
      <c r="D94" s="188">
        <v>1.2490000000000001</v>
      </c>
      <c r="E94" s="189">
        <v>41.89</v>
      </c>
      <c r="F94" s="189">
        <v>193.22</v>
      </c>
      <c r="G94" s="189">
        <v>10.421424463596894</v>
      </c>
      <c r="H94" s="189">
        <v>29.25</v>
      </c>
      <c r="I94" s="190"/>
      <c r="J94" s="191">
        <v>37.74</v>
      </c>
      <c r="K94" s="192">
        <v>312.52000000000004</v>
      </c>
      <c r="L94" s="225"/>
    </row>
    <row r="95" spans="1:12" ht="13.2" customHeight="1" x14ac:dyDescent="0.25">
      <c r="A95" s="185">
        <v>1083659692</v>
      </c>
      <c r="B95" s="186" t="s">
        <v>636</v>
      </c>
      <c r="C95" s="187">
        <v>272.14</v>
      </c>
      <c r="D95" s="188">
        <v>1.2070000000000001</v>
      </c>
      <c r="E95" s="189">
        <v>41.89</v>
      </c>
      <c r="F95" s="189">
        <v>188.96</v>
      </c>
      <c r="G95" s="189">
        <v>9.4199148883613955</v>
      </c>
      <c r="H95" s="189">
        <v>29.25</v>
      </c>
      <c r="I95" s="190"/>
      <c r="J95" s="191">
        <v>37.74</v>
      </c>
      <c r="K95" s="192">
        <v>307.26000000000005</v>
      </c>
      <c r="L95" s="225"/>
    </row>
    <row r="96" spans="1:12" ht="13.2" customHeight="1" x14ac:dyDescent="0.25">
      <c r="A96" s="185">
        <v>1457397952</v>
      </c>
      <c r="B96" s="186" t="s">
        <v>664</v>
      </c>
      <c r="C96" s="187">
        <v>279.31</v>
      </c>
      <c r="D96" s="188">
        <v>1.2415</v>
      </c>
      <c r="E96" s="189">
        <v>41.89</v>
      </c>
      <c r="F96" s="189">
        <v>192.29000000000002</v>
      </c>
      <c r="G96" s="189">
        <v>12.830710270009693</v>
      </c>
      <c r="H96" s="189">
        <v>29.25</v>
      </c>
      <c r="I96" s="190"/>
      <c r="J96" s="191">
        <v>37.74</v>
      </c>
      <c r="K96" s="192">
        <v>314</v>
      </c>
      <c r="L96" s="225"/>
    </row>
    <row r="97" spans="1:12" ht="13.2" customHeight="1" x14ac:dyDescent="0.25">
      <c r="A97" s="185">
        <v>1508802497</v>
      </c>
      <c r="B97" s="186" t="s">
        <v>737</v>
      </c>
      <c r="C97" s="187">
        <v>254.08999999999997</v>
      </c>
      <c r="D97" s="188">
        <v>1.2505999999999999</v>
      </c>
      <c r="E97" s="189">
        <v>41.89</v>
      </c>
      <c r="F97" s="189">
        <v>193.22</v>
      </c>
      <c r="G97" s="189">
        <v>11.212722850226642</v>
      </c>
      <c r="H97" s="189">
        <v>9.4499999999999993</v>
      </c>
      <c r="I97" s="190"/>
      <c r="J97" s="191">
        <v>37.74</v>
      </c>
      <c r="K97" s="192">
        <v>293.51000000000005</v>
      </c>
      <c r="L97" s="225"/>
    </row>
    <row r="98" spans="1:12" ht="13.2" customHeight="1" x14ac:dyDescent="0.25">
      <c r="A98" s="185">
        <v>1366487464</v>
      </c>
      <c r="B98" s="186" t="s">
        <v>649</v>
      </c>
      <c r="C98" s="187">
        <v>284.69</v>
      </c>
      <c r="D98" s="188">
        <v>1.3261000000000001</v>
      </c>
      <c r="E98" s="189">
        <v>41.89</v>
      </c>
      <c r="F98" s="189">
        <v>201.93</v>
      </c>
      <c r="G98" s="189">
        <v>12.839516272902642</v>
      </c>
      <c r="H98" s="189">
        <v>29.25</v>
      </c>
      <c r="I98" s="190"/>
      <c r="J98" s="191">
        <v>37.74</v>
      </c>
      <c r="K98" s="192">
        <v>323.64999999999998</v>
      </c>
      <c r="L98" s="225"/>
    </row>
    <row r="99" spans="1:12" ht="13.2" customHeight="1" x14ac:dyDescent="0.25">
      <c r="A99" s="185">
        <v>1619908977</v>
      </c>
      <c r="B99" s="186" t="s">
        <v>652</v>
      </c>
      <c r="C99" s="187">
        <v>272.01</v>
      </c>
      <c r="D99" s="188">
        <v>1.2910999999999999</v>
      </c>
      <c r="E99" s="189">
        <v>41.89</v>
      </c>
      <c r="F99" s="189">
        <v>197.56</v>
      </c>
      <c r="G99" s="189">
        <v>9.8830287837511985</v>
      </c>
      <c r="H99" s="189">
        <v>29.25</v>
      </c>
      <c r="I99" s="190"/>
      <c r="J99" s="191">
        <v>37.74</v>
      </c>
      <c r="K99" s="192">
        <v>316.32</v>
      </c>
      <c r="L99" s="225"/>
    </row>
    <row r="100" spans="1:12" ht="13.2" customHeight="1" x14ac:dyDescent="0.25">
      <c r="A100" s="185">
        <v>1689603060</v>
      </c>
      <c r="B100" s="186" t="s">
        <v>697</v>
      </c>
      <c r="C100" s="187">
        <v>276.13</v>
      </c>
      <c r="D100" s="188">
        <v>1.1961032864215622</v>
      </c>
      <c r="E100" s="189">
        <v>41.89</v>
      </c>
      <c r="F100" s="189">
        <v>190.34</v>
      </c>
      <c r="G100" s="189">
        <v>15.557923047251649</v>
      </c>
      <c r="H100" s="189">
        <v>29.25</v>
      </c>
      <c r="I100" s="190"/>
      <c r="J100" s="191">
        <v>37.74</v>
      </c>
      <c r="K100" s="192">
        <v>314.78000000000003</v>
      </c>
      <c r="L100" s="225"/>
    </row>
    <row r="101" spans="1:12" ht="13.2" customHeight="1" x14ac:dyDescent="0.25">
      <c r="A101" s="185">
        <v>1285665539</v>
      </c>
      <c r="B101" s="186" t="s">
        <v>654</v>
      </c>
      <c r="C101" s="187">
        <v>283.58</v>
      </c>
      <c r="D101" s="188">
        <v>1.2263999999999999</v>
      </c>
      <c r="E101" s="189">
        <v>41.89</v>
      </c>
      <c r="F101" s="189">
        <v>190.70000000000002</v>
      </c>
      <c r="G101" s="189">
        <v>20.959389682160072</v>
      </c>
      <c r="H101" s="189">
        <v>29.25</v>
      </c>
      <c r="I101" s="190"/>
      <c r="J101" s="191">
        <v>37.74</v>
      </c>
      <c r="K101" s="192">
        <v>320.53999999999996</v>
      </c>
      <c r="L101" s="225"/>
    </row>
    <row r="102" spans="1:12" ht="13.2" customHeight="1" x14ac:dyDescent="0.25">
      <c r="A102" s="185">
        <v>1699710293</v>
      </c>
      <c r="B102" s="186" t="s">
        <v>635</v>
      </c>
      <c r="C102" s="187">
        <v>276.78999999999996</v>
      </c>
      <c r="D102" s="188">
        <v>1.1661999999999999</v>
      </c>
      <c r="E102" s="189">
        <v>41.89</v>
      </c>
      <c r="F102" s="189">
        <v>184.37</v>
      </c>
      <c r="G102" s="189">
        <v>23.739374360303049</v>
      </c>
      <c r="H102" s="189">
        <v>29.25</v>
      </c>
      <c r="I102" s="190"/>
      <c r="J102" s="191">
        <v>37.74</v>
      </c>
      <c r="K102" s="192">
        <v>316.99</v>
      </c>
      <c r="L102" s="225"/>
    </row>
    <row r="103" spans="1:12" ht="13.2" customHeight="1" x14ac:dyDescent="0.25">
      <c r="A103" s="185">
        <v>1972547321</v>
      </c>
      <c r="B103" s="186" t="s">
        <v>660</v>
      </c>
      <c r="C103" s="187">
        <v>295.02</v>
      </c>
      <c r="D103" s="188">
        <v>1.3915999999999999</v>
      </c>
      <c r="E103" s="189">
        <v>41.89</v>
      </c>
      <c r="F103" s="189">
        <v>205.9</v>
      </c>
      <c r="G103" s="189">
        <v>19.641362719382794</v>
      </c>
      <c r="H103" s="189">
        <v>29.25</v>
      </c>
      <c r="I103" s="190"/>
      <c r="J103" s="191">
        <v>37.74</v>
      </c>
      <c r="K103" s="192">
        <v>334.42</v>
      </c>
      <c r="L103" s="225"/>
    </row>
    <row r="104" spans="1:12" ht="13.2" customHeight="1" x14ac:dyDescent="0.25">
      <c r="A104" s="185">
        <v>1962447565</v>
      </c>
      <c r="B104" s="186" t="s">
        <v>683</v>
      </c>
      <c r="C104" s="187">
        <v>247.13</v>
      </c>
      <c r="D104" s="188">
        <v>1.1153</v>
      </c>
      <c r="E104" s="189">
        <v>41.89</v>
      </c>
      <c r="F104" s="189">
        <v>181.48</v>
      </c>
      <c r="G104" s="189">
        <v>11.788860889585299</v>
      </c>
      <c r="H104" s="189">
        <v>9.4499999999999993</v>
      </c>
      <c r="I104" s="190"/>
      <c r="J104" s="191">
        <v>37.74</v>
      </c>
      <c r="K104" s="192">
        <v>282.34999999999997</v>
      </c>
      <c r="L104" s="225"/>
    </row>
    <row r="105" spans="1:12" ht="13.2" customHeight="1" x14ac:dyDescent="0.25">
      <c r="A105" s="185">
        <v>1811923931</v>
      </c>
      <c r="B105" s="186" t="s">
        <v>682</v>
      </c>
      <c r="C105" s="187">
        <v>290.62</v>
      </c>
      <c r="D105" s="188">
        <v>1.3322000000000001</v>
      </c>
      <c r="E105" s="189">
        <v>41.89</v>
      </c>
      <c r="F105" s="189">
        <v>199.04000000000002</v>
      </c>
      <c r="G105" s="189">
        <v>22.088351687560309</v>
      </c>
      <c r="H105" s="189">
        <v>29.25</v>
      </c>
      <c r="I105" s="190"/>
      <c r="J105" s="191">
        <v>37.74</v>
      </c>
      <c r="K105" s="192">
        <v>330.01</v>
      </c>
      <c r="L105" s="225"/>
    </row>
    <row r="106" spans="1:12" ht="13.2" customHeight="1" x14ac:dyDescent="0.25">
      <c r="A106" s="185">
        <v>1932145836</v>
      </c>
      <c r="B106" s="186" t="s">
        <v>653</v>
      </c>
      <c r="C106" s="187">
        <v>276.51</v>
      </c>
      <c r="D106" s="188">
        <v>1.1747000000000001</v>
      </c>
      <c r="E106" s="189">
        <v>41.89</v>
      </c>
      <c r="F106" s="189">
        <v>187.64000000000001</v>
      </c>
      <c r="G106" s="189">
        <v>21.880272439730028</v>
      </c>
      <c r="H106" s="189">
        <v>29.25</v>
      </c>
      <c r="I106" s="190"/>
      <c r="J106" s="191">
        <v>37.74</v>
      </c>
      <c r="K106" s="192">
        <v>318.39999999999998</v>
      </c>
      <c r="L106" s="225"/>
    </row>
    <row r="107" spans="1:12" ht="13.2" customHeight="1" x14ac:dyDescent="0.25">
      <c r="A107" s="185">
        <v>1376570275</v>
      </c>
      <c r="B107" s="186" t="s">
        <v>646</v>
      </c>
      <c r="C107" s="187">
        <v>251.42999999999998</v>
      </c>
      <c r="D107" s="188">
        <v>1.2047000000000001</v>
      </c>
      <c r="E107" s="189">
        <v>41.89</v>
      </c>
      <c r="F107" s="189">
        <v>189.69</v>
      </c>
      <c r="G107" s="189">
        <v>13.950583473963356</v>
      </c>
      <c r="H107" s="189">
        <v>9.4499999999999993</v>
      </c>
      <c r="I107" s="190"/>
      <c r="J107" s="191">
        <v>37.74</v>
      </c>
      <c r="K107" s="192">
        <v>292.71999999999997</v>
      </c>
      <c r="L107" s="225"/>
    </row>
    <row r="108" spans="1:12" ht="13.2" customHeight="1" x14ac:dyDescent="0.25">
      <c r="A108" s="185">
        <v>1255367447</v>
      </c>
      <c r="B108" s="186" t="s">
        <v>659</v>
      </c>
      <c r="C108" s="187">
        <v>287.94</v>
      </c>
      <c r="D108" s="188">
        <v>1.3561000000000001</v>
      </c>
      <c r="E108" s="189">
        <v>41.89</v>
      </c>
      <c r="F108" s="189">
        <v>202.79000000000002</v>
      </c>
      <c r="G108" s="189">
        <v>14.516341571077453</v>
      </c>
      <c r="H108" s="189">
        <v>29.25</v>
      </c>
      <c r="I108" s="190"/>
      <c r="J108" s="191">
        <v>37.74</v>
      </c>
      <c r="K108" s="192">
        <v>326.19</v>
      </c>
      <c r="L108" s="225"/>
    </row>
    <row r="109" spans="1:12" ht="13.2" customHeight="1" x14ac:dyDescent="0.25">
      <c r="A109" s="185">
        <v>1952337073</v>
      </c>
      <c r="B109" s="186" t="s">
        <v>667</v>
      </c>
      <c r="C109" s="187">
        <v>274.83999999999997</v>
      </c>
      <c r="D109" s="188">
        <v>1.252</v>
      </c>
      <c r="E109" s="189">
        <v>41.89</v>
      </c>
      <c r="F109" s="189">
        <v>193.04000000000002</v>
      </c>
      <c r="G109" s="189">
        <v>10.926743874156211</v>
      </c>
      <c r="H109" s="189">
        <v>29.25</v>
      </c>
      <c r="I109" s="190"/>
      <c r="J109" s="191">
        <v>37.74</v>
      </c>
      <c r="K109" s="192">
        <v>312.85000000000002</v>
      </c>
      <c r="L109" s="225"/>
    </row>
    <row r="110" spans="1:12" ht="13.2" customHeight="1" x14ac:dyDescent="0.25">
      <c r="A110" s="185">
        <v>1659307395</v>
      </c>
      <c r="B110" s="186" t="s">
        <v>699</v>
      </c>
      <c r="C110" s="187">
        <v>269.61</v>
      </c>
      <c r="D110" s="188">
        <v>1.1741999999999999</v>
      </c>
      <c r="E110" s="189">
        <v>41.89</v>
      </c>
      <c r="F110" s="189">
        <v>186.18</v>
      </c>
      <c r="G110" s="189">
        <v>15.190486312680774</v>
      </c>
      <c r="H110" s="189">
        <v>29.25</v>
      </c>
      <c r="I110" s="190"/>
      <c r="J110" s="191">
        <v>37.74</v>
      </c>
      <c r="K110" s="192">
        <v>310.25</v>
      </c>
      <c r="L110" s="225"/>
    </row>
    <row r="111" spans="1:12" ht="13.2" customHeight="1" x14ac:dyDescent="0.25">
      <c r="A111" s="185">
        <v>1942236161</v>
      </c>
      <c r="B111" s="186" t="s">
        <v>639</v>
      </c>
      <c r="C111" s="187">
        <v>280.77</v>
      </c>
      <c r="D111" s="188">
        <v>1.1779999999999999</v>
      </c>
      <c r="E111" s="189">
        <v>41.89</v>
      </c>
      <c r="F111" s="189">
        <v>186.02</v>
      </c>
      <c r="G111" s="189">
        <v>23.802772179227887</v>
      </c>
      <c r="H111" s="189">
        <v>29.25</v>
      </c>
      <c r="I111" s="190"/>
      <c r="J111" s="191">
        <v>37.74</v>
      </c>
      <c r="K111" s="192">
        <v>318.70277217922791</v>
      </c>
      <c r="L111" s="225"/>
    </row>
    <row r="112" spans="1:12" ht="13.2" customHeight="1" x14ac:dyDescent="0.25">
      <c r="A112" s="185">
        <v>1396771515</v>
      </c>
      <c r="B112" s="186" t="s">
        <v>674</v>
      </c>
      <c r="C112" s="187">
        <v>277.48</v>
      </c>
      <c r="D112" s="188">
        <v>1.1594</v>
      </c>
      <c r="E112" s="189">
        <v>41.89</v>
      </c>
      <c r="F112" s="189">
        <v>185.6</v>
      </c>
      <c r="G112" s="189">
        <v>39.322140563001028</v>
      </c>
      <c r="H112" s="189">
        <v>9.4499999999999993</v>
      </c>
      <c r="I112" s="190"/>
      <c r="J112" s="191">
        <v>37.74</v>
      </c>
      <c r="K112" s="192">
        <v>314</v>
      </c>
      <c r="L112" s="225"/>
    </row>
    <row r="113" spans="1:12" ht="13.2" customHeight="1" x14ac:dyDescent="0.25">
      <c r="A113" s="185">
        <v>1558393835</v>
      </c>
      <c r="B113" s="186" t="s">
        <v>634</v>
      </c>
      <c r="C113" s="187">
        <v>277.87</v>
      </c>
      <c r="D113" s="188">
        <v>1.1811</v>
      </c>
      <c r="E113" s="189">
        <v>41.89</v>
      </c>
      <c r="F113" s="189">
        <v>187.21</v>
      </c>
      <c r="G113" s="189">
        <v>14.60342131750239</v>
      </c>
      <c r="H113" s="189">
        <v>29.25</v>
      </c>
      <c r="I113" s="190"/>
      <c r="J113" s="191">
        <v>37.74</v>
      </c>
      <c r="K113" s="192">
        <v>310.69000000000005</v>
      </c>
      <c r="L113" s="225"/>
    </row>
    <row r="114" spans="1:12" ht="13.2" customHeight="1" x14ac:dyDescent="0.25">
      <c r="A114" s="185">
        <v>1265816185</v>
      </c>
      <c r="B114" s="186" t="s">
        <v>248</v>
      </c>
      <c r="C114" s="187">
        <v>288.58</v>
      </c>
      <c r="D114" s="188">
        <v>1.2923</v>
      </c>
      <c r="E114" s="189">
        <v>41.89</v>
      </c>
      <c r="F114" s="189">
        <v>199.24</v>
      </c>
      <c r="G114" s="189">
        <v>15.055653146094471</v>
      </c>
      <c r="H114" s="189">
        <v>29.25</v>
      </c>
      <c r="I114" s="190"/>
      <c r="J114" s="191">
        <v>37.74</v>
      </c>
      <c r="K114" s="192">
        <v>323.18</v>
      </c>
      <c r="L114" s="225"/>
    </row>
    <row r="115" spans="1:12" ht="13.2" customHeight="1" x14ac:dyDescent="0.25">
      <c r="A115" s="185">
        <v>1407882830</v>
      </c>
      <c r="B115" s="186" t="s">
        <v>650</v>
      </c>
      <c r="C115" s="187">
        <v>269.23</v>
      </c>
      <c r="D115" s="188">
        <v>1.2261</v>
      </c>
      <c r="E115" s="189">
        <v>41.89</v>
      </c>
      <c r="F115" s="189">
        <v>189.63000000000002</v>
      </c>
      <c r="G115" s="189">
        <v>11.896601186113742</v>
      </c>
      <c r="H115" s="189">
        <v>29.25</v>
      </c>
      <c r="I115" s="190"/>
      <c r="J115" s="191">
        <v>37.74</v>
      </c>
      <c r="K115" s="192">
        <v>310.40999999999997</v>
      </c>
      <c r="L115" s="225"/>
    </row>
    <row r="116" spans="1:12" ht="13.2" customHeight="1" x14ac:dyDescent="0.25">
      <c r="A116" s="185">
        <v>1235175175</v>
      </c>
      <c r="B116" s="186" t="s">
        <v>628</v>
      </c>
      <c r="C116" s="187">
        <v>270.65999999999997</v>
      </c>
      <c r="D116" s="188">
        <v>1.2089999999999999</v>
      </c>
      <c r="E116" s="189">
        <v>41.89</v>
      </c>
      <c r="F116" s="189">
        <v>189.67</v>
      </c>
      <c r="G116" s="189">
        <v>9.0236084860173573</v>
      </c>
      <c r="H116" s="189">
        <v>29.25</v>
      </c>
      <c r="I116" s="190"/>
      <c r="J116" s="191">
        <v>37.74</v>
      </c>
      <c r="K116" s="192">
        <v>307.57360848601741</v>
      </c>
      <c r="L116" s="225"/>
    </row>
    <row r="117" spans="1:12" ht="13.2" customHeight="1" x14ac:dyDescent="0.25">
      <c r="A117" s="185">
        <v>1225064777</v>
      </c>
      <c r="B117" s="186" t="s">
        <v>626</v>
      </c>
      <c r="C117" s="187">
        <v>257.33000000000004</v>
      </c>
      <c r="D117" s="188">
        <v>1.2110000000000001</v>
      </c>
      <c r="E117" s="189">
        <v>41.89</v>
      </c>
      <c r="F117" s="189">
        <v>190.38</v>
      </c>
      <c r="G117" s="189">
        <v>10.968724593013063</v>
      </c>
      <c r="H117" s="189">
        <v>9.4499999999999993</v>
      </c>
      <c r="I117" s="190"/>
      <c r="J117" s="191">
        <v>37.74</v>
      </c>
      <c r="K117" s="192">
        <v>290.43000000000006</v>
      </c>
      <c r="L117" s="225"/>
    </row>
    <row r="118" spans="1:12" ht="13.2" customHeight="1" x14ac:dyDescent="0.25">
      <c r="A118" s="185">
        <v>1063458958</v>
      </c>
      <c r="B118" s="186" t="s">
        <v>651</v>
      </c>
      <c r="C118" s="187">
        <v>275.87</v>
      </c>
      <c r="D118" s="188">
        <v>1.2349000000000001</v>
      </c>
      <c r="E118" s="189">
        <v>41.89</v>
      </c>
      <c r="F118" s="189">
        <v>192.53</v>
      </c>
      <c r="G118" s="189">
        <v>13.305844264705927</v>
      </c>
      <c r="H118" s="189">
        <v>29.25</v>
      </c>
      <c r="I118" s="190"/>
      <c r="J118" s="191">
        <v>37.74</v>
      </c>
      <c r="K118" s="192">
        <v>314.72000000000003</v>
      </c>
      <c r="L118" s="225"/>
    </row>
    <row r="119" spans="1:12" ht="13.2" customHeight="1" x14ac:dyDescent="0.25">
      <c r="A119" s="185">
        <v>1750317897</v>
      </c>
      <c r="B119" s="186" t="s">
        <v>698</v>
      </c>
      <c r="C119" s="187">
        <v>276.8</v>
      </c>
      <c r="D119" s="188">
        <v>1.175</v>
      </c>
      <c r="E119" s="189">
        <v>41.89</v>
      </c>
      <c r="F119" s="189">
        <v>186.69</v>
      </c>
      <c r="G119" s="189">
        <v>16.236652543394364</v>
      </c>
      <c r="H119" s="189">
        <v>29.25</v>
      </c>
      <c r="I119" s="190"/>
      <c r="J119" s="191">
        <v>37.74</v>
      </c>
      <c r="K119" s="192">
        <v>311.81</v>
      </c>
      <c r="L119" s="225"/>
    </row>
    <row r="120" spans="1:12" ht="13.2" customHeight="1" x14ac:dyDescent="0.25">
      <c r="A120" s="185">
        <v>1184650541</v>
      </c>
      <c r="B120" s="186" t="s">
        <v>733</v>
      </c>
      <c r="C120" s="187">
        <v>280.96000000000004</v>
      </c>
      <c r="D120" s="188">
        <v>1.2897000000000001</v>
      </c>
      <c r="E120" s="189">
        <v>41.89</v>
      </c>
      <c r="F120" s="189">
        <v>196.17000000000002</v>
      </c>
      <c r="G120" s="189">
        <v>12.467418635486981</v>
      </c>
      <c r="H120" s="189">
        <v>29.25</v>
      </c>
      <c r="I120" s="190"/>
      <c r="J120" s="191">
        <v>37.74</v>
      </c>
      <c r="K120" s="192">
        <v>317.52000000000004</v>
      </c>
      <c r="L120" s="225"/>
    </row>
    <row r="121" spans="1:12" ht="13.2" customHeight="1" x14ac:dyDescent="0.25">
      <c r="A121" s="185">
        <v>1700812146</v>
      </c>
      <c r="B121" s="186" t="s">
        <v>738</v>
      </c>
      <c r="C121" s="187">
        <v>276.73</v>
      </c>
      <c r="D121" s="188">
        <v>1.169</v>
      </c>
      <c r="E121" s="189">
        <v>41.89</v>
      </c>
      <c r="F121" s="189">
        <v>186.62</v>
      </c>
      <c r="G121" s="189">
        <v>18.872948463234259</v>
      </c>
      <c r="H121" s="189">
        <v>29.25</v>
      </c>
      <c r="I121" s="190"/>
      <c r="J121" s="191">
        <v>37.74</v>
      </c>
      <c r="K121" s="192">
        <v>314.37</v>
      </c>
      <c r="L121" s="225"/>
    </row>
    <row r="122" spans="1:12" ht="13.2" customHeight="1" x14ac:dyDescent="0.25">
      <c r="A122" s="185">
        <v>1336612530</v>
      </c>
      <c r="B122" s="186" t="s">
        <v>241</v>
      </c>
      <c r="C122" s="187">
        <v>310.53999999999996</v>
      </c>
      <c r="D122" s="188">
        <v>1.3614999999999999</v>
      </c>
      <c r="E122" s="189">
        <v>41.89</v>
      </c>
      <c r="F122" s="189">
        <v>201.88</v>
      </c>
      <c r="G122" s="189">
        <v>33.942056471075645</v>
      </c>
      <c r="H122" s="189">
        <v>29.25</v>
      </c>
      <c r="I122" s="190"/>
      <c r="J122" s="191">
        <v>37.74</v>
      </c>
      <c r="K122" s="192">
        <v>344.7</v>
      </c>
      <c r="L122" s="225"/>
    </row>
    <row r="123" spans="1:12" ht="13.2" customHeight="1" x14ac:dyDescent="0.25">
      <c r="A123" s="185">
        <v>1558029488</v>
      </c>
      <c r="B123" s="186" t="s">
        <v>280</v>
      </c>
      <c r="C123" s="187">
        <v>276.5</v>
      </c>
      <c r="D123" s="188">
        <v>1.2094</v>
      </c>
      <c r="E123" s="189">
        <v>41.89</v>
      </c>
      <c r="F123" s="189">
        <v>192.19</v>
      </c>
      <c r="G123" s="189">
        <v>8.7374361137897782</v>
      </c>
      <c r="H123" s="189">
        <v>29.25</v>
      </c>
      <c r="I123" s="190"/>
      <c r="J123" s="191">
        <v>37.74</v>
      </c>
      <c r="K123" s="192">
        <v>309.81</v>
      </c>
      <c r="L123" s="225"/>
    </row>
    <row r="124" spans="1:12" ht="13.2" customHeight="1" x14ac:dyDescent="0.25">
      <c r="A124" s="185">
        <v>1952446510</v>
      </c>
      <c r="B124" s="186" t="s">
        <v>157</v>
      </c>
      <c r="C124" s="187">
        <v>260.14</v>
      </c>
      <c r="D124" s="188">
        <v>1.0299</v>
      </c>
      <c r="E124" s="189">
        <v>41.89</v>
      </c>
      <c r="F124" s="189">
        <v>174.85</v>
      </c>
      <c r="G124" s="189">
        <v>14.905684968659594</v>
      </c>
      <c r="H124" s="189">
        <v>29.25</v>
      </c>
      <c r="I124" s="190"/>
      <c r="J124" s="191">
        <v>37.74</v>
      </c>
      <c r="K124" s="192">
        <v>298.64000000000004</v>
      </c>
      <c r="L124" s="225"/>
    </row>
    <row r="125" spans="1:12" ht="13.2" customHeight="1" x14ac:dyDescent="0.25">
      <c r="A125" s="185">
        <v>1376926519</v>
      </c>
      <c r="B125" s="186" t="s">
        <v>656</v>
      </c>
      <c r="C125" s="187">
        <v>302.75</v>
      </c>
      <c r="D125" s="188">
        <v>1.4493</v>
      </c>
      <c r="E125" s="189">
        <v>41.89</v>
      </c>
      <c r="F125" s="189">
        <v>214.43</v>
      </c>
      <c r="G125" s="189">
        <v>21.486745100656471</v>
      </c>
      <c r="H125" s="189">
        <v>29.25</v>
      </c>
      <c r="I125" s="190"/>
      <c r="J125" s="191">
        <v>37.74</v>
      </c>
      <c r="K125" s="192">
        <v>344.8</v>
      </c>
      <c r="L125" s="225"/>
    </row>
    <row r="126" spans="1:12" ht="13.2" customHeight="1" x14ac:dyDescent="0.25">
      <c r="A126" s="185">
        <v>1225654098</v>
      </c>
      <c r="B126" s="186" t="s">
        <v>714</v>
      </c>
      <c r="C126" s="187">
        <v>274.81</v>
      </c>
      <c r="D126" s="188">
        <v>0.88970000000000005</v>
      </c>
      <c r="E126" s="189">
        <v>41.89</v>
      </c>
      <c r="F126" s="189">
        <v>162.94999999999999</v>
      </c>
      <c r="G126" s="189">
        <v>22.606116104146597</v>
      </c>
      <c r="H126" s="189">
        <v>29.25</v>
      </c>
      <c r="I126" s="190"/>
      <c r="J126" s="191">
        <v>37.74</v>
      </c>
      <c r="K126" s="192">
        <v>294.44</v>
      </c>
      <c r="L126" s="225"/>
    </row>
    <row r="127" spans="1:12" ht="13.2" customHeight="1" x14ac:dyDescent="0.25">
      <c r="A127" s="185">
        <v>1235591918</v>
      </c>
      <c r="B127" s="186" t="s">
        <v>666</v>
      </c>
      <c r="C127" s="187">
        <v>282.27</v>
      </c>
      <c r="D127" s="188">
        <v>1.1634</v>
      </c>
      <c r="E127" s="189">
        <v>41.89</v>
      </c>
      <c r="F127" s="189">
        <v>187.81</v>
      </c>
      <c r="G127" s="189">
        <v>22.193655641272876</v>
      </c>
      <c r="H127" s="189">
        <v>29.25</v>
      </c>
      <c r="I127" s="190"/>
      <c r="J127" s="191">
        <v>37.74</v>
      </c>
      <c r="K127" s="192">
        <v>318.88</v>
      </c>
      <c r="L127" s="225"/>
    </row>
    <row r="128" spans="1:12" ht="13.2" customHeight="1" x14ac:dyDescent="0.25">
      <c r="A128" s="185">
        <v>1336196526</v>
      </c>
      <c r="B128" s="186" t="s">
        <v>158</v>
      </c>
      <c r="C128" s="187">
        <v>275.81</v>
      </c>
      <c r="D128" s="188">
        <v>1.0975999999999999</v>
      </c>
      <c r="E128" s="189">
        <v>41.89</v>
      </c>
      <c r="F128" s="189">
        <v>180.35999999999999</v>
      </c>
      <c r="G128" s="189">
        <v>16.630318766037604</v>
      </c>
      <c r="H128" s="189">
        <v>29.25</v>
      </c>
      <c r="I128" s="190"/>
      <c r="J128" s="191">
        <v>37.74</v>
      </c>
      <c r="K128" s="192">
        <v>305.87</v>
      </c>
      <c r="L128" s="225"/>
    </row>
    <row r="129" spans="1:12" ht="13.2" customHeight="1" x14ac:dyDescent="0.25">
      <c r="A129" s="185">
        <v>1295279594</v>
      </c>
      <c r="B129" s="186" t="s">
        <v>632</v>
      </c>
      <c r="C129" s="187">
        <v>325.81</v>
      </c>
      <c r="D129" s="188">
        <v>1.5174000000000001</v>
      </c>
      <c r="E129" s="189">
        <v>41.89</v>
      </c>
      <c r="F129" s="189">
        <v>222.62</v>
      </c>
      <c r="G129" s="189">
        <v>34.612900957939125</v>
      </c>
      <c r="H129" s="189">
        <v>29.25</v>
      </c>
      <c r="I129" s="190"/>
      <c r="J129" s="191">
        <v>37.74</v>
      </c>
      <c r="K129" s="192">
        <v>366.11</v>
      </c>
      <c r="L129" s="225"/>
    </row>
    <row r="130" spans="1:12" ht="13.2" customHeight="1" x14ac:dyDescent="0.25">
      <c r="A130" s="185">
        <v>1326074048</v>
      </c>
      <c r="B130" s="186" t="s">
        <v>668</v>
      </c>
      <c r="C130" s="187">
        <v>284.43</v>
      </c>
      <c r="D130" s="188">
        <v>1.2537</v>
      </c>
      <c r="E130" s="189">
        <v>41.89</v>
      </c>
      <c r="F130" s="189">
        <v>193.99</v>
      </c>
      <c r="G130" s="189">
        <v>19.534751166827331</v>
      </c>
      <c r="H130" s="189">
        <v>29.25</v>
      </c>
      <c r="I130" s="190"/>
      <c r="J130" s="191">
        <v>37.74</v>
      </c>
      <c r="K130" s="192">
        <v>322.39999999999998</v>
      </c>
      <c r="L130" s="225"/>
    </row>
    <row r="131" spans="1:12" ht="13.2" customHeight="1" x14ac:dyDescent="0.25">
      <c r="A131" s="185">
        <v>1114501459</v>
      </c>
      <c r="B131" s="186" t="s">
        <v>404</v>
      </c>
      <c r="C131" s="187">
        <v>302.19</v>
      </c>
      <c r="D131" s="188">
        <v>1.3691</v>
      </c>
      <c r="E131" s="189">
        <v>41.89</v>
      </c>
      <c r="F131" s="189">
        <v>207.06</v>
      </c>
      <c r="G131" s="189">
        <v>28.419707810993252</v>
      </c>
      <c r="H131" s="189">
        <v>29.25</v>
      </c>
      <c r="I131" s="190"/>
      <c r="J131" s="191">
        <v>37.74</v>
      </c>
      <c r="K131" s="192">
        <v>344.36</v>
      </c>
      <c r="L131" s="225"/>
    </row>
    <row r="132" spans="1:12" ht="13.2" customHeight="1" x14ac:dyDescent="0.25">
      <c r="A132" s="185">
        <v>1255385720</v>
      </c>
      <c r="B132" s="186" t="s">
        <v>593</v>
      </c>
      <c r="C132" s="187">
        <v>282.46000000000004</v>
      </c>
      <c r="D132" s="188">
        <v>1.1728000000000001</v>
      </c>
      <c r="E132" s="189">
        <v>41.89</v>
      </c>
      <c r="F132" s="189">
        <v>187.97000000000003</v>
      </c>
      <c r="G132" s="189">
        <v>19.412909392478362</v>
      </c>
      <c r="H132" s="189">
        <v>29.25</v>
      </c>
      <c r="I132" s="190"/>
      <c r="J132" s="191">
        <v>37.74</v>
      </c>
      <c r="K132" s="192">
        <v>316.26000000000005</v>
      </c>
      <c r="L132" s="225"/>
    </row>
    <row r="133" spans="1:12" ht="13.2" customHeight="1" x14ac:dyDescent="0.25">
      <c r="A133" s="185">
        <v>1144804485</v>
      </c>
      <c r="B133" s="186" t="s">
        <v>160</v>
      </c>
      <c r="C133" s="187">
        <v>300.78999999999996</v>
      </c>
      <c r="D133" s="188">
        <v>1.3279000000000001</v>
      </c>
      <c r="E133" s="189">
        <v>41.89</v>
      </c>
      <c r="F133" s="189">
        <v>201.31</v>
      </c>
      <c r="G133" s="189">
        <v>28.424043582449421</v>
      </c>
      <c r="H133" s="189">
        <v>29.25</v>
      </c>
      <c r="I133" s="190"/>
      <c r="J133" s="191">
        <v>37.74</v>
      </c>
      <c r="K133" s="192">
        <v>338.61</v>
      </c>
      <c r="L133" s="225"/>
    </row>
    <row r="134" spans="1:12" ht="13.2" customHeight="1" x14ac:dyDescent="0.25">
      <c r="A134" s="185">
        <v>1336863273</v>
      </c>
      <c r="B134" s="186" t="s">
        <v>669</v>
      </c>
      <c r="C134" s="187">
        <v>286.08999999999997</v>
      </c>
      <c r="D134" s="188">
        <v>1.3514999999999999</v>
      </c>
      <c r="E134" s="189">
        <v>41.89</v>
      </c>
      <c r="F134" s="189">
        <v>206.07</v>
      </c>
      <c r="G134" s="189">
        <v>16.11315209739638</v>
      </c>
      <c r="H134" s="189">
        <v>29.25</v>
      </c>
      <c r="I134" s="190"/>
      <c r="J134" s="191">
        <v>37.74</v>
      </c>
      <c r="K134" s="192">
        <v>331.06</v>
      </c>
      <c r="L134" s="225"/>
    </row>
    <row r="135" spans="1:12" ht="13.2" customHeight="1" x14ac:dyDescent="0.25">
      <c r="A135" s="185">
        <v>1669821336</v>
      </c>
      <c r="B135" s="186" t="s">
        <v>161</v>
      </c>
      <c r="C135" s="187">
        <v>261.43</v>
      </c>
      <c r="D135" s="188">
        <v>1.3173999999999999</v>
      </c>
      <c r="E135" s="189">
        <v>41.89</v>
      </c>
      <c r="F135" s="189">
        <v>202.52</v>
      </c>
      <c r="G135" s="189">
        <v>17.491180653326925</v>
      </c>
      <c r="H135" s="189">
        <v>9.4499999999999993</v>
      </c>
      <c r="I135" s="190"/>
      <c r="J135" s="191">
        <v>37.74</v>
      </c>
      <c r="K135" s="192">
        <v>309.09000000000003</v>
      </c>
      <c r="L135" s="225"/>
    </row>
    <row r="136" spans="1:12" ht="13.2" customHeight="1" x14ac:dyDescent="0.25">
      <c r="A136" s="185">
        <v>1083661193</v>
      </c>
      <c r="B136" s="186" t="s">
        <v>162</v>
      </c>
      <c r="C136" s="187">
        <v>279.48</v>
      </c>
      <c r="D136" s="188">
        <v>1.1063000000000001</v>
      </c>
      <c r="E136" s="189">
        <v>41.89</v>
      </c>
      <c r="F136" s="189">
        <v>182.29000000000002</v>
      </c>
      <c r="G136" s="189">
        <v>19.473830279652844</v>
      </c>
      <c r="H136" s="189">
        <v>29.25</v>
      </c>
      <c r="I136" s="190"/>
      <c r="J136" s="191">
        <v>37.74</v>
      </c>
      <c r="K136" s="192">
        <v>310.64</v>
      </c>
      <c r="L136" s="225"/>
    </row>
    <row r="137" spans="1:12" ht="13.2" customHeight="1" x14ac:dyDescent="0.25">
      <c r="A137" s="185">
        <v>1336118298</v>
      </c>
      <c r="B137" s="186" t="s">
        <v>163</v>
      </c>
      <c r="C137" s="187">
        <v>294.55</v>
      </c>
      <c r="D137" s="188">
        <v>1.4236</v>
      </c>
      <c r="E137" s="189">
        <v>41.89</v>
      </c>
      <c r="F137" s="189">
        <v>210.18</v>
      </c>
      <c r="G137" s="189">
        <v>13.208678953712591</v>
      </c>
      <c r="H137" s="189">
        <v>29.25</v>
      </c>
      <c r="I137" s="190"/>
      <c r="J137" s="191">
        <v>37.74</v>
      </c>
      <c r="K137" s="192">
        <v>332.27</v>
      </c>
      <c r="L137" s="225"/>
    </row>
    <row r="138" spans="1:12" ht="13.2" customHeight="1" x14ac:dyDescent="0.25">
      <c r="A138" s="185">
        <v>1609976901</v>
      </c>
      <c r="B138" s="186" t="s">
        <v>243</v>
      </c>
      <c r="C138" s="187">
        <v>292.16999999999996</v>
      </c>
      <c r="D138" s="188">
        <v>1.3126</v>
      </c>
      <c r="E138" s="189">
        <v>41.89</v>
      </c>
      <c r="F138" s="189">
        <v>196.05</v>
      </c>
      <c r="G138" s="189">
        <v>27.281732965850448</v>
      </c>
      <c r="H138" s="189">
        <v>29.25</v>
      </c>
      <c r="I138" s="190"/>
      <c r="J138" s="191">
        <v>37.74</v>
      </c>
      <c r="K138" s="192">
        <v>332.21000000000004</v>
      </c>
      <c r="L138" s="225"/>
    </row>
    <row r="139" spans="1:12" ht="13.2" customHeight="1" x14ac:dyDescent="0.25">
      <c r="A139" s="185">
        <v>1104800069</v>
      </c>
      <c r="B139" s="186" t="s">
        <v>201</v>
      </c>
      <c r="C139" s="187">
        <v>303.02999999999997</v>
      </c>
      <c r="D139" s="188">
        <v>1.2809999999999999</v>
      </c>
      <c r="E139" s="189">
        <v>41.89</v>
      </c>
      <c r="F139" s="189">
        <v>199.00000000000003</v>
      </c>
      <c r="G139" s="189">
        <v>32.133386095316837</v>
      </c>
      <c r="H139" s="189">
        <v>29.25</v>
      </c>
      <c r="I139" s="190"/>
      <c r="J139" s="191">
        <v>37.74</v>
      </c>
      <c r="K139" s="192">
        <v>340.01</v>
      </c>
      <c r="L139" s="225"/>
    </row>
    <row r="140" spans="1:12" ht="13.2" customHeight="1" x14ac:dyDescent="0.25">
      <c r="A140" s="185">
        <v>1235239567</v>
      </c>
      <c r="B140" s="186" t="s">
        <v>244</v>
      </c>
      <c r="C140" s="187">
        <v>278.58000000000004</v>
      </c>
      <c r="D140" s="188">
        <v>1.3327</v>
      </c>
      <c r="E140" s="189">
        <v>41.89</v>
      </c>
      <c r="F140" s="189">
        <v>201.08</v>
      </c>
      <c r="G140" s="189">
        <v>9.0236084860173591</v>
      </c>
      <c r="H140" s="189">
        <v>29.25</v>
      </c>
      <c r="I140" s="190"/>
      <c r="J140" s="191">
        <v>37.74</v>
      </c>
      <c r="K140" s="192">
        <v>318.98</v>
      </c>
      <c r="L140" s="225"/>
    </row>
    <row r="141" spans="1:12" ht="13.2" customHeight="1" x14ac:dyDescent="0.25">
      <c r="A141" s="185">
        <v>1316921190</v>
      </c>
      <c r="B141" s="186" t="s">
        <v>701</v>
      </c>
      <c r="C141" s="187">
        <v>299.08</v>
      </c>
      <c r="D141" s="188">
        <v>1.2884</v>
      </c>
      <c r="E141" s="189">
        <v>41.89</v>
      </c>
      <c r="F141" s="189">
        <v>196.04000000000002</v>
      </c>
      <c r="G141" s="189">
        <v>31.618978970274394</v>
      </c>
      <c r="H141" s="189">
        <v>29.25</v>
      </c>
      <c r="I141" s="190"/>
      <c r="J141" s="191">
        <v>37.74</v>
      </c>
      <c r="K141" s="192">
        <v>336.54</v>
      </c>
      <c r="L141" s="225"/>
    </row>
    <row r="142" spans="1:12" ht="13.2" customHeight="1" x14ac:dyDescent="0.25">
      <c r="A142" s="185">
        <v>1194825448</v>
      </c>
      <c r="B142" s="186" t="s">
        <v>246</v>
      </c>
      <c r="C142" s="187">
        <v>288.10000000000002</v>
      </c>
      <c r="D142" s="188">
        <v>1.3756999999999999</v>
      </c>
      <c r="E142" s="189">
        <v>41.89</v>
      </c>
      <c r="F142" s="189">
        <v>204.2</v>
      </c>
      <c r="G142" s="189">
        <v>9.1189992767598849</v>
      </c>
      <c r="H142" s="189">
        <v>29.25</v>
      </c>
      <c r="I142" s="190"/>
      <c r="J142" s="191">
        <v>37.74</v>
      </c>
      <c r="K142" s="192">
        <v>322.2</v>
      </c>
      <c r="L142" s="225"/>
    </row>
    <row r="143" spans="1:12" ht="13.2" customHeight="1" x14ac:dyDescent="0.25">
      <c r="A143" s="185">
        <v>1851375703</v>
      </c>
      <c r="B143" s="186" t="s">
        <v>176</v>
      </c>
      <c r="C143" s="187">
        <v>294.87</v>
      </c>
      <c r="D143" s="188">
        <v>1.3343</v>
      </c>
      <c r="E143" s="189">
        <v>41.89</v>
      </c>
      <c r="F143" s="189">
        <v>199.51</v>
      </c>
      <c r="G143" s="189">
        <v>29.29530170560172</v>
      </c>
      <c r="H143" s="189">
        <v>29.25</v>
      </c>
      <c r="I143" s="190"/>
      <c r="J143" s="191">
        <v>37.74</v>
      </c>
      <c r="K143" s="192">
        <v>337.69</v>
      </c>
      <c r="L143" s="225"/>
    </row>
    <row r="144" spans="1:12" ht="13.2" customHeight="1" x14ac:dyDescent="0.25">
      <c r="A144" s="185">
        <v>1316351034</v>
      </c>
      <c r="B144" s="186" t="s">
        <v>703</v>
      </c>
      <c r="C144" s="187">
        <v>278.49</v>
      </c>
      <c r="D144" s="188">
        <v>1.1665000000000001</v>
      </c>
      <c r="E144" s="189">
        <v>41.89</v>
      </c>
      <c r="F144" s="189">
        <v>183.81</v>
      </c>
      <c r="G144" s="189">
        <v>26.122700945033742</v>
      </c>
      <c r="H144" s="189">
        <v>29.25</v>
      </c>
      <c r="I144" s="190"/>
      <c r="J144" s="191">
        <v>37.74</v>
      </c>
      <c r="K144" s="192">
        <v>318.81</v>
      </c>
      <c r="L144" s="225"/>
    </row>
    <row r="145" spans="1:12" ht="13.2" customHeight="1" x14ac:dyDescent="0.25">
      <c r="A145" s="185">
        <v>1194309336</v>
      </c>
      <c r="B145" s="186" t="s">
        <v>164</v>
      </c>
      <c r="C145" s="187">
        <v>300.35000000000002</v>
      </c>
      <c r="D145" s="188">
        <v>1.3072999999999999</v>
      </c>
      <c r="E145" s="189">
        <v>41.89</v>
      </c>
      <c r="F145" s="189">
        <v>200.85</v>
      </c>
      <c r="G145" s="189">
        <v>29.397179650022455</v>
      </c>
      <c r="H145" s="189">
        <v>29.25</v>
      </c>
      <c r="I145" s="190"/>
      <c r="J145" s="191">
        <v>37.74</v>
      </c>
      <c r="K145" s="192">
        <v>339.13</v>
      </c>
      <c r="L145" s="225"/>
    </row>
    <row r="146" spans="1:12" ht="13.2" customHeight="1" x14ac:dyDescent="0.25">
      <c r="A146" s="185">
        <v>1356387153</v>
      </c>
      <c r="B146" s="186" t="s">
        <v>722</v>
      </c>
      <c r="C146" s="187">
        <v>280.33999999999997</v>
      </c>
      <c r="D146" s="188">
        <v>1.2482</v>
      </c>
      <c r="E146" s="189">
        <v>41.89</v>
      </c>
      <c r="F146" s="189">
        <v>194.1</v>
      </c>
      <c r="G146" s="189">
        <v>14.067489640790736</v>
      </c>
      <c r="H146" s="189">
        <v>29.25</v>
      </c>
      <c r="I146" s="190"/>
      <c r="J146" s="191">
        <v>37.74</v>
      </c>
      <c r="K146" s="192">
        <v>317.05</v>
      </c>
      <c r="L146" s="225"/>
    </row>
    <row r="147" spans="1:12" ht="13.2" customHeight="1" x14ac:dyDescent="0.25">
      <c r="A147" s="185">
        <v>1740249382</v>
      </c>
      <c r="B147" s="186" t="s">
        <v>637</v>
      </c>
      <c r="C147" s="187">
        <v>293.67</v>
      </c>
      <c r="D147" s="188">
        <v>1.0766</v>
      </c>
      <c r="E147" s="189">
        <v>41.89</v>
      </c>
      <c r="F147" s="189">
        <v>178.32</v>
      </c>
      <c r="G147" s="189">
        <v>44.129146489874678</v>
      </c>
      <c r="H147" s="189">
        <v>29.25</v>
      </c>
      <c r="I147" s="190"/>
      <c r="J147" s="191">
        <v>37.74</v>
      </c>
      <c r="K147" s="192">
        <v>331.33</v>
      </c>
      <c r="L147" s="225"/>
    </row>
    <row r="148" spans="1:12" ht="13.2" customHeight="1" x14ac:dyDescent="0.25">
      <c r="A148" s="185">
        <v>1407803679</v>
      </c>
      <c r="B148" s="186" t="s">
        <v>165</v>
      </c>
      <c r="C148" s="187">
        <v>273.16000000000003</v>
      </c>
      <c r="D148" s="188">
        <v>1.0485</v>
      </c>
      <c r="E148" s="189">
        <v>41.89</v>
      </c>
      <c r="F148" s="189">
        <v>176.42000000000002</v>
      </c>
      <c r="G148" s="189">
        <v>16.016046462150484</v>
      </c>
      <c r="H148" s="189">
        <v>29.25</v>
      </c>
      <c r="I148" s="190"/>
      <c r="J148" s="191">
        <v>37.74</v>
      </c>
      <c r="K148" s="192">
        <v>301.32</v>
      </c>
      <c r="L148" s="225"/>
    </row>
    <row r="149" spans="1:12" ht="13.2" customHeight="1" x14ac:dyDescent="0.25">
      <c r="A149" s="185">
        <v>1669991865</v>
      </c>
      <c r="B149" s="186" t="s">
        <v>609</v>
      </c>
      <c r="C149" s="187">
        <v>274.27</v>
      </c>
      <c r="D149" s="188">
        <v>1.2446999999999999</v>
      </c>
      <c r="E149" s="189">
        <v>41.89</v>
      </c>
      <c r="F149" s="189">
        <v>194.48000000000002</v>
      </c>
      <c r="G149" s="189">
        <v>11.072103079464082</v>
      </c>
      <c r="H149" s="189">
        <v>29.25</v>
      </c>
      <c r="I149" s="190"/>
      <c r="J149" s="191">
        <v>37.74</v>
      </c>
      <c r="K149" s="192">
        <v>314.43</v>
      </c>
      <c r="L149" s="225"/>
    </row>
    <row r="150" spans="1:12" ht="13.2" customHeight="1" x14ac:dyDescent="0.25">
      <c r="A150" s="185">
        <v>1841854361</v>
      </c>
      <c r="B150" s="186" t="s">
        <v>168</v>
      </c>
      <c r="C150" s="187">
        <v>309.88</v>
      </c>
      <c r="D150" s="188">
        <v>1.5427999999999999</v>
      </c>
      <c r="E150" s="189">
        <v>41.89</v>
      </c>
      <c r="F150" s="189">
        <v>224.45</v>
      </c>
      <c r="G150" s="189">
        <v>15.536980826091217</v>
      </c>
      <c r="H150" s="189">
        <v>29.25</v>
      </c>
      <c r="I150" s="190"/>
      <c r="J150" s="191">
        <v>37.74</v>
      </c>
      <c r="K150" s="192">
        <v>348.87</v>
      </c>
      <c r="L150" s="225"/>
    </row>
    <row r="151" spans="1:12" ht="13.2" customHeight="1" x14ac:dyDescent="0.25">
      <c r="A151" s="185">
        <v>1891722187</v>
      </c>
      <c r="B151" s="186" t="s">
        <v>172</v>
      </c>
      <c r="C151" s="187">
        <v>275.29000000000002</v>
      </c>
      <c r="D151" s="188">
        <v>1.0996999999999999</v>
      </c>
      <c r="E151" s="189">
        <v>41.89</v>
      </c>
      <c r="F151" s="189">
        <v>182.46</v>
      </c>
      <c r="G151" s="189">
        <v>25.360049780617107</v>
      </c>
      <c r="H151" s="189">
        <v>29.25</v>
      </c>
      <c r="I151" s="190"/>
      <c r="J151" s="191">
        <v>37.74</v>
      </c>
      <c r="K151" s="192">
        <v>316.70000000000005</v>
      </c>
      <c r="L151" s="225"/>
    </row>
    <row r="152" spans="1:12" ht="13.2" customHeight="1" x14ac:dyDescent="0.25">
      <c r="A152" s="185">
        <v>1164476636</v>
      </c>
      <c r="B152" s="186" t="s">
        <v>216</v>
      </c>
      <c r="C152" s="187">
        <v>268.34000000000003</v>
      </c>
      <c r="D152" s="188">
        <v>1.0940000000000001</v>
      </c>
      <c r="E152" s="189">
        <v>41.89</v>
      </c>
      <c r="F152" s="189">
        <v>179.11</v>
      </c>
      <c r="G152" s="189">
        <v>21.669120951599989</v>
      </c>
      <c r="H152" s="189">
        <v>29.25</v>
      </c>
      <c r="I152" s="190"/>
      <c r="J152" s="191">
        <v>37.74</v>
      </c>
      <c r="K152" s="192">
        <v>309.66000000000003</v>
      </c>
      <c r="L152" s="225"/>
    </row>
    <row r="153" spans="1:12" ht="13.2" customHeight="1" x14ac:dyDescent="0.25">
      <c r="A153" s="185">
        <v>1891740544</v>
      </c>
      <c r="B153" s="186" t="s">
        <v>732</v>
      </c>
      <c r="C153" s="187">
        <v>290.29999999999995</v>
      </c>
      <c r="D153" s="188">
        <v>1.1291</v>
      </c>
      <c r="E153" s="189">
        <v>41.89</v>
      </c>
      <c r="F153" s="189">
        <v>182.93</v>
      </c>
      <c r="G153" s="189">
        <v>31.217989646296605</v>
      </c>
      <c r="H153" s="189">
        <v>29.25</v>
      </c>
      <c r="I153" s="190"/>
      <c r="J153" s="191">
        <v>37.74</v>
      </c>
      <c r="K153" s="192">
        <v>323.02999999999997</v>
      </c>
      <c r="L153" s="225"/>
    </row>
    <row r="154" spans="1:12" ht="13.2" customHeight="1" x14ac:dyDescent="0.25">
      <c r="A154" s="185">
        <v>1346806015</v>
      </c>
      <c r="B154" s="186" t="s">
        <v>169</v>
      </c>
      <c r="C154" s="187">
        <v>300.7</v>
      </c>
      <c r="D154" s="188">
        <v>1.296</v>
      </c>
      <c r="E154" s="189">
        <v>41.89</v>
      </c>
      <c r="F154" s="189">
        <v>196.25</v>
      </c>
      <c r="G154" s="189">
        <v>33.729117100028411</v>
      </c>
      <c r="H154" s="189">
        <v>29.25</v>
      </c>
      <c r="I154" s="190"/>
      <c r="J154" s="191">
        <v>37.74</v>
      </c>
      <c r="K154" s="192">
        <v>338.86</v>
      </c>
      <c r="L154" s="225"/>
    </row>
    <row r="155" spans="1:12" ht="13.2" customHeight="1" x14ac:dyDescent="0.25">
      <c r="A155" s="185">
        <v>1073599510</v>
      </c>
      <c r="B155" s="186" t="s">
        <v>173</v>
      </c>
      <c r="C155" s="187">
        <v>265.33</v>
      </c>
      <c r="D155" s="188">
        <v>1.0349999999999999</v>
      </c>
      <c r="E155" s="189">
        <v>41.89</v>
      </c>
      <c r="F155" s="189">
        <v>175.99</v>
      </c>
      <c r="G155" s="189">
        <v>17.686025265188039</v>
      </c>
      <c r="H155" s="189">
        <v>29.25</v>
      </c>
      <c r="I155" s="190"/>
      <c r="J155" s="191">
        <v>37.74</v>
      </c>
      <c r="K155" s="192">
        <v>302.56</v>
      </c>
      <c r="L155" s="225"/>
    </row>
    <row r="156" spans="1:12" ht="13.2" customHeight="1" x14ac:dyDescent="0.25">
      <c r="A156" s="185">
        <v>1972587376</v>
      </c>
      <c r="B156" s="186" t="s">
        <v>174</v>
      </c>
      <c r="C156" s="187">
        <v>254.82999999999998</v>
      </c>
      <c r="D156" s="188">
        <v>0.81979999999999997</v>
      </c>
      <c r="E156" s="189">
        <v>41.89</v>
      </c>
      <c r="F156" s="189">
        <v>155.02000000000001</v>
      </c>
      <c r="G156" s="189">
        <v>30.6383331123433</v>
      </c>
      <c r="H156" s="189">
        <v>0</v>
      </c>
      <c r="I156" s="190"/>
      <c r="J156" s="191">
        <v>37.74</v>
      </c>
      <c r="K156" s="192">
        <v>265.29000000000002</v>
      </c>
      <c r="L156" s="225"/>
    </row>
    <row r="157" spans="1:12" ht="13.2" customHeight="1" x14ac:dyDescent="0.25">
      <c r="A157" s="185">
        <v>1093131310</v>
      </c>
      <c r="B157" s="186" t="s">
        <v>178</v>
      </c>
      <c r="C157" s="187">
        <v>280.41999999999996</v>
      </c>
      <c r="D157" s="188">
        <v>1.2619</v>
      </c>
      <c r="E157" s="189">
        <v>41.89</v>
      </c>
      <c r="F157" s="189">
        <v>189.88</v>
      </c>
      <c r="G157" s="189">
        <v>24.854633311234362</v>
      </c>
      <c r="H157" s="189">
        <v>29.25</v>
      </c>
      <c r="I157" s="190"/>
      <c r="J157" s="191">
        <v>37.74</v>
      </c>
      <c r="K157" s="192">
        <v>323.61</v>
      </c>
      <c r="L157" s="225"/>
    </row>
    <row r="158" spans="1:12" ht="13.2" customHeight="1" x14ac:dyDescent="0.25">
      <c r="A158" s="185">
        <v>1356346191</v>
      </c>
      <c r="B158" s="186" t="s">
        <v>180</v>
      </c>
      <c r="C158" s="187">
        <v>237.2</v>
      </c>
      <c r="D158" s="188">
        <v>0.9103</v>
      </c>
      <c r="E158" s="189">
        <v>41.89</v>
      </c>
      <c r="F158" s="189">
        <v>163.02000000000001</v>
      </c>
      <c r="G158" s="189">
        <v>29.356894587753139</v>
      </c>
      <c r="H158" s="189">
        <v>9.4499999999999993</v>
      </c>
      <c r="I158" s="190"/>
      <c r="J158" s="191">
        <v>37.74</v>
      </c>
      <c r="K158" s="192">
        <v>281.46000000000004</v>
      </c>
      <c r="L158" s="225"/>
    </row>
    <row r="159" spans="1:12" ht="13.2" customHeight="1" x14ac:dyDescent="0.25">
      <c r="A159" s="185">
        <v>1831649268</v>
      </c>
      <c r="B159" s="186" t="s">
        <v>124</v>
      </c>
      <c r="C159" s="187">
        <v>275.89</v>
      </c>
      <c r="D159" s="188">
        <v>1.2010000000000001</v>
      </c>
      <c r="E159" s="189">
        <v>41.89</v>
      </c>
      <c r="F159" s="189">
        <v>188.65</v>
      </c>
      <c r="G159" s="189">
        <v>19.827931051108944</v>
      </c>
      <c r="H159" s="189">
        <v>29.25</v>
      </c>
      <c r="I159" s="190"/>
      <c r="J159" s="191">
        <v>37.74</v>
      </c>
      <c r="K159" s="192">
        <v>317.36</v>
      </c>
      <c r="L159" s="225"/>
    </row>
    <row r="160" spans="1:12" ht="13.2" customHeight="1" x14ac:dyDescent="0.25">
      <c r="A160" s="185">
        <v>1346851052</v>
      </c>
      <c r="B160" s="186" t="s">
        <v>713</v>
      </c>
      <c r="C160" s="187">
        <v>277.52</v>
      </c>
      <c r="D160" s="188">
        <v>1.1753</v>
      </c>
      <c r="E160" s="189">
        <v>41.89</v>
      </c>
      <c r="F160" s="189">
        <v>187.82</v>
      </c>
      <c r="G160" s="189">
        <v>14.967918083812654</v>
      </c>
      <c r="H160" s="189">
        <v>29.25</v>
      </c>
      <c r="I160" s="190"/>
      <c r="J160" s="191">
        <v>37.74</v>
      </c>
      <c r="K160" s="192">
        <v>311.67</v>
      </c>
      <c r="L160" s="225"/>
    </row>
    <row r="161" spans="1:12" ht="13.2" customHeight="1" x14ac:dyDescent="0.25">
      <c r="A161" s="185">
        <v>1750418802</v>
      </c>
      <c r="B161" s="186" t="s">
        <v>183</v>
      </c>
      <c r="C161" s="187">
        <v>246.47</v>
      </c>
      <c r="D161" s="188">
        <v>1.1961032864215622</v>
      </c>
      <c r="E161" s="189">
        <v>41.89</v>
      </c>
      <c r="F161" s="189">
        <v>189.20000000000002</v>
      </c>
      <c r="G161" s="189">
        <v>16.188194009161041</v>
      </c>
      <c r="H161" s="189">
        <v>0</v>
      </c>
      <c r="I161" s="190"/>
      <c r="J161" s="191">
        <v>37.74</v>
      </c>
      <c r="K161" s="192">
        <v>285.02</v>
      </c>
      <c r="L161" s="225"/>
    </row>
    <row r="162" spans="1:12" ht="13.2" customHeight="1" x14ac:dyDescent="0.25">
      <c r="A162" s="185">
        <v>1265556294</v>
      </c>
      <c r="B162" s="186" t="s">
        <v>184</v>
      </c>
      <c r="C162" s="187">
        <v>291.74</v>
      </c>
      <c r="D162" s="188">
        <v>0.88919999999999999</v>
      </c>
      <c r="E162" s="189">
        <v>41.89</v>
      </c>
      <c r="F162" s="189">
        <v>162.22</v>
      </c>
      <c r="G162" s="189">
        <v>19.706503529799463</v>
      </c>
      <c r="H162" s="189">
        <v>29.25</v>
      </c>
      <c r="I162" s="190"/>
      <c r="J162" s="191">
        <v>37.74</v>
      </c>
      <c r="K162" s="192">
        <v>290.81000000000006</v>
      </c>
      <c r="L162" s="225"/>
    </row>
    <row r="163" spans="1:12" ht="13.2" customHeight="1" x14ac:dyDescent="0.25">
      <c r="A163" s="185">
        <v>1427248905</v>
      </c>
      <c r="B163" s="186" t="s">
        <v>242</v>
      </c>
      <c r="C163" s="187">
        <v>295.72000000000003</v>
      </c>
      <c r="D163" s="188">
        <v>1.3108</v>
      </c>
      <c r="E163" s="189">
        <v>41.89</v>
      </c>
      <c r="F163" s="189">
        <v>200.14</v>
      </c>
      <c r="G163" s="189">
        <v>27.968652269938339</v>
      </c>
      <c r="H163" s="189">
        <v>29.25</v>
      </c>
      <c r="I163" s="190"/>
      <c r="J163" s="191">
        <v>37.74</v>
      </c>
      <c r="K163" s="192">
        <v>336.99</v>
      </c>
      <c r="L163" s="225"/>
    </row>
    <row r="164" spans="1:12" ht="13.2" customHeight="1" x14ac:dyDescent="0.25">
      <c r="A164" s="185">
        <v>1588219828</v>
      </c>
      <c r="B164" s="186" t="s">
        <v>224</v>
      </c>
      <c r="C164" s="187">
        <v>268.43</v>
      </c>
      <c r="D164" s="188">
        <v>1.1894</v>
      </c>
      <c r="E164" s="189">
        <v>41.89</v>
      </c>
      <c r="F164" s="189">
        <v>189.27</v>
      </c>
      <c r="G164" s="189">
        <v>11.893226578324079</v>
      </c>
      <c r="H164" s="189">
        <v>29.25</v>
      </c>
      <c r="I164" s="190"/>
      <c r="J164" s="191">
        <v>37.74</v>
      </c>
      <c r="K164" s="192">
        <v>310.04000000000002</v>
      </c>
      <c r="L164" s="225"/>
    </row>
    <row r="165" spans="1:12" ht="13.2" customHeight="1" x14ac:dyDescent="0.25">
      <c r="A165" s="185">
        <v>1245287762</v>
      </c>
      <c r="B165" s="186" t="s">
        <v>686</v>
      </c>
      <c r="C165" s="187">
        <v>296.12</v>
      </c>
      <c r="D165" s="188">
        <v>1.4067000000000001</v>
      </c>
      <c r="E165" s="189">
        <v>41.89</v>
      </c>
      <c r="F165" s="189">
        <v>205.78</v>
      </c>
      <c r="G165" s="189">
        <v>27.685923758437799</v>
      </c>
      <c r="H165" s="189">
        <v>29.25</v>
      </c>
      <c r="I165" s="190"/>
      <c r="J165" s="191">
        <v>37.74</v>
      </c>
      <c r="K165" s="192">
        <v>342.35</v>
      </c>
      <c r="L165" s="225"/>
    </row>
    <row r="166" spans="1:12" ht="13.2" customHeight="1" x14ac:dyDescent="0.25">
      <c r="A166" s="185">
        <v>1407803828</v>
      </c>
      <c r="B166" s="186" t="s">
        <v>186</v>
      </c>
      <c r="C166" s="187">
        <v>276.5</v>
      </c>
      <c r="D166" s="188">
        <v>1.1801999999999999</v>
      </c>
      <c r="E166" s="189">
        <v>41.89</v>
      </c>
      <c r="F166" s="189">
        <v>189.63000000000002</v>
      </c>
      <c r="G166" s="189">
        <v>14.96192303519763</v>
      </c>
      <c r="H166" s="189">
        <v>29.25</v>
      </c>
      <c r="I166" s="190"/>
      <c r="J166" s="191">
        <v>37.74</v>
      </c>
      <c r="K166" s="192">
        <v>313.46999999999997</v>
      </c>
      <c r="L166" s="225"/>
    </row>
    <row r="167" spans="1:12" ht="13.2" customHeight="1" x14ac:dyDescent="0.25">
      <c r="A167" s="185">
        <v>1447435722</v>
      </c>
      <c r="B167" s="186" t="s">
        <v>685</v>
      </c>
      <c r="C167" s="187">
        <v>299.55</v>
      </c>
      <c r="D167" s="188">
        <v>1.2782</v>
      </c>
      <c r="E167" s="189">
        <v>41.89</v>
      </c>
      <c r="F167" s="189">
        <v>199.11</v>
      </c>
      <c r="G167" s="189">
        <v>30.127690237185661</v>
      </c>
      <c r="H167" s="189">
        <v>29.25</v>
      </c>
      <c r="I167" s="190"/>
      <c r="J167" s="191">
        <v>37.74</v>
      </c>
      <c r="K167" s="192">
        <v>338.12</v>
      </c>
      <c r="L167" s="225"/>
    </row>
    <row r="168" spans="1:12" ht="13.2" customHeight="1" x14ac:dyDescent="0.25">
      <c r="A168" s="185">
        <v>1275508970</v>
      </c>
      <c r="B168" s="186" t="s">
        <v>187</v>
      </c>
      <c r="C168" s="187">
        <v>244.27</v>
      </c>
      <c r="D168" s="188">
        <v>0.95779999999999998</v>
      </c>
      <c r="E168" s="189">
        <v>41.89</v>
      </c>
      <c r="F168" s="189">
        <v>168.59</v>
      </c>
      <c r="G168" s="189">
        <v>7.2068743713613541</v>
      </c>
      <c r="H168" s="189">
        <v>29.25</v>
      </c>
      <c r="I168" s="190"/>
      <c r="J168" s="191">
        <v>37.74</v>
      </c>
      <c r="K168" s="192">
        <v>284.68000000000006</v>
      </c>
      <c r="L168" s="225"/>
    </row>
    <row r="169" spans="1:12" ht="13.2" customHeight="1" x14ac:dyDescent="0.25">
      <c r="A169" s="185">
        <v>1134175524</v>
      </c>
      <c r="B169" s="186" t="s">
        <v>687</v>
      </c>
      <c r="C169" s="187">
        <v>273.48</v>
      </c>
      <c r="D169" s="188">
        <v>1.2653000000000001</v>
      </c>
      <c r="E169" s="189">
        <v>41.89</v>
      </c>
      <c r="F169" s="189">
        <v>192.62</v>
      </c>
      <c r="G169" s="189">
        <v>10.033385813001209</v>
      </c>
      <c r="H169" s="189">
        <v>29.25</v>
      </c>
      <c r="I169" s="190"/>
      <c r="J169" s="191">
        <v>37.74</v>
      </c>
      <c r="K169" s="192">
        <v>311.52999999999997</v>
      </c>
      <c r="L169" s="225"/>
    </row>
    <row r="170" spans="1:12" ht="13.2" customHeight="1" x14ac:dyDescent="0.25">
      <c r="A170" s="185">
        <v>1568127488</v>
      </c>
      <c r="B170" s="186" t="s">
        <v>590</v>
      </c>
      <c r="C170" s="187">
        <v>280.40999999999997</v>
      </c>
      <c r="D170" s="188">
        <v>1.3164</v>
      </c>
      <c r="E170" s="189">
        <v>41.89</v>
      </c>
      <c r="F170" s="189">
        <v>201.33</v>
      </c>
      <c r="G170" s="189">
        <v>9.0236084860173573</v>
      </c>
      <c r="H170" s="189">
        <v>29.25</v>
      </c>
      <c r="I170" s="190"/>
      <c r="J170" s="191">
        <v>37.74</v>
      </c>
      <c r="K170" s="192">
        <v>319.23</v>
      </c>
      <c r="L170" s="225"/>
    </row>
    <row r="171" spans="1:12" ht="13.2" customHeight="1" x14ac:dyDescent="0.25">
      <c r="A171" s="185">
        <v>1396747689</v>
      </c>
      <c r="B171" s="186" t="s">
        <v>188</v>
      </c>
      <c r="C171" s="187">
        <v>267.97000000000003</v>
      </c>
      <c r="D171" s="188">
        <v>1.1767000000000001</v>
      </c>
      <c r="E171" s="189">
        <v>41.89</v>
      </c>
      <c r="F171" s="189">
        <v>186.16000000000003</v>
      </c>
      <c r="G171" s="189">
        <v>15.027534112825453</v>
      </c>
      <c r="H171" s="189">
        <v>29.25</v>
      </c>
      <c r="I171" s="190"/>
      <c r="J171" s="191">
        <v>37.74</v>
      </c>
      <c r="K171" s="192">
        <v>310.07</v>
      </c>
      <c r="L171" s="225"/>
    </row>
    <row r="172" spans="1:12" ht="13.2" customHeight="1" x14ac:dyDescent="0.25">
      <c r="A172" s="185">
        <v>1932135381</v>
      </c>
      <c r="B172" s="186" t="s">
        <v>189</v>
      </c>
      <c r="C172" s="187">
        <v>280.13</v>
      </c>
      <c r="D172" s="188">
        <v>1.2315</v>
      </c>
      <c r="E172" s="189">
        <v>41.89</v>
      </c>
      <c r="F172" s="189">
        <v>193.25</v>
      </c>
      <c r="G172" s="189">
        <v>16.902496721311419</v>
      </c>
      <c r="H172" s="189">
        <v>29.25</v>
      </c>
      <c r="I172" s="190"/>
      <c r="J172" s="191">
        <v>37.74</v>
      </c>
      <c r="K172" s="192">
        <v>319.02999999999997</v>
      </c>
      <c r="L172" s="225"/>
    </row>
    <row r="173" spans="1:12" ht="13.2" customHeight="1" x14ac:dyDescent="0.25">
      <c r="A173" s="185">
        <v>1417951492</v>
      </c>
      <c r="B173" s="186" t="s">
        <v>191</v>
      </c>
      <c r="C173" s="187">
        <v>222.65</v>
      </c>
      <c r="D173" s="188">
        <v>0.89019999999999999</v>
      </c>
      <c r="E173" s="189">
        <v>41.89</v>
      </c>
      <c r="F173" s="189">
        <v>162.66</v>
      </c>
      <c r="G173" s="189">
        <v>17.704905295446903</v>
      </c>
      <c r="H173" s="189">
        <v>0</v>
      </c>
      <c r="I173" s="190"/>
      <c r="J173" s="191">
        <v>37.74</v>
      </c>
      <c r="K173" s="192">
        <v>259.99</v>
      </c>
      <c r="L173" s="225"/>
    </row>
    <row r="174" spans="1:12" ht="13.2" customHeight="1" x14ac:dyDescent="0.25">
      <c r="A174" s="185">
        <v>1730136128</v>
      </c>
      <c r="B174" s="186" t="s">
        <v>648</v>
      </c>
      <c r="C174" s="187">
        <v>271.11</v>
      </c>
      <c r="D174" s="188">
        <v>1.1941999999999999</v>
      </c>
      <c r="E174" s="189">
        <v>41.89</v>
      </c>
      <c r="F174" s="189">
        <v>188.45000000000002</v>
      </c>
      <c r="G174" s="189">
        <v>14.033272942973998</v>
      </c>
      <c r="H174" s="189">
        <v>29.25</v>
      </c>
      <c r="I174" s="190"/>
      <c r="J174" s="191">
        <v>37.74</v>
      </c>
      <c r="K174" s="192">
        <v>311.35999999999996</v>
      </c>
      <c r="L174" s="225"/>
    </row>
    <row r="175" spans="1:12" ht="13.2" customHeight="1" x14ac:dyDescent="0.25">
      <c r="A175" s="185">
        <v>1699313544</v>
      </c>
      <c r="B175" s="186" t="s">
        <v>288</v>
      </c>
      <c r="C175" s="187">
        <v>276.66000000000003</v>
      </c>
      <c r="D175" s="188">
        <v>1.1551</v>
      </c>
      <c r="E175" s="189">
        <v>41.89</v>
      </c>
      <c r="F175" s="189">
        <v>186.20000000000002</v>
      </c>
      <c r="G175" s="189">
        <v>23.813968968177402</v>
      </c>
      <c r="H175" s="189">
        <v>29.25</v>
      </c>
      <c r="I175" s="190"/>
      <c r="J175" s="191">
        <v>37.74</v>
      </c>
      <c r="K175" s="192">
        <v>318.89</v>
      </c>
      <c r="L175" s="225"/>
    </row>
    <row r="176" spans="1:12" ht="13.2" customHeight="1" x14ac:dyDescent="0.25">
      <c r="A176" s="185">
        <v>1679555403</v>
      </c>
      <c r="B176" s="186" t="s">
        <v>193</v>
      </c>
      <c r="C176" s="187">
        <v>256.42</v>
      </c>
      <c r="D176" s="188">
        <v>1.0376000000000001</v>
      </c>
      <c r="E176" s="189">
        <v>41.89</v>
      </c>
      <c r="F176" s="189">
        <v>175.65</v>
      </c>
      <c r="G176" s="189">
        <v>43.887456438268906</v>
      </c>
      <c r="H176" s="189">
        <v>0</v>
      </c>
      <c r="I176" s="190"/>
      <c r="J176" s="191">
        <v>37.74</v>
      </c>
      <c r="K176" s="192">
        <v>299.17</v>
      </c>
      <c r="L176" s="225"/>
    </row>
    <row r="177" spans="1:12" ht="13.2" customHeight="1" x14ac:dyDescent="0.25">
      <c r="A177" s="185">
        <v>1174524458</v>
      </c>
      <c r="B177" s="186" t="s">
        <v>195</v>
      </c>
      <c r="C177" s="187">
        <v>248.88</v>
      </c>
      <c r="D177" s="188">
        <v>1.113</v>
      </c>
      <c r="E177" s="189">
        <v>41.89</v>
      </c>
      <c r="F177" s="189">
        <v>182.76000000000002</v>
      </c>
      <c r="G177" s="189">
        <v>26.517141535530577</v>
      </c>
      <c r="H177" s="189">
        <v>0</v>
      </c>
      <c r="I177" s="190"/>
      <c r="J177" s="191">
        <v>37.74</v>
      </c>
      <c r="K177" s="192">
        <v>288.90999999999997</v>
      </c>
      <c r="L177" s="225"/>
    </row>
    <row r="178" spans="1:12" ht="13.2" customHeight="1" x14ac:dyDescent="0.25">
      <c r="A178" s="185">
        <v>1316662711</v>
      </c>
      <c r="B178" s="186" t="s">
        <v>196</v>
      </c>
      <c r="C178" s="187">
        <v>273.21000000000004</v>
      </c>
      <c r="D178" s="188">
        <v>1.1709000000000001</v>
      </c>
      <c r="E178" s="189">
        <v>41.89</v>
      </c>
      <c r="F178" s="189">
        <v>187.39</v>
      </c>
      <c r="G178" s="189">
        <v>17.327610426711654</v>
      </c>
      <c r="H178" s="189">
        <v>29.25</v>
      </c>
      <c r="I178" s="190"/>
      <c r="J178" s="191">
        <v>37.74</v>
      </c>
      <c r="K178" s="192">
        <v>313.59999999999997</v>
      </c>
      <c r="L178" s="225"/>
    </row>
    <row r="179" spans="1:12" ht="13.2" customHeight="1" x14ac:dyDescent="0.25">
      <c r="A179" s="185">
        <v>1023386190</v>
      </c>
      <c r="B179" s="186" t="s">
        <v>730</v>
      </c>
      <c r="C179" s="187">
        <v>262.67</v>
      </c>
      <c r="D179" s="188">
        <v>1.1184000000000001</v>
      </c>
      <c r="E179" s="189">
        <v>41.89</v>
      </c>
      <c r="F179" s="189">
        <v>182.49</v>
      </c>
      <c r="G179" s="189">
        <v>12.904007868852409</v>
      </c>
      <c r="H179" s="189">
        <v>29.25</v>
      </c>
      <c r="I179" s="190"/>
      <c r="J179" s="191">
        <v>37.74</v>
      </c>
      <c r="K179" s="192">
        <v>304.27</v>
      </c>
      <c r="L179" s="225"/>
    </row>
    <row r="180" spans="1:12" ht="13.2" customHeight="1" x14ac:dyDescent="0.25">
      <c r="A180" s="185">
        <v>1396802260</v>
      </c>
      <c r="B180" s="186" t="s">
        <v>197</v>
      </c>
      <c r="C180" s="187">
        <v>306.73</v>
      </c>
      <c r="D180" s="188">
        <v>1.2176</v>
      </c>
      <c r="E180" s="189">
        <v>41.89</v>
      </c>
      <c r="F180" s="189">
        <v>191.27</v>
      </c>
      <c r="G180" s="189">
        <v>42.639987692362766</v>
      </c>
      <c r="H180" s="189">
        <v>29.25</v>
      </c>
      <c r="I180" s="190"/>
      <c r="J180" s="191">
        <v>37.74</v>
      </c>
      <c r="K180" s="192">
        <v>342.79</v>
      </c>
      <c r="L180" s="225"/>
    </row>
    <row r="181" spans="1:12" ht="13.2" customHeight="1" x14ac:dyDescent="0.25">
      <c r="A181" s="185">
        <v>1588618045</v>
      </c>
      <c r="B181" s="186" t="s">
        <v>791</v>
      </c>
      <c r="C181" s="187">
        <v>267.7</v>
      </c>
      <c r="D181" s="188">
        <v>1.2746</v>
      </c>
      <c r="E181" s="189">
        <v>41.89</v>
      </c>
      <c r="F181" s="189">
        <v>195.12</v>
      </c>
      <c r="G181" s="189">
        <v>9.0236084860173573</v>
      </c>
      <c r="H181" s="189">
        <v>29.25</v>
      </c>
      <c r="I181" s="190"/>
      <c r="J181" s="191">
        <v>37.74</v>
      </c>
      <c r="K181" s="192">
        <v>313.02</v>
      </c>
      <c r="L181" s="225"/>
    </row>
    <row r="182" spans="1:12" ht="13.2" customHeight="1" x14ac:dyDescent="0.25">
      <c r="A182" s="185">
        <v>1962066480</v>
      </c>
      <c r="B182" s="186" t="s">
        <v>198</v>
      </c>
      <c r="C182" s="187">
        <v>299.68</v>
      </c>
      <c r="D182" s="188">
        <v>1.4679</v>
      </c>
      <c r="E182" s="189">
        <v>41.89</v>
      </c>
      <c r="F182" s="189">
        <v>220.06</v>
      </c>
      <c r="G182" s="189">
        <v>8.8328269045323058</v>
      </c>
      <c r="H182" s="189">
        <v>29.25</v>
      </c>
      <c r="I182" s="190"/>
      <c r="J182" s="191">
        <v>37.74</v>
      </c>
      <c r="K182" s="192">
        <v>337.77</v>
      </c>
      <c r="L182" s="225"/>
    </row>
    <row r="183" spans="1:12" ht="13.2" customHeight="1" x14ac:dyDescent="0.25">
      <c r="A183" s="185">
        <v>1588642102</v>
      </c>
      <c r="B183" s="186" t="s">
        <v>199</v>
      </c>
      <c r="C183" s="187">
        <v>296.27</v>
      </c>
      <c r="D183" s="188">
        <v>1.3454999999999999</v>
      </c>
      <c r="E183" s="189">
        <v>41.89</v>
      </c>
      <c r="F183" s="189">
        <v>204.9</v>
      </c>
      <c r="G183" s="189">
        <v>22.560488563162931</v>
      </c>
      <c r="H183" s="189">
        <v>29.25</v>
      </c>
      <c r="I183" s="190"/>
      <c r="J183" s="191">
        <v>37.74</v>
      </c>
      <c r="K183" s="192">
        <v>336.34000000000003</v>
      </c>
      <c r="L183" s="225"/>
    </row>
    <row r="184" spans="1:12" ht="13.2" customHeight="1" x14ac:dyDescent="0.25">
      <c r="A184" s="185">
        <v>1154792000</v>
      </c>
      <c r="B184" s="186" t="s">
        <v>643</v>
      </c>
      <c r="C184" s="187">
        <v>268.97000000000003</v>
      </c>
      <c r="D184" s="188">
        <v>1.1048</v>
      </c>
      <c r="E184" s="189">
        <v>41.89</v>
      </c>
      <c r="F184" s="189">
        <v>181.27</v>
      </c>
      <c r="G184" s="189">
        <v>9.7508324614272102</v>
      </c>
      <c r="H184" s="189">
        <v>29.25</v>
      </c>
      <c r="I184" s="190"/>
      <c r="J184" s="191">
        <v>37.74</v>
      </c>
      <c r="K184" s="192">
        <v>299.90000000000003</v>
      </c>
      <c r="L184" s="225"/>
    </row>
    <row r="185" spans="1:12" ht="13.2" customHeight="1" x14ac:dyDescent="0.25">
      <c r="A185" s="185">
        <v>1992242119</v>
      </c>
      <c r="B185" s="186" t="s">
        <v>610</v>
      </c>
      <c r="C185" s="187">
        <v>272.18</v>
      </c>
      <c r="D185" s="188">
        <v>1.1997</v>
      </c>
      <c r="E185" s="189">
        <v>41.89</v>
      </c>
      <c r="F185" s="189">
        <v>189.22</v>
      </c>
      <c r="G185" s="189">
        <v>15.402454556412705</v>
      </c>
      <c r="H185" s="189">
        <v>29.25</v>
      </c>
      <c r="I185" s="190"/>
      <c r="J185" s="191">
        <v>37.74</v>
      </c>
      <c r="K185" s="192">
        <v>313.5</v>
      </c>
      <c r="L185" s="225"/>
    </row>
    <row r="186" spans="1:12" ht="13.2" customHeight="1" x14ac:dyDescent="0.25">
      <c r="A186" s="185">
        <v>1578286621</v>
      </c>
      <c r="B186" s="186" t="s">
        <v>792</v>
      </c>
      <c r="C186" s="187">
        <v>275.77999999999997</v>
      </c>
      <c r="D186" s="188">
        <v>1.1674</v>
      </c>
      <c r="E186" s="189">
        <v>41.89</v>
      </c>
      <c r="F186" s="189">
        <v>186.63000000000002</v>
      </c>
      <c r="G186" s="189">
        <v>18.67488881388622</v>
      </c>
      <c r="H186" s="189">
        <v>29.25</v>
      </c>
      <c r="I186" s="190"/>
      <c r="J186" s="191">
        <v>37.74</v>
      </c>
      <c r="K186" s="192">
        <v>314.18</v>
      </c>
      <c r="L186" s="225"/>
    </row>
    <row r="187" spans="1:12" ht="13.2" customHeight="1" x14ac:dyDescent="0.25">
      <c r="A187" s="185">
        <v>1902462401</v>
      </c>
      <c r="B187" s="186" t="s">
        <v>252</v>
      </c>
      <c r="C187" s="187">
        <v>273.47000000000003</v>
      </c>
      <c r="D187" s="188">
        <v>1.222</v>
      </c>
      <c r="E187" s="189">
        <v>41.89</v>
      </c>
      <c r="F187" s="189">
        <v>188.08</v>
      </c>
      <c r="G187" s="189">
        <v>21.210075564127326</v>
      </c>
      <c r="H187" s="189">
        <v>29.25</v>
      </c>
      <c r="I187" s="190"/>
      <c r="J187" s="191">
        <v>37.74</v>
      </c>
      <c r="K187" s="192">
        <v>318.17</v>
      </c>
      <c r="L187" s="225"/>
    </row>
    <row r="188" spans="1:12" ht="13.2" customHeight="1" x14ac:dyDescent="0.25">
      <c r="A188" s="185">
        <v>1750004800</v>
      </c>
      <c r="B188" s="186" t="s">
        <v>793</v>
      </c>
      <c r="C188" s="187">
        <v>283.64999999999998</v>
      </c>
      <c r="D188" s="188">
        <v>1.4026000000000001</v>
      </c>
      <c r="E188" s="189">
        <v>41.89</v>
      </c>
      <c r="F188" s="189">
        <v>203.88000000000002</v>
      </c>
      <c r="G188" s="189">
        <v>9.6950414464801984</v>
      </c>
      <c r="H188" s="189">
        <v>29.25</v>
      </c>
      <c r="I188" s="190"/>
      <c r="J188" s="191">
        <v>37.74</v>
      </c>
      <c r="K188" s="192">
        <v>322.45999999999998</v>
      </c>
      <c r="L188" s="225"/>
    </row>
    <row r="189" spans="1:12" ht="13.2" customHeight="1" x14ac:dyDescent="0.25">
      <c r="A189" s="185">
        <v>1649685132</v>
      </c>
      <c r="B189" s="186" t="s">
        <v>705</v>
      </c>
      <c r="C189" s="187">
        <v>285.54000000000002</v>
      </c>
      <c r="D189" s="188">
        <v>1.224</v>
      </c>
      <c r="E189" s="189">
        <v>41.89</v>
      </c>
      <c r="F189" s="189">
        <v>190.61</v>
      </c>
      <c r="G189" s="189">
        <v>26.761658799421379</v>
      </c>
      <c r="H189" s="189">
        <v>29.25</v>
      </c>
      <c r="I189" s="190"/>
      <c r="J189" s="191">
        <v>37.74</v>
      </c>
      <c r="K189" s="192">
        <v>326.25</v>
      </c>
      <c r="L189" s="225"/>
    </row>
    <row r="190" spans="1:12" ht="13.2" customHeight="1" x14ac:dyDescent="0.25">
      <c r="A190" s="185">
        <v>1205252640</v>
      </c>
      <c r="B190" s="186" t="s">
        <v>269</v>
      </c>
      <c r="C190" s="187">
        <v>280.25</v>
      </c>
      <c r="D190" s="188">
        <v>1.2179</v>
      </c>
      <c r="E190" s="189">
        <v>41.89</v>
      </c>
      <c r="F190" s="189">
        <v>192.49</v>
      </c>
      <c r="G190" s="189">
        <v>13.107697365759591</v>
      </c>
      <c r="H190" s="189">
        <v>29.25</v>
      </c>
      <c r="I190" s="190"/>
      <c r="J190" s="191">
        <v>37.74</v>
      </c>
      <c r="K190" s="192">
        <v>314.48</v>
      </c>
      <c r="L190" s="225"/>
    </row>
    <row r="191" spans="1:12" ht="13.2" customHeight="1" x14ac:dyDescent="0.25">
      <c r="A191" s="185">
        <v>1528505757</v>
      </c>
      <c r="B191" s="186" t="s">
        <v>614</v>
      </c>
      <c r="C191" s="187">
        <v>275.16000000000003</v>
      </c>
      <c r="D191" s="188">
        <v>1.1954</v>
      </c>
      <c r="E191" s="189">
        <v>41.89</v>
      </c>
      <c r="F191" s="189">
        <v>188.57000000000002</v>
      </c>
      <c r="G191" s="189">
        <v>19.042669527483138</v>
      </c>
      <c r="H191" s="189">
        <v>29.25</v>
      </c>
      <c r="I191" s="190"/>
      <c r="J191" s="191">
        <v>37.74</v>
      </c>
      <c r="K191" s="192">
        <v>316.49</v>
      </c>
      <c r="L191" s="225"/>
    </row>
    <row r="192" spans="1:12" ht="13.2" customHeight="1" x14ac:dyDescent="0.25">
      <c r="A192" s="185">
        <v>1164848503</v>
      </c>
      <c r="B192" s="186" t="s">
        <v>347</v>
      </c>
      <c r="C192" s="187">
        <v>285.66999999999996</v>
      </c>
      <c r="D192" s="188">
        <v>1.2835000000000001</v>
      </c>
      <c r="E192" s="189">
        <v>41.89</v>
      </c>
      <c r="F192" s="189">
        <v>192.87</v>
      </c>
      <c r="G192" s="189">
        <v>21.72063302057224</v>
      </c>
      <c r="H192" s="189">
        <v>29.25</v>
      </c>
      <c r="I192" s="190"/>
      <c r="J192" s="191">
        <v>37.74</v>
      </c>
      <c r="K192" s="192">
        <v>323.47000000000003</v>
      </c>
      <c r="L192" s="225"/>
    </row>
    <row r="193" spans="1:12" ht="13.2" customHeight="1" x14ac:dyDescent="0.25">
      <c r="A193" s="185">
        <v>1033784970</v>
      </c>
      <c r="B193" s="186" t="s">
        <v>200</v>
      </c>
      <c r="C193" s="187">
        <v>294.62</v>
      </c>
      <c r="D193" s="188">
        <v>1.3081</v>
      </c>
      <c r="E193" s="189">
        <v>41.89</v>
      </c>
      <c r="F193" s="189">
        <v>198.76</v>
      </c>
      <c r="G193" s="189">
        <v>25.188857668756008</v>
      </c>
      <c r="H193" s="189">
        <v>29.25</v>
      </c>
      <c r="I193" s="190"/>
      <c r="J193" s="191">
        <v>37.74</v>
      </c>
      <c r="K193" s="192">
        <v>332.83</v>
      </c>
      <c r="L193" s="225"/>
    </row>
    <row r="194" spans="1:12" ht="13.2" customHeight="1" x14ac:dyDescent="0.25">
      <c r="A194" s="185">
        <v>1013951896</v>
      </c>
      <c r="B194" s="186" t="s">
        <v>675</v>
      </c>
      <c r="C194" s="187">
        <v>274.84000000000003</v>
      </c>
      <c r="D194" s="188">
        <v>1.2607999999999999</v>
      </c>
      <c r="E194" s="189">
        <v>41.89</v>
      </c>
      <c r="F194" s="189">
        <v>191.1</v>
      </c>
      <c r="G194" s="189">
        <v>13.803647858678854</v>
      </c>
      <c r="H194" s="189">
        <v>29.25</v>
      </c>
      <c r="I194" s="190"/>
      <c r="J194" s="191">
        <v>37.74</v>
      </c>
      <c r="K194" s="192">
        <v>313.78000000000003</v>
      </c>
      <c r="L194" s="225"/>
    </row>
    <row r="195" spans="1:12" ht="13.2" customHeight="1" x14ac:dyDescent="0.25">
      <c r="A195" s="185">
        <v>1235370750</v>
      </c>
      <c r="B195" s="186" t="s">
        <v>316</v>
      </c>
      <c r="C195" s="187">
        <v>280.2</v>
      </c>
      <c r="D195" s="188">
        <v>1.39</v>
      </c>
      <c r="E195" s="189">
        <v>41.89</v>
      </c>
      <c r="F195" s="189">
        <v>204.63</v>
      </c>
      <c r="G195" s="189">
        <v>25.474271722343765</v>
      </c>
      <c r="H195" s="189">
        <v>9.4499999999999993</v>
      </c>
      <c r="I195" s="190"/>
      <c r="J195" s="191">
        <v>37.74</v>
      </c>
      <c r="K195" s="192">
        <v>319.18000000000006</v>
      </c>
      <c r="L195" s="225"/>
    </row>
    <row r="196" spans="1:12" ht="13.2" customHeight="1" x14ac:dyDescent="0.25">
      <c r="A196" s="185">
        <v>1295391795</v>
      </c>
      <c r="B196" s="186" t="s">
        <v>126</v>
      </c>
      <c r="C196" s="187">
        <v>264.87</v>
      </c>
      <c r="D196" s="188">
        <v>1.2490000000000001</v>
      </c>
      <c r="E196" s="189">
        <v>41.89</v>
      </c>
      <c r="F196" s="189">
        <v>193.97</v>
      </c>
      <c r="G196" s="189">
        <v>9.7219959799903979</v>
      </c>
      <c r="H196" s="189">
        <v>29.25</v>
      </c>
      <c r="I196" s="190"/>
      <c r="J196" s="191">
        <v>37.74</v>
      </c>
      <c r="K196" s="192">
        <v>312.57000000000005</v>
      </c>
      <c r="L196" s="225"/>
    </row>
    <row r="197" spans="1:12" ht="13.2" customHeight="1" x14ac:dyDescent="0.25">
      <c r="A197" s="185">
        <v>1447736087</v>
      </c>
      <c r="B197" s="186" t="s">
        <v>328</v>
      </c>
      <c r="C197" s="187">
        <v>270.81</v>
      </c>
      <c r="D197" s="188">
        <v>1.1845000000000001</v>
      </c>
      <c r="E197" s="189">
        <v>41.89</v>
      </c>
      <c r="F197" s="189">
        <v>185.97</v>
      </c>
      <c r="G197" s="189">
        <v>10.12827386692382</v>
      </c>
      <c r="H197" s="189">
        <v>29.25</v>
      </c>
      <c r="I197" s="190"/>
      <c r="J197" s="191">
        <v>37.74</v>
      </c>
      <c r="K197" s="192">
        <v>304.98</v>
      </c>
      <c r="L197" s="225"/>
    </row>
    <row r="198" spans="1:12" ht="13.2" customHeight="1" x14ac:dyDescent="0.25">
      <c r="A198" s="185">
        <v>1982948550</v>
      </c>
      <c r="B198" s="186" t="s">
        <v>194</v>
      </c>
      <c r="C198" s="187">
        <v>258.93</v>
      </c>
      <c r="D198" s="188">
        <v>1.3827</v>
      </c>
      <c r="E198" s="189">
        <v>41.89</v>
      </c>
      <c r="F198" s="189">
        <v>209.29</v>
      </c>
      <c r="G198" s="189">
        <v>10.639471876564293</v>
      </c>
      <c r="H198" s="189">
        <v>0</v>
      </c>
      <c r="I198" s="190"/>
      <c r="J198" s="191">
        <v>37.74</v>
      </c>
      <c r="K198" s="192">
        <v>299.56</v>
      </c>
      <c r="L198" s="225"/>
    </row>
    <row r="199" spans="1:12" ht="13.2" customHeight="1" x14ac:dyDescent="0.25">
      <c r="A199" s="185">
        <v>1811611577</v>
      </c>
      <c r="B199" s="186" t="s">
        <v>657</v>
      </c>
      <c r="C199" s="187">
        <v>294.23</v>
      </c>
      <c r="D199" s="188">
        <v>1.3158000000000001</v>
      </c>
      <c r="E199" s="189">
        <v>41.89</v>
      </c>
      <c r="F199" s="189">
        <v>202.64000000000001</v>
      </c>
      <c r="G199" s="189">
        <v>30.621760791555435</v>
      </c>
      <c r="H199" s="189">
        <v>29.25</v>
      </c>
      <c r="I199" s="190"/>
      <c r="J199" s="191">
        <v>37.74</v>
      </c>
      <c r="K199" s="192">
        <v>342.14</v>
      </c>
      <c r="L199" s="225"/>
    </row>
    <row r="200" spans="1:12" ht="13.2" customHeight="1" x14ac:dyDescent="0.25">
      <c r="A200" s="185">
        <v>1336142470</v>
      </c>
      <c r="B200" s="186" t="s">
        <v>203</v>
      </c>
      <c r="C200" s="187">
        <v>261.15999999999997</v>
      </c>
      <c r="D200" s="188">
        <v>1.0155000000000001</v>
      </c>
      <c r="E200" s="189">
        <v>41.89</v>
      </c>
      <c r="F200" s="189">
        <v>173.37</v>
      </c>
      <c r="G200" s="189">
        <v>23.580485746690922</v>
      </c>
      <c r="H200" s="189">
        <v>29.25</v>
      </c>
      <c r="I200" s="190"/>
      <c r="J200" s="191">
        <v>37.74</v>
      </c>
      <c r="K200" s="192">
        <v>305.83</v>
      </c>
      <c r="L200" s="225"/>
    </row>
    <row r="201" spans="1:12" ht="13.2" customHeight="1" x14ac:dyDescent="0.25">
      <c r="A201" s="185">
        <v>1811984925</v>
      </c>
      <c r="B201" s="186" t="s">
        <v>204</v>
      </c>
      <c r="C201" s="187">
        <v>284.25</v>
      </c>
      <c r="D201" s="188">
        <v>1.2986</v>
      </c>
      <c r="E201" s="189">
        <v>41.89</v>
      </c>
      <c r="F201" s="189">
        <v>200.20999999999998</v>
      </c>
      <c r="G201" s="189">
        <v>16.839166959980663</v>
      </c>
      <c r="H201" s="189">
        <v>29.25</v>
      </c>
      <c r="I201" s="190"/>
      <c r="J201" s="191">
        <v>37.74</v>
      </c>
      <c r="K201" s="192">
        <v>325.93</v>
      </c>
      <c r="L201" s="225"/>
    </row>
    <row r="202" spans="1:12" ht="13.2" customHeight="1" x14ac:dyDescent="0.25">
      <c r="A202" s="185">
        <v>1689621880</v>
      </c>
      <c r="B202" s="186" t="s">
        <v>206</v>
      </c>
      <c r="C202" s="187">
        <v>272.68</v>
      </c>
      <c r="D202" s="188">
        <v>1.2136</v>
      </c>
      <c r="E202" s="189">
        <v>41.89</v>
      </c>
      <c r="F202" s="189">
        <v>192.29</v>
      </c>
      <c r="G202" s="189">
        <v>14.325121677917098</v>
      </c>
      <c r="H202" s="189">
        <v>29.25</v>
      </c>
      <c r="I202" s="190"/>
      <c r="J202" s="191">
        <v>37.74</v>
      </c>
      <c r="K202" s="192">
        <v>315.5</v>
      </c>
      <c r="L202" s="225"/>
    </row>
    <row r="203" spans="1:12" ht="13.2" customHeight="1" x14ac:dyDescent="0.25">
      <c r="A203" s="185">
        <v>1932750841</v>
      </c>
      <c r="B203" s="186" t="s">
        <v>208</v>
      </c>
      <c r="C203" s="187">
        <v>285.52999999999997</v>
      </c>
      <c r="D203" s="188">
        <v>1.2042999999999999</v>
      </c>
      <c r="E203" s="189">
        <v>41.89</v>
      </c>
      <c r="F203" s="189">
        <v>192.69</v>
      </c>
      <c r="G203" s="189">
        <v>29.000034744455128</v>
      </c>
      <c r="H203" s="189">
        <v>29.25</v>
      </c>
      <c r="I203" s="190"/>
      <c r="J203" s="191">
        <v>37.74</v>
      </c>
      <c r="K203" s="192">
        <v>330.57</v>
      </c>
      <c r="L203" s="225"/>
    </row>
    <row r="204" spans="1:12" ht="13.2" customHeight="1" x14ac:dyDescent="0.25">
      <c r="A204" s="185">
        <v>1851836118</v>
      </c>
      <c r="B204" s="186" t="s">
        <v>719</v>
      </c>
      <c r="C204" s="187">
        <v>262.57</v>
      </c>
      <c r="D204" s="188">
        <v>1.081</v>
      </c>
      <c r="E204" s="189">
        <v>41.89</v>
      </c>
      <c r="F204" s="189">
        <v>179.34</v>
      </c>
      <c r="G204" s="189">
        <v>15.229053851253642</v>
      </c>
      <c r="H204" s="189">
        <v>29.25</v>
      </c>
      <c r="I204" s="190"/>
      <c r="J204" s="191">
        <v>37.74</v>
      </c>
      <c r="K204" s="192">
        <v>303.45000000000005</v>
      </c>
      <c r="L204" s="225"/>
    </row>
    <row r="205" spans="1:12" ht="13.2" customHeight="1" x14ac:dyDescent="0.25">
      <c r="A205" s="185">
        <v>1598704504</v>
      </c>
      <c r="B205" s="186" t="s">
        <v>301</v>
      </c>
      <c r="C205" s="187">
        <v>277.89999999999998</v>
      </c>
      <c r="D205" s="188">
        <v>1.0592999999999999</v>
      </c>
      <c r="E205" s="189">
        <v>41.89</v>
      </c>
      <c r="F205" s="189">
        <v>177.56000000000003</v>
      </c>
      <c r="G205" s="189">
        <v>25.642660372468693</v>
      </c>
      <c r="H205" s="189">
        <v>29.25</v>
      </c>
      <c r="I205" s="190"/>
      <c r="J205" s="191">
        <v>37.74</v>
      </c>
      <c r="K205" s="192">
        <v>312.08</v>
      </c>
      <c r="L205" s="225"/>
    </row>
    <row r="206" spans="1:12" ht="13.2" customHeight="1" x14ac:dyDescent="0.25">
      <c r="A206" s="185">
        <v>1245227578</v>
      </c>
      <c r="B206" s="186" t="s">
        <v>120</v>
      </c>
      <c r="C206" s="187">
        <v>263.75</v>
      </c>
      <c r="D206" s="188">
        <v>1.0079</v>
      </c>
      <c r="E206" s="189">
        <v>41.89</v>
      </c>
      <c r="F206" s="189">
        <v>172.81</v>
      </c>
      <c r="G206" s="189">
        <v>44.507556721311495</v>
      </c>
      <c r="H206" s="189">
        <v>0</v>
      </c>
      <c r="I206" s="190"/>
      <c r="J206" s="191">
        <v>37.74</v>
      </c>
      <c r="K206" s="192">
        <v>296.95</v>
      </c>
      <c r="L206" s="225"/>
    </row>
    <row r="207" spans="1:12" ht="13.2" customHeight="1" x14ac:dyDescent="0.25">
      <c r="A207" s="185">
        <v>1427608959</v>
      </c>
      <c r="B207" s="186" t="s">
        <v>121</v>
      </c>
      <c r="C207" s="187">
        <v>279.15999999999997</v>
      </c>
      <c r="D207" s="188">
        <v>1.2023999999999999</v>
      </c>
      <c r="E207" s="189">
        <v>41.89</v>
      </c>
      <c r="F207" s="189">
        <v>192.28</v>
      </c>
      <c r="G207" s="189">
        <v>20.292438264223751</v>
      </c>
      <c r="H207" s="189">
        <v>29.25</v>
      </c>
      <c r="I207" s="190"/>
      <c r="J207" s="191">
        <v>37.74</v>
      </c>
      <c r="K207" s="192">
        <v>321.45000000000005</v>
      </c>
      <c r="L207" s="225"/>
    </row>
    <row r="208" spans="1:12" ht="13.2" customHeight="1" x14ac:dyDescent="0.25">
      <c r="A208" s="185">
        <v>1437564739</v>
      </c>
      <c r="B208" s="186" t="s">
        <v>704</v>
      </c>
      <c r="C208" s="187">
        <v>290.03999999999996</v>
      </c>
      <c r="D208" s="188">
        <v>1.2103999999999999</v>
      </c>
      <c r="E208" s="189">
        <v>41.89</v>
      </c>
      <c r="F208" s="189">
        <v>189.79999999999998</v>
      </c>
      <c r="G208" s="189">
        <v>26.408264991562191</v>
      </c>
      <c r="H208" s="189">
        <v>29.25</v>
      </c>
      <c r="I208" s="190"/>
      <c r="J208" s="191">
        <v>37.74</v>
      </c>
      <c r="K208" s="192">
        <v>325.09000000000003</v>
      </c>
      <c r="L208" s="225"/>
    </row>
    <row r="209" spans="1:12" ht="13.2" customHeight="1" x14ac:dyDescent="0.25">
      <c r="A209" s="185">
        <v>1548206907</v>
      </c>
      <c r="B209" s="186" t="s">
        <v>212</v>
      </c>
      <c r="C209" s="187">
        <v>291.09000000000003</v>
      </c>
      <c r="D209" s="188">
        <v>1.2603</v>
      </c>
      <c r="E209" s="189">
        <v>41.89</v>
      </c>
      <c r="F209" s="189">
        <v>194.03</v>
      </c>
      <c r="G209" s="189">
        <v>28.406008600530406</v>
      </c>
      <c r="H209" s="189">
        <v>29.25</v>
      </c>
      <c r="I209" s="190"/>
      <c r="J209" s="191">
        <v>37.74</v>
      </c>
      <c r="K209" s="192">
        <v>331.32000000000005</v>
      </c>
      <c r="L209" s="225"/>
    </row>
    <row r="210" spans="1:12" ht="13.2" customHeight="1" x14ac:dyDescent="0.25">
      <c r="A210" s="185">
        <v>1831551514</v>
      </c>
      <c r="B210" s="186" t="s">
        <v>642</v>
      </c>
      <c r="C210" s="187">
        <v>280.87</v>
      </c>
      <c r="D210" s="188">
        <v>1.2463</v>
      </c>
      <c r="E210" s="189">
        <v>41.89</v>
      </c>
      <c r="F210" s="189">
        <v>193.82</v>
      </c>
      <c r="G210" s="189">
        <v>17.075817436113741</v>
      </c>
      <c r="H210" s="189">
        <v>29.25</v>
      </c>
      <c r="I210" s="190"/>
      <c r="J210" s="191">
        <v>37.74</v>
      </c>
      <c r="K210" s="192">
        <v>319.77999999999997</v>
      </c>
      <c r="L210" s="225"/>
    </row>
    <row r="211" spans="1:12" ht="13.2" customHeight="1" x14ac:dyDescent="0.25">
      <c r="A211" s="185">
        <v>1295704849</v>
      </c>
      <c r="B211" s="186" t="s">
        <v>213</v>
      </c>
      <c r="C211" s="187">
        <v>292.42</v>
      </c>
      <c r="D211" s="188">
        <v>1.452</v>
      </c>
      <c r="E211" s="189">
        <v>41.89</v>
      </c>
      <c r="F211" s="189">
        <v>213.39000000000001</v>
      </c>
      <c r="G211" s="189">
        <v>8.8328269045323058</v>
      </c>
      <c r="H211" s="189">
        <v>29.25</v>
      </c>
      <c r="I211" s="190"/>
      <c r="J211" s="191">
        <v>37.74</v>
      </c>
      <c r="K211" s="192">
        <v>331.09999999999997</v>
      </c>
      <c r="L211" s="225"/>
    </row>
    <row r="212" spans="1:12" ht="13.2" customHeight="1" x14ac:dyDescent="0.25">
      <c r="A212" s="185">
        <v>1083298236</v>
      </c>
      <c r="B212" s="186" t="s">
        <v>214</v>
      </c>
      <c r="C212" s="187">
        <v>293.89</v>
      </c>
      <c r="D212" s="188">
        <v>1.2577</v>
      </c>
      <c r="E212" s="189">
        <v>41.89</v>
      </c>
      <c r="F212" s="189">
        <v>197.01000000000002</v>
      </c>
      <c r="G212" s="189">
        <v>26.933105167550604</v>
      </c>
      <c r="H212" s="189">
        <v>29.25</v>
      </c>
      <c r="I212" s="190"/>
      <c r="J212" s="191">
        <v>37.74</v>
      </c>
      <c r="K212" s="192">
        <v>332.82</v>
      </c>
      <c r="L212" s="225"/>
    </row>
    <row r="213" spans="1:12" ht="13.2" customHeight="1" x14ac:dyDescent="0.25">
      <c r="A213" s="185">
        <v>1538113014</v>
      </c>
      <c r="B213" s="186" t="s">
        <v>215</v>
      </c>
      <c r="C213" s="187">
        <v>283.34000000000003</v>
      </c>
      <c r="D213" s="188">
        <v>1.0966</v>
      </c>
      <c r="E213" s="189">
        <v>41.89</v>
      </c>
      <c r="F213" s="189">
        <v>181.13000000000002</v>
      </c>
      <c r="G213" s="189">
        <v>25.511791748653664</v>
      </c>
      <c r="H213" s="189">
        <v>29.25</v>
      </c>
      <c r="I213" s="190"/>
      <c r="J213" s="191">
        <v>37.74</v>
      </c>
      <c r="K213" s="192">
        <v>315.52</v>
      </c>
      <c r="L213" s="225"/>
    </row>
    <row r="214" spans="1:12" ht="13.2" customHeight="1" x14ac:dyDescent="0.25">
      <c r="A214" s="185">
        <v>1336193754</v>
      </c>
      <c r="B214" s="186" t="s">
        <v>700</v>
      </c>
      <c r="C214" s="187">
        <v>281.03999999999996</v>
      </c>
      <c r="D214" s="188">
        <v>1.2701</v>
      </c>
      <c r="E214" s="189">
        <v>41.89</v>
      </c>
      <c r="F214" s="189">
        <v>197.51000000000002</v>
      </c>
      <c r="G214" s="189">
        <v>35.174735653755704</v>
      </c>
      <c r="H214" s="189">
        <v>9.4499999999999993</v>
      </c>
      <c r="I214" s="190"/>
      <c r="J214" s="191">
        <v>37.74</v>
      </c>
      <c r="K214" s="192">
        <v>321.76000000000005</v>
      </c>
      <c r="L214" s="225"/>
    </row>
    <row r="215" spans="1:12" ht="13.2" customHeight="1" x14ac:dyDescent="0.25">
      <c r="A215" s="185">
        <v>1326089616</v>
      </c>
      <c r="B215" s="186" t="s">
        <v>220</v>
      </c>
      <c r="C215" s="187">
        <v>266.85000000000002</v>
      </c>
      <c r="D215" s="188">
        <v>1.0307999999999999</v>
      </c>
      <c r="E215" s="189">
        <v>41.89</v>
      </c>
      <c r="F215" s="189">
        <v>175.18</v>
      </c>
      <c r="G215" s="189">
        <v>22.946320848601694</v>
      </c>
      <c r="H215" s="189">
        <v>29.25</v>
      </c>
      <c r="I215" s="190"/>
      <c r="J215" s="191">
        <v>37.74</v>
      </c>
      <c r="K215" s="192">
        <v>307.01</v>
      </c>
      <c r="L215" s="225"/>
    </row>
    <row r="216" spans="1:12" ht="13.2" customHeight="1" x14ac:dyDescent="0.25">
      <c r="A216" s="185">
        <v>1669425401</v>
      </c>
      <c r="B216" s="186" t="s">
        <v>217</v>
      </c>
      <c r="C216" s="187">
        <v>277.49</v>
      </c>
      <c r="D216" s="188">
        <v>1.1518999999999999</v>
      </c>
      <c r="E216" s="189">
        <v>41.89</v>
      </c>
      <c r="F216" s="189">
        <v>185.26999999999998</v>
      </c>
      <c r="G216" s="189">
        <v>26.669133730244059</v>
      </c>
      <c r="H216" s="189">
        <v>29.25</v>
      </c>
      <c r="I216" s="190"/>
      <c r="J216" s="191">
        <v>37.74</v>
      </c>
      <c r="K216" s="192">
        <v>320.82000000000005</v>
      </c>
      <c r="L216" s="225"/>
    </row>
    <row r="217" spans="1:12" ht="13.2" customHeight="1" x14ac:dyDescent="0.25">
      <c r="A217" s="185">
        <v>1861446338</v>
      </c>
      <c r="B217" s="186" t="s">
        <v>218</v>
      </c>
      <c r="C217" s="187">
        <v>276.39</v>
      </c>
      <c r="D217" s="188">
        <v>1.2019</v>
      </c>
      <c r="E217" s="189">
        <v>41.89</v>
      </c>
      <c r="F217" s="189">
        <v>184.87</v>
      </c>
      <c r="G217" s="189">
        <v>22.334641121197748</v>
      </c>
      <c r="H217" s="189">
        <v>29.25</v>
      </c>
      <c r="I217" s="190"/>
      <c r="J217" s="191">
        <v>37.74</v>
      </c>
      <c r="K217" s="192">
        <v>316.08</v>
      </c>
      <c r="L217" s="225"/>
    </row>
    <row r="218" spans="1:12" ht="13.2" customHeight="1" x14ac:dyDescent="0.25">
      <c r="A218" s="185">
        <v>1407800972</v>
      </c>
      <c r="B218" s="186" t="s">
        <v>219</v>
      </c>
      <c r="C218" s="187">
        <v>281.62</v>
      </c>
      <c r="D218" s="188">
        <v>1.1417999999999999</v>
      </c>
      <c r="E218" s="189">
        <v>41.89</v>
      </c>
      <c r="F218" s="189">
        <v>185.61</v>
      </c>
      <c r="G218" s="189">
        <v>21.807421891087522</v>
      </c>
      <c r="H218" s="189">
        <v>29.25</v>
      </c>
      <c r="I218" s="190"/>
      <c r="J218" s="191">
        <v>37.74</v>
      </c>
      <c r="K218" s="192">
        <v>316.3</v>
      </c>
      <c r="L218" s="225"/>
    </row>
    <row r="219" spans="1:12" ht="13.2" customHeight="1" x14ac:dyDescent="0.25">
      <c r="A219" s="185">
        <v>1861446270</v>
      </c>
      <c r="B219" s="186" t="s">
        <v>227</v>
      </c>
      <c r="C219" s="187">
        <v>292.47000000000003</v>
      </c>
      <c r="D219" s="188">
        <v>1.2695000000000001</v>
      </c>
      <c r="E219" s="189">
        <v>41.89</v>
      </c>
      <c r="F219" s="189">
        <v>196.20000000000002</v>
      </c>
      <c r="G219" s="189">
        <v>27.069378529987649</v>
      </c>
      <c r="H219" s="189">
        <v>29.25</v>
      </c>
      <c r="I219" s="190"/>
      <c r="J219" s="191">
        <v>37.74</v>
      </c>
      <c r="K219" s="192">
        <v>332.15</v>
      </c>
      <c r="L219" s="225"/>
    </row>
    <row r="220" spans="1:12" ht="13.2" customHeight="1" x14ac:dyDescent="0.25">
      <c r="A220" s="185">
        <v>1851941389</v>
      </c>
      <c r="B220" s="186" t="s">
        <v>255</v>
      </c>
      <c r="C220" s="187">
        <v>270.93</v>
      </c>
      <c r="D220" s="188">
        <v>1.22</v>
      </c>
      <c r="E220" s="189">
        <v>41.89</v>
      </c>
      <c r="F220" s="189">
        <v>191.07</v>
      </c>
      <c r="G220" s="189">
        <v>8.9282176952748316</v>
      </c>
      <c r="H220" s="189">
        <v>29.25</v>
      </c>
      <c r="I220" s="190"/>
      <c r="J220" s="191">
        <v>37.74</v>
      </c>
      <c r="K220" s="192">
        <v>308.88</v>
      </c>
      <c r="L220" s="225"/>
    </row>
    <row r="221" spans="1:12" ht="13.2" customHeight="1" x14ac:dyDescent="0.25">
      <c r="A221" s="185">
        <v>1295101673</v>
      </c>
      <c r="B221" s="186" t="s">
        <v>228</v>
      </c>
      <c r="C221" s="187">
        <v>260.25</v>
      </c>
      <c r="D221" s="188">
        <v>1.0693999999999999</v>
      </c>
      <c r="E221" s="189">
        <v>41.89</v>
      </c>
      <c r="F221" s="189">
        <v>177.5</v>
      </c>
      <c r="G221" s="189">
        <v>8.8328269045323058</v>
      </c>
      <c r="H221" s="189">
        <v>29.25</v>
      </c>
      <c r="I221" s="190"/>
      <c r="J221" s="191">
        <v>37.74</v>
      </c>
      <c r="K221" s="192">
        <v>295.20999999999998</v>
      </c>
      <c r="L221" s="225"/>
    </row>
    <row r="222" spans="1:12" ht="13.2" customHeight="1" x14ac:dyDescent="0.25">
      <c r="A222" s="185">
        <v>1760415434</v>
      </c>
      <c r="B222" s="186" t="s">
        <v>229</v>
      </c>
      <c r="C222" s="187">
        <v>276.38</v>
      </c>
      <c r="D222" s="188">
        <v>1.0647</v>
      </c>
      <c r="E222" s="189">
        <v>41.89</v>
      </c>
      <c r="F222" s="189">
        <v>176.94</v>
      </c>
      <c r="G222" s="189">
        <v>15.682536550747347</v>
      </c>
      <c r="H222" s="189">
        <v>29.25</v>
      </c>
      <c r="I222" s="190"/>
      <c r="J222" s="191">
        <v>37.74</v>
      </c>
      <c r="K222" s="192">
        <v>301.5</v>
      </c>
      <c r="L222" s="225"/>
    </row>
    <row r="223" spans="1:12" ht="13.2" customHeight="1" x14ac:dyDescent="0.25">
      <c r="A223" s="185">
        <v>1629494059</v>
      </c>
      <c r="B223" s="186" t="s">
        <v>230</v>
      </c>
      <c r="C223" s="187">
        <v>287.70999999999998</v>
      </c>
      <c r="D223" s="188">
        <v>1.3819999999999999</v>
      </c>
      <c r="E223" s="189">
        <v>41.89</v>
      </c>
      <c r="F223" s="189">
        <v>203.29</v>
      </c>
      <c r="G223" s="189">
        <v>13.399204223722288</v>
      </c>
      <c r="H223" s="189">
        <v>29.25</v>
      </c>
      <c r="I223" s="190"/>
      <c r="J223" s="191">
        <v>37.74</v>
      </c>
      <c r="K223" s="192">
        <v>325.57</v>
      </c>
      <c r="L223" s="225"/>
    </row>
    <row r="224" spans="1:12" ht="13.2" customHeight="1" x14ac:dyDescent="0.25">
      <c r="A224" s="185">
        <v>1174149934</v>
      </c>
      <c r="B224" s="186" t="s">
        <v>715</v>
      </c>
      <c r="C224" s="187">
        <v>283.77999999999997</v>
      </c>
      <c r="D224" s="188">
        <v>1.2703</v>
      </c>
      <c r="E224" s="189">
        <v>41.89</v>
      </c>
      <c r="F224" s="189">
        <v>194.07000000000002</v>
      </c>
      <c r="G224" s="189">
        <v>21.850559172495952</v>
      </c>
      <c r="H224" s="189">
        <v>29.25</v>
      </c>
      <c r="I224" s="190"/>
      <c r="J224" s="191">
        <v>37.74</v>
      </c>
      <c r="K224" s="192">
        <v>324.8</v>
      </c>
      <c r="L224" s="225"/>
    </row>
    <row r="225" spans="1:12" ht="13.2" customHeight="1" x14ac:dyDescent="0.25">
      <c r="A225" s="185">
        <v>1467421024</v>
      </c>
      <c r="B225" s="186" t="s">
        <v>231</v>
      </c>
      <c r="C225" s="187">
        <v>289.99</v>
      </c>
      <c r="D225" s="188">
        <v>1.3714</v>
      </c>
      <c r="E225" s="189">
        <v>41.89</v>
      </c>
      <c r="F225" s="189">
        <v>202.12000000000003</v>
      </c>
      <c r="G225" s="189">
        <v>19.783511456123382</v>
      </c>
      <c r="H225" s="189">
        <v>29.25</v>
      </c>
      <c r="I225" s="190"/>
      <c r="J225" s="191">
        <v>37.74</v>
      </c>
      <c r="K225" s="192">
        <v>330.78</v>
      </c>
      <c r="L225" s="225"/>
    </row>
    <row r="226" spans="1:12" ht="13.2" customHeight="1" x14ac:dyDescent="0.25">
      <c r="A226" s="185">
        <v>1043865538</v>
      </c>
      <c r="B226" s="186" t="s">
        <v>225</v>
      </c>
      <c r="C226" s="187">
        <v>264.18</v>
      </c>
      <c r="D226" s="188">
        <v>1.1164000000000001</v>
      </c>
      <c r="E226" s="189">
        <v>41.89</v>
      </c>
      <c r="F226" s="189">
        <v>181.42</v>
      </c>
      <c r="G226" s="189">
        <v>12.390335785920911</v>
      </c>
      <c r="H226" s="189">
        <v>29.25</v>
      </c>
      <c r="I226" s="190"/>
      <c r="J226" s="191">
        <v>37.74</v>
      </c>
      <c r="K226" s="192">
        <v>302.69</v>
      </c>
      <c r="L226" s="225"/>
    </row>
    <row r="227" spans="1:12" ht="13.2" customHeight="1" x14ac:dyDescent="0.25">
      <c r="A227" s="185">
        <v>1215931977</v>
      </c>
      <c r="B227" s="186" t="s">
        <v>310</v>
      </c>
      <c r="C227" s="187">
        <v>298.84000000000003</v>
      </c>
      <c r="D227" s="188">
        <v>1.1361000000000001</v>
      </c>
      <c r="E227" s="189">
        <v>41.89</v>
      </c>
      <c r="F227" s="189">
        <v>184.77</v>
      </c>
      <c r="G227" s="189">
        <v>37.288442896966806</v>
      </c>
      <c r="H227" s="189">
        <v>29.25</v>
      </c>
      <c r="I227" s="190"/>
      <c r="J227" s="191">
        <v>37.74</v>
      </c>
      <c r="K227" s="192">
        <v>330.94000000000005</v>
      </c>
      <c r="L227" s="225"/>
    </row>
    <row r="228" spans="1:12" ht="13.2" customHeight="1" x14ac:dyDescent="0.25">
      <c r="A228" s="185">
        <v>1508864323</v>
      </c>
      <c r="B228" s="186" t="s">
        <v>311</v>
      </c>
      <c r="C228" s="187">
        <v>300.39</v>
      </c>
      <c r="D228" s="188">
        <v>1.1768000000000001</v>
      </c>
      <c r="E228" s="189">
        <v>41.89</v>
      </c>
      <c r="F228" s="189">
        <v>188.96</v>
      </c>
      <c r="G228" s="189">
        <v>38.855088752723823</v>
      </c>
      <c r="H228" s="189">
        <v>29.25</v>
      </c>
      <c r="I228" s="190"/>
      <c r="J228" s="191">
        <v>37.74</v>
      </c>
      <c r="K228" s="192">
        <v>336.70000000000005</v>
      </c>
      <c r="L228" s="225"/>
    </row>
    <row r="229" spans="1:12" ht="13.2" customHeight="1" x14ac:dyDescent="0.25">
      <c r="A229" s="185">
        <v>1427052067</v>
      </c>
      <c r="B229" s="186" t="s">
        <v>312</v>
      </c>
      <c r="C229" s="187">
        <v>305.65999999999997</v>
      </c>
      <c r="D229" s="188">
        <v>1.2427999999999999</v>
      </c>
      <c r="E229" s="189">
        <v>41.89</v>
      </c>
      <c r="F229" s="189">
        <v>197.17000000000002</v>
      </c>
      <c r="G229" s="189">
        <v>31.706000758159515</v>
      </c>
      <c r="H229" s="189">
        <v>29.25</v>
      </c>
      <c r="I229" s="190"/>
      <c r="J229" s="191">
        <v>37.74</v>
      </c>
      <c r="K229" s="192">
        <v>337.76</v>
      </c>
      <c r="L229" s="225"/>
    </row>
    <row r="230" spans="1:12" ht="13.2" customHeight="1" x14ac:dyDescent="0.25">
      <c r="A230" s="185">
        <v>1912902230</v>
      </c>
      <c r="B230" s="186" t="s">
        <v>308</v>
      </c>
      <c r="C230" s="187">
        <v>293.52999999999997</v>
      </c>
      <c r="D230" s="188">
        <v>1.2302</v>
      </c>
      <c r="E230" s="189">
        <v>41.89</v>
      </c>
      <c r="F230" s="189">
        <v>191.72</v>
      </c>
      <c r="G230" s="189">
        <v>35.34343524418189</v>
      </c>
      <c r="H230" s="189">
        <v>29.25</v>
      </c>
      <c r="I230" s="190"/>
      <c r="J230" s="191">
        <v>37.74</v>
      </c>
      <c r="K230" s="192">
        <v>335.94000000000005</v>
      </c>
      <c r="L230" s="225"/>
    </row>
    <row r="231" spans="1:12" ht="13.2" customHeight="1" x14ac:dyDescent="0.25">
      <c r="A231" s="185">
        <v>1447254149</v>
      </c>
      <c r="B231" s="186" t="s">
        <v>232</v>
      </c>
      <c r="C231" s="187">
        <v>284.02</v>
      </c>
      <c r="D231" s="188">
        <v>1.3353999999999999</v>
      </c>
      <c r="E231" s="189">
        <v>41.89</v>
      </c>
      <c r="F231" s="189">
        <v>203.87</v>
      </c>
      <c r="G231" s="189">
        <v>36.319342147771636</v>
      </c>
      <c r="H231" s="189">
        <v>0</v>
      </c>
      <c r="I231" s="190"/>
      <c r="J231" s="191">
        <v>37.74</v>
      </c>
      <c r="K231" s="192">
        <v>319.82</v>
      </c>
      <c r="L231" s="225"/>
    </row>
    <row r="232" spans="1:12" ht="13.2" customHeight="1" x14ac:dyDescent="0.25">
      <c r="A232" s="185">
        <v>1497058416</v>
      </c>
      <c r="B232" s="186" t="s">
        <v>665</v>
      </c>
      <c r="C232" s="187">
        <v>301.72000000000003</v>
      </c>
      <c r="D232" s="188">
        <v>1.4879</v>
      </c>
      <c r="E232" s="189">
        <v>41.89</v>
      </c>
      <c r="F232" s="189">
        <v>215.24</v>
      </c>
      <c r="G232" s="189">
        <v>16.599666423496462</v>
      </c>
      <c r="H232" s="189">
        <v>29.25</v>
      </c>
      <c r="I232" s="190"/>
      <c r="J232" s="191">
        <v>37.74</v>
      </c>
      <c r="K232" s="192">
        <v>340.72</v>
      </c>
      <c r="L232" s="225"/>
    </row>
    <row r="233" spans="1:12" ht="13.2" customHeight="1" x14ac:dyDescent="0.25">
      <c r="A233" s="185">
        <v>1407325103</v>
      </c>
      <c r="B233" s="186" t="s">
        <v>171</v>
      </c>
      <c r="C233" s="187">
        <v>287.18</v>
      </c>
      <c r="D233" s="188">
        <v>1.3009999999999999</v>
      </c>
      <c r="E233" s="189">
        <v>41.89</v>
      </c>
      <c r="F233" s="189">
        <v>200.43</v>
      </c>
      <c r="G233" s="189">
        <v>14.670288225530378</v>
      </c>
      <c r="H233" s="189">
        <v>29.25</v>
      </c>
      <c r="I233" s="190"/>
      <c r="J233" s="191">
        <v>37.74</v>
      </c>
      <c r="K233" s="192">
        <v>323.98</v>
      </c>
      <c r="L233" s="225"/>
    </row>
    <row r="234" spans="1:12" ht="13.2" customHeight="1" x14ac:dyDescent="0.25">
      <c r="A234" s="185">
        <v>1164725198</v>
      </c>
      <c r="B234" s="186" t="s">
        <v>711</v>
      </c>
      <c r="C234" s="187">
        <v>302.92</v>
      </c>
      <c r="D234" s="188">
        <v>1.4904999999999999</v>
      </c>
      <c r="E234" s="189">
        <v>41.89</v>
      </c>
      <c r="F234" s="189">
        <v>216.78</v>
      </c>
      <c r="G234" s="189">
        <v>15.917970166345262</v>
      </c>
      <c r="H234" s="189">
        <v>29.25</v>
      </c>
      <c r="I234" s="190"/>
      <c r="J234" s="191">
        <v>37.74</v>
      </c>
      <c r="K234" s="192">
        <v>341.58000000000004</v>
      </c>
      <c r="L234" s="225"/>
    </row>
    <row r="235" spans="1:12" ht="13.2" customHeight="1" x14ac:dyDescent="0.25">
      <c r="A235" s="185">
        <v>1528544145</v>
      </c>
      <c r="B235" s="186" t="s">
        <v>718</v>
      </c>
      <c r="C235" s="187">
        <v>291.33000000000004</v>
      </c>
      <c r="D235" s="188">
        <v>1.3898999999999999</v>
      </c>
      <c r="E235" s="189">
        <v>41.89</v>
      </c>
      <c r="F235" s="189">
        <v>204.82000000000002</v>
      </c>
      <c r="G235" s="189">
        <v>21.179946615236297</v>
      </c>
      <c r="H235" s="189">
        <v>29.25</v>
      </c>
      <c r="I235" s="190"/>
      <c r="J235" s="191">
        <v>37.74</v>
      </c>
      <c r="K235" s="192">
        <v>334.88</v>
      </c>
      <c r="L235" s="225"/>
    </row>
    <row r="236" spans="1:12" ht="13.2" customHeight="1" x14ac:dyDescent="0.25">
      <c r="A236" s="185">
        <v>1922747088</v>
      </c>
      <c r="B236" s="186" t="s">
        <v>584</v>
      </c>
      <c r="C236" s="187">
        <v>303.29000000000002</v>
      </c>
      <c r="D236" s="188">
        <v>1.4744999999999999</v>
      </c>
      <c r="E236" s="189">
        <v>41.89</v>
      </c>
      <c r="F236" s="189">
        <v>219.14000000000001</v>
      </c>
      <c r="G236" s="189">
        <v>15.826128616200537</v>
      </c>
      <c r="H236" s="189">
        <v>29.25</v>
      </c>
      <c r="I236" s="190"/>
      <c r="J236" s="191">
        <v>37.74</v>
      </c>
      <c r="K236" s="192">
        <v>343.84999999999997</v>
      </c>
      <c r="L236" s="225"/>
    </row>
    <row r="237" spans="1:12" ht="13.2" customHeight="1" x14ac:dyDescent="0.25">
      <c r="A237" s="185">
        <v>1023671765</v>
      </c>
      <c r="B237" s="186" t="s">
        <v>136</v>
      </c>
      <c r="C237" s="187">
        <v>268.66999999999996</v>
      </c>
      <c r="D237" s="188">
        <v>1.3808</v>
      </c>
      <c r="E237" s="189">
        <v>41.89</v>
      </c>
      <c r="F237" s="189">
        <v>206.65</v>
      </c>
      <c r="G237" s="189">
        <v>8.9282176952748316</v>
      </c>
      <c r="H237" s="189">
        <v>9.4499999999999993</v>
      </c>
      <c r="I237" s="190"/>
      <c r="J237" s="191">
        <v>37.74</v>
      </c>
      <c r="K237" s="192">
        <v>304.66000000000003</v>
      </c>
      <c r="L237" s="225"/>
    </row>
    <row r="238" spans="1:12" ht="13.2" customHeight="1" x14ac:dyDescent="0.25">
      <c r="A238" s="185">
        <v>1245737840</v>
      </c>
      <c r="B238" s="186" t="s">
        <v>615</v>
      </c>
      <c r="C238" s="187">
        <v>292.89</v>
      </c>
      <c r="D238" s="188">
        <v>1.2363</v>
      </c>
      <c r="E238" s="189">
        <v>41.89</v>
      </c>
      <c r="F238" s="189">
        <v>192.6</v>
      </c>
      <c r="G238" s="189">
        <v>29.154889467363834</v>
      </c>
      <c r="H238" s="189">
        <v>29.25</v>
      </c>
      <c r="I238" s="190"/>
      <c r="J238" s="191">
        <v>37.74</v>
      </c>
      <c r="K238" s="192">
        <v>330.63</v>
      </c>
      <c r="L238" s="225"/>
    </row>
    <row r="239" spans="1:12" ht="13.2" customHeight="1" x14ac:dyDescent="0.25">
      <c r="A239" s="185">
        <v>1720033475</v>
      </c>
      <c r="B239" s="186" t="s">
        <v>233</v>
      </c>
      <c r="C239" s="187">
        <v>269.63</v>
      </c>
      <c r="D239" s="188">
        <v>1.1839999999999999</v>
      </c>
      <c r="E239" s="189">
        <v>41.89</v>
      </c>
      <c r="F239" s="189">
        <v>189.70000000000002</v>
      </c>
      <c r="G239" s="189">
        <v>9.1213487270974039</v>
      </c>
      <c r="H239" s="189">
        <v>29.25</v>
      </c>
      <c r="I239" s="190"/>
      <c r="J239" s="191">
        <v>37.74</v>
      </c>
      <c r="K239" s="192">
        <v>307.7</v>
      </c>
      <c r="L239" s="225"/>
    </row>
    <row r="240" spans="1:12" ht="13.2" customHeight="1" x14ac:dyDescent="0.25">
      <c r="A240" s="185">
        <v>1477641694</v>
      </c>
      <c r="B240" s="186" t="s">
        <v>234</v>
      </c>
      <c r="C240" s="187">
        <v>227.19</v>
      </c>
      <c r="D240" s="188">
        <v>0.9214</v>
      </c>
      <c r="E240" s="189">
        <v>41.89</v>
      </c>
      <c r="F240" s="189">
        <v>164.86</v>
      </c>
      <c r="G240" s="189">
        <v>22.020636944784115</v>
      </c>
      <c r="H240" s="189">
        <v>0</v>
      </c>
      <c r="I240" s="190"/>
      <c r="J240" s="191">
        <v>37.74</v>
      </c>
      <c r="K240" s="192">
        <v>266.51</v>
      </c>
      <c r="L240" s="225"/>
    </row>
    <row r="241" spans="1:12" ht="13.2" customHeight="1" x14ac:dyDescent="0.25">
      <c r="A241" s="185">
        <v>1548230188</v>
      </c>
      <c r="B241" s="186" t="s">
        <v>735</v>
      </c>
      <c r="C241" s="187">
        <v>220.58</v>
      </c>
      <c r="D241" s="188">
        <v>0.88360000000000005</v>
      </c>
      <c r="E241" s="189">
        <v>41.89</v>
      </c>
      <c r="F241" s="189">
        <v>160.06</v>
      </c>
      <c r="G241" s="189">
        <v>15.70953742767599</v>
      </c>
      <c r="H241" s="189">
        <v>0</v>
      </c>
      <c r="I241" s="190"/>
      <c r="J241" s="191">
        <v>37.74</v>
      </c>
      <c r="K241" s="192">
        <v>255.4</v>
      </c>
      <c r="L241" s="225"/>
    </row>
    <row r="242" spans="1:12" ht="13.2" customHeight="1" x14ac:dyDescent="0.25">
      <c r="A242" s="185">
        <v>1699336776</v>
      </c>
      <c r="B242" s="186" t="s">
        <v>292</v>
      </c>
      <c r="C242" s="187">
        <v>267.02999999999997</v>
      </c>
      <c r="D242" s="188">
        <v>1.2387999999999999</v>
      </c>
      <c r="E242" s="189">
        <v>41.89</v>
      </c>
      <c r="F242" s="189">
        <v>192.07999999999998</v>
      </c>
      <c r="G242" s="189">
        <v>9.0236084860173591</v>
      </c>
      <c r="H242" s="189">
        <v>29.25</v>
      </c>
      <c r="I242" s="190"/>
      <c r="J242" s="191">
        <v>37.74</v>
      </c>
      <c r="K242" s="192">
        <v>309.98</v>
      </c>
      <c r="L242" s="225"/>
    </row>
    <row r="243" spans="1:12" ht="13.2" customHeight="1" x14ac:dyDescent="0.25">
      <c r="A243" s="185">
        <v>1790317840</v>
      </c>
      <c r="B243" s="186" t="s">
        <v>670</v>
      </c>
      <c r="C243" s="187">
        <v>308.33</v>
      </c>
      <c r="D243" s="188">
        <v>1.4121999999999999</v>
      </c>
      <c r="E243" s="189">
        <v>41.89</v>
      </c>
      <c r="F243" s="189">
        <v>210.77</v>
      </c>
      <c r="G243" s="189">
        <v>27.898174602217939</v>
      </c>
      <c r="H243" s="189">
        <v>29.25</v>
      </c>
      <c r="I243" s="190"/>
      <c r="J243" s="191">
        <v>37.74</v>
      </c>
      <c r="K243" s="192">
        <v>347.55</v>
      </c>
      <c r="L243" s="225"/>
    </row>
    <row r="244" spans="1:12" ht="13.2" customHeight="1" x14ac:dyDescent="0.25">
      <c r="A244" s="185">
        <v>1831197714</v>
      </c>
      <c r="B244" s="186" t="s">
        <v>235</v>
      </c>
      <c r="C244" s="187">
        <v>280.82</v>
      </c>
      <c r="D244" s="188">
        <v>1.2481</v>
      </c>
      <c r="E244" s="189">
        <v>41.89</v>
      </c>
      <c r="F244" s="189">
        <v>194.68</v>
      </c>
      <c r="G244" s="189">
        <v>18.47235172749798</v>
      </c>
      <c r="H244" s="189">
        <v>29.25</v>
      </c>
      <c r="I244" s="190"/>
      <c r="J244" s="191">
        <v>37.74</v>
      </c>
      <c r="K244" s="192">
        <v>322.02999999999997</v>
      </c>
      <c r="L244" s="225"/>
    </row>
    <row r="245" spans="1:12" ht="13.2" customHeight="1" x14ac:dyDescent="0.25">
      <c r="A245" s="185">
        <v>1871063214</v>
      </c>
      <c r="B245" s="186" t="s">
        <v>326</v>
      </c>
      <c r="C245" s="187">
        <v>260.21999999999997</v>
      </c>
      <c r="D245" s="188">
        <v>0.99739999999999995</v>
      </c>
      <c r="E245" s="189">
        <v>41.89</v>
      </c>
      <c r="F245" s="189">
        <v>171.81</v>
      </c>
      <c r="G245" s="189">
        <v>16.206471556471882</v>
      </c>
      <c r="H245" s="189">
        <v>29.25</v>
      </c>
      <c r="I245" s="190"/>
      <c r="J245" s="191">
        <v>37.74</v>
      </c>
      <c r="K245" s="192">
        <v>296.89999999999998</v>
      </c>
      <c r="L245" s="225"/>
    </row>
    <row r="246" spans="1:12" ht="13.2" customHeight="1" x14ac:dyDescent="0.25">
      <c r="A246" s="185">
        <v>1952396509</v>
      </c>
      <c r="B246" s="186" t="s">
        <v>236</v>
      </c>
      <c r="C246" s="187">
        <v>264.51</v>
      </c>
      <c r="D246" s="188">
        <v>1.0835999999999999</v>
      </c>
      <c r="E246" s="189">
        <v>41.89</v>
      </c>
      <c r="F246" s="189">
        <v>179.75</v>
      </c>
      <c r="G246" s="189">
        <v>8.7374361137897782</v>
      </c>
      <c r="H246" s="189">
        <v>29.25</v>
      </c>
      <c r="I246" s="190"/>
      <c r="J246" s="191">
        <v>37.74</v>
      </c>
      <c r="K246" s="192">
        <v>297.37</v>
      </c>
      <c r="L246" s="225"/>
    </row>
    <row r="247" spans="1:12" ht="13.2" customHeight="1" x14ac:dyDescent="0.25">
      <c r="A247" s="185">
        <v>1396754875</v>
      </c>
      <c r="B247" s="186" t="s">
        <v>237</v>
      </c>
      <c r="C247" s="187">
        <v>292.73</v>
      </c>
      <c r="D247" s="188">
        <v>1.1889000000000001</v>
      </c>
      <c r="E247" s="189">
        <v>41.89</v>
      </c>
      <c r="F247" s="189">
        <v>191.57999999999998</v>
      </c>
      <c r="G247" s="189">
        <v>29.935848237734298</v>
      </c>
      <c r="H247" s="189">
        <v>29.25</v>
      </c>
      <c r="I247" s="190"/>
      <c r="J247" s="191">
        <v>37.74</v>
      </c>
      <c r="K247" s="192">
        <v>330.40000000000003</v>
      </c>
      <c r="L247" s="225"/>
    </row>
    <row r="248" spans="1:12" ht="13.2" customHeight="1" x14ac:dyDescent="0.25">
      <c r="A248" s="185">
        <v>1922611102</v>
      </c>
      <c r="B248" s="186" t="s">
        <v>716</v>
      </c>
      <c r="C248" s="187">
        <v>277.95999999999998</v>
      </c>
      <c r="D248" s="188">
        <v>1.2775000000000001</v>
      </c>
      <c r="E248" s="189">
        <v>41.89</v>
      </c>
      <c r="F248" s="189">
        <v>199.64000000000001</v>
      </c>
      <c r="G248" s="189">
        <v>9.9114928580038182</v>
      </c>
      <c r="H248" s="189">
        <v>29.25</v>
      </c>
      <c r="I248" s="190"/>
      <c r="J248" s="191">
        <v>37.74</v>
      </c>
      <c r="K248" s="192">
        <v>318.43</v>
      </c>
      <c r="L248" s="225"/>
    </row>
    <row r="249" spans="1:12" ht="13.2" customHeight="1" x14ac:dyDescent="0.25">
      <c r="A249" s="185">
        <v>1851348379</v>
      </c>
      <c r="B249" s="186" t="s">
        <v>693</v>
      </c>
      <c r="C249" s="187">
        <v>271.11</v>
      </c>
      <c r="D249" s="188">
        <v>1.0496000000000001</v>
      </c>
      <c r="E249" s="189">
        <v>41.89</v>
      </c>
      <c r="F249" s="189">
        <v>175.73000000000002</v>
      </c>
      <c r="G249" s="189">
        <v>25.426503580038521</v>
      </c>
      <c r="H249" s="189">
        <v>29.25</v>
      </c>
      <c r="I249" s="190"/>
      <c r="J249" s="191">
        <v>37.74</v>
      </c>
      <c r="K249" s="192">
        <v>310.04000000000002</v>
      </c>
      <c r="L249" s="225"/>
    </row>
    <row r="250" spans="1:12" ht="13.2" customHeight="1" x14ac:dyDescent="0.25">
      <c r="A250" s="185">
        <v>1477146959</v>
      </c>
      <c r="B250" s="186" t="s">
        <v>676</v>
      </c>
      <c r="C250" s="187">
        <v>279.38</v>
      </c>
      <c r="D250" s="188">
        <v>1.4593</v>
      </c>
      <c r="E250" s="189">
        <v>41.89</v>
      </c>
      <c r="F250" s="189">
        <v>211.98000000000002</v>
      </c>
      <c r="G250" s="189">
        <v>14.653214353947831</v>
      </c>
      <c r="H250" s="189">
        <v>9.4499999999999993</v>
      </c>
      <c r="I250" s="190"/>
      <c r="J250" s="191">
        <v>37.74</v>
      </c>
      <c r="K250" s="192">
        <v>315.70999999999998</v>
      </c>
      <c r="L250" s="225"/>
    </row>
    <row r="251" spans="1:12" ht="13.2" customHeight="1" x14ac:dyDescent="0.25">
      <c r="A251" s="185">
        <v>1093754459</v>
      </c>
      <c r="B251" s="186" t="s">
        <v>239</v>
      </c>
      <c r="C251" s="187">
        <v>279.27999999999997</v>
      </c>
      <c r="D251" s="188">
        <v>1.2465999999999999</v>
      </c>
      <c r="E251" s="189">
        <v>41.89</v>
      </c>
      <c r="F251" s="189">
        <v>193.82000000000002</v>
      </c>
      <c r="G251" s="189">
        <v>17.276169105593052</v>
      </c>
      <c r="H251" s="189">
        <v>29.25</v>
      </c>
      <c r="I251" s="190"/>
      <c r="J251" s="191">
        <v>37.74</v>
      </c>
      <c r="K251" s="192">
        <v>319.98</v>
      </c>
      <c r="L251" s="225"/>
    </row>
    <row r="252" spans="1:12" ht="13.2" customHeight="1" x14ac:dyDescent="0.25">
      <c r="A252" s="185">
        <v>1548770423</v>
      </c>
      <c r="B252" s="186" t="s">
        <v>221</v>
      </c>
      <c r="C252" s="187">
        <v>265.26</v>
      </c>
      <c r="D252" s="188">
        <v>1.0861000000000001</v>
      </c>
      <c r="E252" s="189">
        <v>41.89</v>
      </c>
      <c r="F252" s="189">
        <v>178.75</v>
      </c>
      <c r="G252" s="189">
        <v>15.976128198228571</v>
      </c>
      <c r="H252" s="189">
        <v>29.25</v>
      </c>
      <c r="I252" s="190"/>
      <c r="J252" s="191">
        <v>37.74</v>
      </c>
      <c r="K252" s="192">
        <v>303.61</v>
      </c>
      <c r="L252" s="225"/>
    </row>
    <row r="253" spans="1:12" ht="13.2" customHeight="1" x14ac:dyDescent="0.25">
      <c r="A253" s="185">
        <v>1497996920</v>
      </c>
      <c r="B253" s="186" t="s">
        <v>317</v>
      </c>
      <c r="C253" s="187">
        <v>265.38</v>
      </c>
      <c r="D253" s="188">
        <v>1.3291999999999999</v>
      </c>
      <c r="E253" s="189">
        <v>41.89</v>
      </c>
      <c r="F253" s="189">
        <v>203.35000000000002</v>
      </c>
      <c r="G253" s="189">
        <v>12.102566759884326</v>
      </c>
      <c r="H253" s="189">
        <v>9.4499999999999993</v>
      </c>
      <c r="I253" s="190"/>
      <c r="J253" s="191">
        <v>37.74</v>
      </c>
      <c r="K253" s="192">
        <v>304.53000000000003</v>
      </c>
      <c r="L253" s="225"/>
    </row>
    <row r="254" spans="1:12" ht="13.2" customHeight="1" x14ac:dyDescent="0.25">
      <c r="A254" s="185">
        <v>1578715504</v>
      </c>
      <c r="B254" s="186" t="s">
        <v>655</v>
      </c>
      <c r="C254" s="187">
        <v>320.49</v>
      </c>
      <c r="D254" s="188">
        <v>1.5186999999999999</v>
      </c>
      <c r="E254" s="189">
        <v>41.89</v>
      </c>
      <c r="F254" s="189">
        <v>226.41</v>
      </c>
      <c r="G254" s="189">
        <v>21.45809421407904</v>
      </c>
      <c r="H254" s="189">
        <v>29.25</v>
      </c>
      <c r="I254" s="190"/>
      <c r="J254" s="191">
        <v>37.74</v>
      </c>
      <c r="K254" s="192">
        <v>356.75</v>
      </c>
      <c r="L254" s="225"/>
    </row>
    <row r="255" spans="1:12" ht="13.2" customHeight="1" x14ac:dyDescent="0.25">
      <c r="A255" s="185">
        <v>1609124155</v>
      </c>
      <c r="B255" s="186" t="s">
        <v>185</v>
      </c>
      <c r="C255" s="187">
        <v>291.77</v>
      </c>
      <c r="D255" s="188">
        <v>1.1797</v>
      </c>
      <c r="E255" s="189">
        <v>41.89</v>
      </c>
      <c r="F255" s="189">
        <v>186.77</v>
      </c>
      <c r="G255" s="189">
        <v>36.057216784444336</v>
      </c>
      <c r="H255" s="189">
        <v>29.25</v>
      </c>
      <c r="I255" s="190"/>
      <c r="J255" s="191">
        <v>37.74</v>
      </c>
      <c r="K255" s="192">
        <v>331.71000000000004</v>
      </c>
      <c r="L255" s="225"/>
    </row>
    <row r="256" spans="1:12" ht="13.2" customHeight="1" x14ac:dyDescent="0.25">
      <c r="A256" s="185">
        <v>1780693663</v>
      </c>
      <c r="B256" s="186" t="s">
        <v>257</v>
      </c>
      <c r="C256" s="187">
        <v>238.92000000000002</v>
      </c>
      <c r="D256" s="188">
        <v>0.94020000000000004</v>
      </c>
      <c r="E256" s="189">
        <v>41.89</v>
      </c>
      <c r="F256" s="189">
        <v>166.78</v>
      </c>
      <c r="G256" s="189">
        <v>18.12119540181655</v>
      </c>
      <c r="H256" s="189">
        <v>0</v>
      </c>
      <c r="I256" s="190"/>
      <c r="J256" s="191">
        <v>37.74</v>
      </c>
      <c r="K256" s="192">
        <v>264.53000000000003</v>
      </c>
      <c r="L256" s="225"/>
    </row>
    <row r="257" spans="1:12" ht="13.2" customHeight="1" x14ac:dyDescent="0.25">
      <c r="A257" s="185">
        <v>1407966864</v>
      </c>
      <c r="B257" s="186" t="s">
        <v>258</v>
      </c>
      <c r="C257" s="187">
        <v>259.32</v>
      </c>
      <c r="D257" s="188">
        <v>0.94520000000000004</v>
      </c>
      <c r="E257" s="189">
        <v>41.89</v>
      </c>
      <c r="F257" s="189">
        <v>166.41</v>
      </c>
      <c r="G257" s="189">
        <v>19.824125380906484</v>
      </c>
      <c r="H257" s="189">
        <v>29.25</v>
      </c>
      <c r="I257" s="190"/>
      <c r="J257" s="191">
        <v>37.74</v>
      </c>
      <c r="K257" s="192">
        <v>295.11</v>
      </c>
      <c r="L257" s="225"/>
    </row>
    <row r="258" spans="1:12" ht="13.2" customHeight="1" x14ac:dyDescent="0.25">
      <c r="A258" s="185">
        <v>1144646274</v>
      </c>
      <c r="B258" s="186" t="s">
        <v>259</v>
      </c>
      <c r="C258" s="187">
        <v>284.11</v>
      </c>
      <c r="D258" s="188">
        <v>1.2399</v>
      </c>
      <c r="E258" s="189">
        <v>41.89</v>
      </c>
      <c r="F258" s="189">
        <v>190.77</v>
      </c>
      <c r="G258" s="189">
        <v>20.849023240115674</v>
      </c>
      <c r="H258" s="189">
        <v>29.25</v>
      </c>
      <c r="I258" s="190"/>
      <c r="J258" s="191">
        <v>37.74</v>
      </c>
      <c r="K258" s="192">
        <v>320.50000000000006</v>
      </c>
      <c r="L258" s="225"/>
    </row>
    <row r="259" spans="1:12" ht="13.2" customHeight="1" x14ac:dyDescent="0.25">
      <c r="A259" s="185">
        <v>1467007856</v>
      </c>
      <c r="B259" s="186" t="s">
        <v>226</v>
      </c>
      <c r="C259" s="187">
        <v>265.11</v>
      </c>
      <c r="D259" s="188">
        <v>1.1162000000000001</v>
      </c>
      <c r="E259" s="189">
        <v>41.89</v>
      </c>
      <c r="F259" s="189">
        <v>181.87</v>
      </c>
      <c r="G259" s="189">
        <v>12.286148196721307</v>
      </c>
      <c r="H259" s="189">
        <v>29.25</v>
      </c>
      <c r="I259" s="190"/>
      <c r="J259" s="191">
        <v>37.74</v>
      </c>
      <c r="K259" s="192">
        <v>303.04000000000002</v>
      </c>
      <c r="L259" s="225"/>
    </row>
    <row r="260" spans="1:12" ht="13.2" customHeight="1" x14ac:dyDescent="0.25">
      <c r="A260" s="185">
        <v>1841390002</v>
      </c>
      <c r="B260" s="186" t="s">
        <v>245</v>
      </c>
      <c r="C260" s="187">
        <v>294.71000000000004</v>
      </c>
      <c r="D260" s="188">
        <v>1.3977999999999999</v>
      </c>
      <c r="E260" s="189">
        <v>41.89</v>
      </c>
      <c r="F260" s="189">
        <v>210.08</v>
      </c>
      <c r="G260" s="189">
        <v>14.439095185502266</v>
      </c>
      <c r="H260" s="189">
        <v>29.25</v>
      </c>
      <c r="I260" s="190"/>
      <c r="J260" s="191">
        <v>37.74</v>
      </c>
      <c r="K260" s="192">
        <v>333.40000000000003</v>
      </c>
      <c r="L260" s="225"/>
    </row>
    <row r="261" spans="1:12" ht="13.2" customHeight="1" x14ac:dyDescent="0.25">
      <c r="A261" s="185">
        <v>1922456664</v>
      </c>
      <c r="B261" s="186" t="s">
        <v>261</v>
      </c>
      <c r="C261" s="187">
        <v>294.03000000000003</v>
      </c>
      <c r="D261" s="188">
        <v>1.3664000000000001</v>
      </c>
      <c r="E261" s="189">
        <v>41.89</v>
      </c>
      <c r="F261" s="189">
        <v>205.14000000000001</v>
      </c>
      <c r="G261" s="189">
        <v>17.197983088235247</v>
      </c>
      <c r="H261" s="189">
        <v>29.25</v>
      </c>
      <c r="I261" s="190"/>
      <c r="J261" s="191">
        <v>37.74</v>
      </c>
      <c r="K261" s="192">
        <v>331.21999999999997</v>
      </c>
      <c r="L261" s="225"/>
    </row>
    <row r="262" spans="1:12" ht="13.2" customHeight="1" x14ac:dyDescent="0.25">
      <c r="A262" s="185">
        <v>1073034138</v>
      </c>
      <c r="B262" s="186" t="s">
        <v>262</v>
      </c>
      <c r="C262" s="187">
        <v>258.23</v>
      </c>
      <c r="D262" s="188">
        <v>1.1217999999999999</v>
      </c>
      <c r="E262" s="189">
        <v>41.89</v>
      </c>
      <c r="F262" s="189">
        <v>182.76999999999998</v>
      </c>
      <c r="G262" s="189">
        <v>36.725396576663478</v>
      </c>
      <c r="H262" s="189">
        <v>0</v>
      </c>
      <c r="I262" s="190"/>
      <c r="J262" s="191">
        <v>37.74</v>
      </c>
      <c r="K262" s="192">
        <v>299.13000000000005</v>
      </c>
      <c r="L262" s="225"/>
    </row>
    <row r="263" spans="1:12" ht="13.2" customHeight="1" x14ac:dyDescent="0.25">
      <c r="A263" s="185">
        <v>1861003485</v>
      </c>
      <c r="B263" s="186" t="s">
        <v>287</v>
      </c>
      <c r="C263" s="187">
        <v>276.52</v>
      </c>
      <c r="D263" s="188">
        <v>1.2245999999999999</v>
      </c>
      <c r="E263" s="189">
        <v>41.89</v>
      </c>
      <c r="F263" s="189">
        <v>192.03</v>
      </c>
      <c r="G263" s="189">
        <v>10.522625777419636</v>
      </c>
      <c r="H263" s="189">
        <v>29.25</v>
      </c>
      <c r="I263" s="190"/>
      <c r="J263" s="191">
        <v>37.74</v>
      </c>
      <c r="K263" s="192">
        <v>311.43</v>
      </c>
      <c r="L263" s="225"/>
    </row>
    <row r="264" spans="1:12" ht="13.2" customHeight="1" x14ac:dyDescent="0.25">
      <c r="A264" s="185">
        <v>1720085293</v>
      </c>
      <c r="B264" s="186" t="s">
        <v>348</v>
      </c>
      <c r="C264" s="187">
        <v>270.14</v>
      </c>
      <c r="D264" s="188">
        <v>1.1859999999999999</v>
      </c>
      <c r="E264" s="189">
        <v>41.89</v>
      </c>
      <c r="F264" s="189">
        <v>189.37</v>
      </c>
      <c r="G264" s="189">
        <v>10.061057294213454</v>
      </c>
      <c r="H264" s="189">
        <v>29.25</v>
      </c>
      <c r="I264" s="190"/>
      <c r="J264" s="191">
        <v>37.74</v>
      </c>
      <c r="K264" s="192">
        <v>308.31</v>
      </c>
      <c r="L264" s="225"/>
    </row>
    <row r="265" spans="1:12" ht="13.2" customHeight="1" x14ac:dyDescent="0.25">
      <c r="A265" s="185">
        <v>1801428768</v>
      </c>
      <c r="B265" s="186" t="s">
        <v>170</v>
      </c>
      <c r="C265" s="187">
        <v>294.12</v>
      </c>
      <c r="D265" s="188">
        <v>1.3216000000000001</v>
      </c>
      <c r="E265" s="189">
        <v>41.89</v>
      </c>
      <c r="F265" s="189">
        <v>202.65</v>
      </c>
      <c r="G265" s="189">
        <v>24.016038936438861</v>
      </c>
      <c r="H265" s="189">
        <v>29.25</v>
      </c>
      <c r="I265" s="190"/>
      <c r="J265" s="191">
        <v>37.74</v>
      </c>
      <c r="K265" s="192">
        <v>335.55</v>
      </c>
      <c r="L265" s="225"/>
    </row>
    <row r="266" spans="1:12" ht="13.2" customHeight="1" x14ac:dyDescent="0.25">
      <c r="A266" s="185">
        <v>1548696834</v>
      </c>
      <c r="B266" s="186" t="s">
        <v>695</v>
      </c>
      <c r="C266" s="187">
        <v>262.99</v>
      </c>
      <c r="D266" s="188">
        <v>1.1540999999999999</v>
      </c>
      <c r="E266" s="189">
        <v>41.89</v>
      </c>
      <c r="F266" s="189">
        <v>185.72</v>
      </c>
      <c r="G266" s="189">
        <v>26.632695092683484</v>
      </c>
      <c r="H266" s="189">
        <v>0</v>
      </c>
      <c r="I266" s="190"/>
      <c r="J266" s="191">
        <v>37.74</v>
      </c>
      <c r="K266" s="192">
        <v>291.98</v>
      </c>
      <c r="L266" s="225"/>
    </row>
    <row r="267" spans="1:12" ht="13.2" customHeight="1" x14ac:dyDescent="0.25">
      <c r="A267" s="185">
        <v>1396161527</v>
      </c>
      <c r="B267" s="186" t="s">
        <v>264</v>
      </c>
      <c r="C267" s="187">
        <v>277.83999999999997</v>
      </c>
      <c r="D267" s="188">
        <v>1.1324000000000001</v>
      </c>
      <c r="E267" s="189">
        <v>41.89</v>
      </c>
      <c r="F267" s="189">
        <v>182.73000000000002</v>
      </c>
      <c r="G267" s="189">
        <v>22.763256784617816</v>
      </c>
      <c r="H267" s="189">
        <v>29.25</v>
      </c>
      <c r="I267" s="190"/>
      <c r="J267" s="191">
        <v>37.74</v>
      </c>
      <c r="K267" s="192">
        <v>314.37</v>
      </c>
      <c r="L267" s="225"/>
    </row>
    <row r="268" spans="1:12" ht="13.2" customHeight="1" x14ac:dyDescent="0.25">
      <c r="A268" s="185">
        <v>1043703945</v>
      </c>
      <c r="B268" s="186" t="s">
        <v>611</v>
      </c>
      <c r="C268" s="187">
        <v>285.78999999999996</v>
      </c>
      <c r="D268" s="188">
        <v>1.2994000000000001</v>
      </c>
      <c r="E268" s="189">
        <v>41.89</v>
      </c>
      <c r="F268" s="189">
        <v>197.94000000000003</v>
      </c>
      <c r="G268" s="189">
        <v>28.511909286403121</v>
      </c>
      <c r="H268" s="189">
        <v>29.25</v>
      </c>
      <c r="I268" s="190"/>
      <c r="J268" s="191">
        <v>37.74</v>
      </c>
      <c r="K268" s="192">
        <v>335.33</v>
      </c>
      <c r="L268" s="225"/>
    </row>
    <row r="269" spans="1:12" ht="13.2" customHeight="1" x14ac:dyDescent="0.25">
      <c r="A269" s="185">
        <v>1275823155</v>
      </c>
      <c r="B269" s="186" t="s">
        <v>247</v>
      </c>
      <c r="C269" s="187">
        <v>304.77</v>
      </c>
      <c r="D269" s="188">
        <v>1.3594999999999999</v>
      </c>
      <c r="E269" s="189">
        <v>41.89</v>
      </c>
      <c r="F269" s="189">
        <v>203.24</v>
      </c>
      <c r="G269" s="189">
        <v>30.939103343576402</v>
      </c>
      <c r="H269" s="189">
        <v>29.25</v>
      </c>
      <c r="I269" s="190"/>
      <c r="J269" s="191">
        <v>37.74</v>
      </c>
      <c r="K269" s="192">
        <v>343.06</v>
      </c>
      <c r="L269" s="225"/>
    </row>
    <row r="270" spans="1:12" ht="13.2" customHeight="1" x14ac:dyDescent="0.25">
      <c r="A270" s="185">
        <v>1134660103</v>
      </c>
      <c r="B270" s="186" t="s">
        <v>729</v>
      </c>
      <c r="C270" s="187">
        <v>310.22000000000003</v>
      </c>
      <c r="D270" s="188">
        <v>1.5018</v>
      </c>
      <c r="E270" s="189">
        <v>41.89</v>
      </c>
      <c r="F270" s="189">
        <v>220.06</v>
      </c>
      <c r="G270" s="189">
        <v>23.960464108003812</v>
      </c>
      <c r="H270" s="189">
        <v>29.25</v>
      </c>
      <c r="I270" s="190"/>
      <c r="J270" s="191">
        <v>37.74</v>
      </c>
      <c r="K270" s="192">
        <v>352.9</v>
      </c>
      <c r="L270" s="225"/>
    </row>
    <row r="271" spans="1:12" ht="13.2" customHeight="1" x14ac:dyDescent="0.25">
      <c r="A271" s="185">
        <v>1336565779</v>
      </c>
      <c r="B271" s="186" t="s">
        <v>671</v>
      </c>
      <c r="C271" s="187">
        <v>275.17</v>
      </c>
      <c r="D271" s="188">
        <v>1.1519999999999999</v>
      </c>
      <c r="E271" s="189">
        <v>41.89</v>
      </c>
      <c r="F271" s="189">
        <v>185.54000000000002</v>
      </c>
      <c r="G271" s="189">
        <v>16.899898897058822</v>
      </c>
      <c r="H271" s="189">
        <v>29.25</v>
      </c>
      <c r="I271" s="190"/>
      <c r="J271" s="191">
        <v>37.74</v>
      </c>
      <c r="K271" s="192">
        <v>311.32</v>
      </c>
      <c r="L271" s="225"/>
    </row>
    <row r="272" spans="1:12" ht="13.2" customHeight="1" x14ac:dyDescent="0.25">
      <c r="A272" s="185">
        <v>1770582363</v>
      </c>
      <c r="B272" s="186" t="s">
        <v>265</v>
      </c>
      <c r="C272" s="187">
        <v>262.72000000000003</v>
      </c>
      <c r="D272" s="188">
        <v>0.92120000000000002</v>
      </c>
      <c r="E272" s="189">
        <v>41.89</v>
      </c>
      <c r="F272" s="189">
        <v>165.35</v>
      </c>
      <c r="G272" s="189">
        <v>26.84723452145618</v>
      </c>
      <c r="H272" s="189">
        <v>29.25</v>
      </c>
      <c r="I272" s="190"/>
      <c r="J272" s="191">
        <v>37.74</v>
      </c>
      <c r="K272" s="192">
        <v>301.08000000000004</v>
      </c>
      <c r="L272" s="225"/>
    </row>
    <row r="273" spans="1:12" ht="13.2" customHeight="1" x14ac:dyDescent="0.25">
      <c r="A273" s="185">
        <v>1932889078</v>
      </c>
      <c r="B273" s="186" t="s">
        <v>794</v>
      </c>
      <c r="C273" s="187">
        <v>297.23</v>
      </c>
      <c r="D273" s="188">
        <v>1.2435</v>
      </c>
      <c r="E273" s="189">
        <v>41.89</v>
      </c>
      <c r="F273" s="189">
        <v>194.25</v>
      </c>
      <c r="G273" s="189">
        <v>26.020913361861187</v>
      </c>
      <c r="H273" s="189">
        <v>29.25</v>
      </c>
      <c r="I273" s="190"/>
      <c r="J273" s="191">
        <v>37.74</v>
      </c>
      <c r="K273" s="192">
        <v>329.15</v>
      </c>
      <c r="L273" s="225"/>
    </row>
    <row r="274" spans="1:12" ht="13.2" customHeight="1" x14ac:dyDescent="0.25">
      <c r="A274" s="185">
        <v>1306293170</v>
      </c>
      <c r="B274" s="186" t="s">
        <v>267</v>
      </c>
      <c r="C274" s="187">
        <v>278.65999999999997</v>
      </c>
      <c r="D274" s="188">
        <v>1.292</v>
      </c>
      <c r="E274" s="189">
        <v>41.89</v>
      </c>
      <c r="F274" s="189">
        <v>196.96</v>
      </c>
      <c r="G274" s="189">
        <v>8.73743611378978</v>
      </c>
      <c r="H274" s="189">
        <v>29.25</v>
      </c>
      <c r="I274" s="190"/>
      <c r="J274" s="191">
        <v>37.74</v>
      </c>
      <c r="K274" s="192">
        <v>314.58000000000004</v>
      </c>
      <c r="L274" s="225"/>
    </row>
    <row r="275" spans="1:12" ht="13.2" customHeight="1" x14ac:dyDescent="0.25">
      <c r="A275" s="185">
        <v>1518968890</v>
      </c>
      <c r="B275" s="186" t="s">
        <v>268</v>
      </c>
      <c r="C275" s="187">
        <v>219.13</v>
      </c>
      <c r="D275" s="188">
        <v>1.0327</v>
      </c>
      <c r="E275" s="189">
        <v>41.89</v>
      </c>
      <c r="F275" s="189">
        <v>175.27</v>
      </c>
      <c r="G275" s="189">
        <v>21.783747251687544</v>
      </c>
      <c r="H275" s="189">
        <v>0</v>
      </c>
      <c r="I275" s="190"/>
      <c r="J275" s="191">
        <v>37.74</v>
      </c>
      <c r="K275" s="192">
        <v>276.68</v>
      </c>
      <c r="L275" s="225"/>
    </row>
    <row r="276" spans="1:12" ht="13.2" customHeight="1" x14ac:dyDescent="0.25">
      <c r="A276" s="185">
        <v>1033513320</v>
      </c>
      <c r="B276" s="186" t="s">
        <v>690</v>
      </c>
      <c r="C276" s="187">
        <v>275.31</v>
      </c>
      <c r="D276" s="188">
        <v>1.1497999999999999</v>
      </c>
      <c r="E276" s="189">
        <v>41.89</v>
      </c>
      <c r="F276" s="189">
        <v>184.25</v>
      </c>
      <c r="G276" s="189">
        <v>14.112468698167778</v>
      </c>
      <c r="H276" s="189">
        <v>29.25</v>
      </c>
      <c r="I276" s="190"/>
      <c r="J276" s="191">
        <v>37.74</v>
      </c>
      <c r="K276" s="192">
        <v>307.24</v>
      </c>
      <c r="L276" s="225"/>
    </row>
    <row r="277" spans="1:12" ht="13.2" customHeight="1" x14ac:dyDescent="0.25">
      <c r="A277" s="185">
        <v>1770149270</v>
      </c>
      <c r="B277" s="186" t="s">
        <v>130</v>
      </c>
      <c r="C277" s="187">
        <v>291.35000000000002</v>
      </c>
      <c r="D277" s="188">
        <v>1.2355</v>
      </c>
      <c r="E277" s="189">
        <v>41.89</v>
      </c>
      <c r="F277" s="189">
        <v>192.18</v>
      </c>
      <c r="G277" s="189">
        <v>27.454268923577654</v>
      </c>
      <c r="H277" s="189">
        <v>29.25</v>
      </c>
      <c r="I277" s="190"/>
      <c r="J277" s="191">
        <v>37.74</v>
      </c>
      <c r="K277" s="192">
        <v>328.51</v>
      </c>
      <c r="L277" s="225"/>
    </row>
    <row r="278" spans="1:12" ht="13.2" customHeight="1" x14ac:dyDescent="0.25">
      <c r="A278" s="185">
        <v>1104471531</v>
      </c>
      <c r="B278" s="186" t="s">
        <v>223</v>
      </c>
      <c r="C278" s="187">
        <v>272.79000000000002</v>
      </c>
      <c r="D278" s="188">
        <v>1.1921999999999999</v>
      </c>
      <c r="E278" s="189">
        <v>41.89</v>
      </c>
      <c r="F278" s="189">
        <v>190.08</v>
      </c>
      <c r="G278" s="189">
        <v>8.9858960837705038</v>
      </c>
      <c r="H278" s="189">
        <v>29.25</v>
      </c>
      <c r="I278" s="190"/>
      <c r="J278" s="191">
        <v>37.74</v>
      </c>
      <c r="K278" s="192">
        <v>307.95000000000005</v>
      </c>
      <c r="L278" s="225"/>
    </row>
    <row r="279" spans="1:12" ht="13.2" customHeight="1" x14ac:dyDescent="0.25">
      <c r="A279" s="185">
        <v>1568454262</v>
      </c>
      <c r="B279" s="186" t="s">
        <v>270</v>
      </c>
      <c r="C279" s="187">
        <v>254.46999999999997</v>
      </c>
      <c r="D279" s="188">
        <v>1.1828000000000001</v>
      </c>
      <c r="E279" s="189">
        <v>41.89</v>
      </c>
      <c r="F279" s="189">
        <v>187.11</v>
      </c>
      <c r="G279" s="189">
        <v>27.185350190453221</v>
      </c>
      <c r="H279" s="189">
        <v>0</v>
      </c>
      <c r="I279" s="190"/>
      <c r="J279" s="191">
        <v>37.74</v>
      </c>
      <c r="K279" s="192">
        <v>293.93</v>
      </c>
      <c r="L279" s="225"/>
    </row>
    <row r="280" spans="1:12" ht="13.2" customHeight="1" x14ac:dyDescent="0.25">
      <c r="A280" s="185">
        <v>1811920267</v>
      </c>
      <c r="B280" s="186" t="s">
        <v>271</v>
      </c>
      <c r="C280" s="187">
        <v>291.05</v>
      </c>
      <c r="D280" s="188">
        <v>1.3204</v>
      </c>
      <c r="E280" s="189">
        <v>41.89</v>
      </c>
      <c r="F280" s="189">
        <v>201.13</v>
      </c>
      <c r="G280" s="189">
        <v>17.183901110396306</v>
      </c>
      <c r="H280" s="189">
        <v>29.25</v>
      </c>
      <c r="I280" s="190"/>
      <c r="J280" s="191">
        <v>37.74</v>
      </c>
      <c r="K280" s="192">
        <v>327.19</v>
      </c>
      <c r="L280" s="225"/>
    </row>
    <row r="281" spans="1:12" ht="13.2" customHeight="1" x14ac:dyDescent="0.25">
      <c r="A281" s="185">
        <v>1669023685</v>
      </c>
      <c r="B281" s="186" t="s">
        <v>272</v>
      </c>
      <c r="C281" s="187">
        <v>288.61</v>
      </c>
      <c r="D281" s="188">
        <v>1.2908999999999999</v>
      </c>
      <c r="E281" s="189">
        <v>41.89</v>
      </c>
      <c r="F281" s="189">
        <v>201.09</v>
      </c>
      <c r="G281" s="189">
        <v>28.994238006268084</v>
      </c>
      <c r="H281" s="189">
        <v>29.25</v>
      </c>
      <c r="I281" s="190"/>
      <c r="J281" s="191">
        <v>37.74</v>
      </c>
      <c r="K281" s="192">
        <v>338.96000000000004</v>
      </c>
      <c r="L281" s="225"/>
    </row>
    <row r="282" spans="1:12" ht="13.2" customHeight="1" x14ac:dyDescent="0.25">
      <c r="A282" s="185">
        <v>1053380626</v>
      </c>
      <c r="B282" s="186" t="s">
        <v>273</v>
      </c>
      <c r="C282" s="187">
        <v>284.60000000000002</v>
      </c>
      <c r="D282" s="188">
        <v>1.2626999999999999</v>
      </c>
      <c r="E282" s="189">
        <v>41.89</v>
      </c>
      <c r="F282" s="189">
        <v>196.31</v>
      </c>
      <c r="G282" s="189">
        <v>16.460102549421361</v>
      </c>
      <c r="H282" s="189">
        <v>29.25</v>
      </c>
      <c r="I282" s="190"/>
      <c r="J282" s="191">
        <v>37.74</v>
      </c>
      <c r="K282" s="192">
        <v>321.64999999999998</v>
      </c>
      <c r="L282" s="225"/>
    </row>
    <row r="283" spans="1:12" ht="13.2" customHeight="1" x14ac:dyDescent="0.25">
      <c r="A283" s="185">
        <v>1346241627</v>
      </c>
      <c r="B283" s="186" t="s">
        <v>274</v>
      </c>
      <c r="C283" s="187">
        <v>256.29000000000002</v>
      </c>
      <c r="D283" s="188">
        <v>1.1731</v>
      </c>
      <c r="E283" s="189">
        <v>41.89</v>
      </c>
      <c r="F283" s="189">
        <v>189.94</v>
      </c>
      <c r="G283" s="189">
        <v>27.0638037608486</v>
      </c>
      <c r="H283" s="189">
        <v>0</v>
      </c>
      <c r="I283" s="190"/>
      <c r="J283" s="191">
        <v>37.74</v>
      </c>
      <c r="K283" s="192">
        <v>296.63</v>
      </c>
      <c r="L283" s="225"/>
    </row>
    <row r="284" spans="1:12" ht="13.2" customHeight="1" x14ac:dyDescent="0.25">
      <c r="A284" s="185">
        <v>1740278126</v>
      </c>
      <c r="B284" s="186" t="s">
        <v>702</v>
      </c>
      <c r="C284" s="187">
        <v>262.44</v>
      </c>
      <c r="D284" s="188">
        <v>1.0835999999999999</v>
      </c>
      <c r="E284" s="189">
        <v>41.89</v>
      </c>
      <c r="F284" s="189">
        <v>179.23000000000002</v>
      </c>
      <c r="G284" s="189">
        <v>9.55915013259402</v>
      </c>
      <c r="H284" s="189">
        <v>29.25</v>
      </c>
      <c r="I284" s="190"/>
      <c r="J284" s="191">
        <v>37.74</v>
      </c>
      <c r="K284" s="192">
        <v>297.67</v>
      </c>
      <c r="L284" s="225"/>
    </row>
    <row r="285" spans="1:12" ht="13.2" customHeight="1" x14ac:dyDescent="0.25">
      <c r="A285" s="185">
        <v>1639630452</v>
      </c>
      <c r="B285" s="186" t="s">
        <v>177</v>
      </c>
      <c r="C285" s="187">
        <v>279.74</v>
      </c>
      <c r="D285" s="188">
        <v>1.1365000000000001</v>
      </c>
      <c r="E285" s="189">
        <v>41.89</v>
      </c>
      <c r="F285" s="189">
        <v>184.62</v>
      </c>
      <c r="G285" s="189">
        <v>28.306191839440693</v>
      </c>
      <c r="H285" s="189">
        <v>29.25</v>
      </c>
      <c r="I285" s="190"/>
      <c r="J285" s="191">
        <v>37.74</v>
      </c>
      <c r="K285" s="192">
        <v>321.81</v>
      </c>
      <c r="L285" s="225"/>
    </row>
    <row r="286" spans="1:12" ht="13.2" customHeight="1" x14ac:dyDescent="0.25">
      <c r="A286" s="185">
        <v>1740386473</v>
      </c>
      <c r="B286" s="186" t="s">
        <v>275</v>
      </c>
      <c r="C286" s="187">
        <v>274.85000000000002</v>
      </c>
      <c r="D286" s="188">
        <v>0.98499999999999999</v>
      </c>
      <c r="E286" s="189">
        <v>41.89</v>
      </c>
      <c r="F286" s="189">
        <v>170.71</v>
      </c>
      <c r="G286" s="189">
        <v>36.452429731597547</v>
      </c>
      <c r="H286" s="189">
        <v>29.25</v>
      </c>
      <c r="I286" s="190"/>
      <c r="J286" s="191">
        <v>37.74</v>
      </c>
      <c r="K286" s="192">
        <v>316.04000000000002</v>
      </c>
      <c r="L286" s="225"/>
    </row>
    <row r="287" spans="1:12" ht="13.2" customHeight="1" x14ac:dyDescent="0.25">
      <c r="A287" s="185">
        <v>1689628141</v>
      </c>
      <c r="B287" s="186" t="s">
        <v>276</v>
      </c>
      <c r="C287" s="187">
        <v>286.18</v>
      </c>
      <c r="D287" s="188">
        <v>1.1575</v>
      </c>
      <c r="E287" s="189">
        <v>41.89</v>
      </c>
      <c r="F287" s="189">
        <v>186.18</v>
      </c>
      <c r="G287" s="189">
        <v>22.650896528447451</v>
      </c>
      <c r="H287" s="189">
        <v>29.25</v>
      </c>
      <c r="I287" s="190"/>
      <c r="J287" s="191">
        <v>37.74</v>
      </c>
      <c r="K287" s="192">
        <v>317.70999999999998</v>
      </c>
      <c r="L287" s="225"/>
    </row>
    <row r="288" spans="1:12" ht="13.2" customHeight="1" x14ac:dyDescent="0.25">
      <c r="A288" s="185">
        <v>1063838381</v>
      </c>
      <c r="B288" s="186" t="s">
        <v>277</v>
      </c>
      <c r="C288" s="187">
        <v>289.87</v>
      </c>
      <c r="D288" s="188">
        <v>1.1821999999999999</v>
      </c>
      <c r="E288" s="189">
        <v>41.89</v>
      </c>
      <c r="F288" s="189">
        <v>186.88</v>
      </c>
      <c r="G288" s="189">
        <v>21.631445033751206</v>
      </c>
      <c r="H288" s="189">
        <v>29.25</v>
      </c>
      <c r="I288" s="190"/>
      <c r="J288" s="191">
        <v>37.74</v>
      </c>
      <c r="K288" s="192">
        <v>317.39</v>
      </c>
      <c r="L288" s="225"/>
    </row>
    <row r="289" spans="1:12" ht="13.2" customHeight="1" x14ac:dyDescent="0.25">
      <c r="A289" s="185">
        <v>1093708497</v>
      </c>
      <c r="B289" s="186" t="s">
        <v>278</v>
      </c>
      <c r="C289" s="187">
        <v>282</v>
      </c>
      <c r="D289" s="188">
        <v>1.2783</v>
      </c>
      <c r="E289" s="189">
        <v>41.89</v>
      </c>
      <c r="F289" s="189">
        <v>195.16</v>
      </c>
      <c r="G289" s="189">
        <v>15.964835221793633</v>
      </c>
      <c r="H289" s="189">
        <v>29.25</v>
      </c>
      <c r="I289" s="190"/>
      <c r="J289" s="191">
        <v>37.74</v>
      </c>
      <c r="K289" s="192">
        <v>320</v>
      </c>
      <c r="L289" s="225"/>
    </row>
    <row r="290" spans="1:12" ht="13.2" customHeight="1" x14ac:dyDescent="0.25">
      <c r="A290" s="185">
        <v>1295733517</v>
      </c>
      <c r="B290" s="186" t="s">
        <v>279</v>
      </c>
      <c r="C290" s="187">
        <v>291.67</v>
      </c>
      <c r="D290" s="188">
        <v>1.3376999999999999</v>
      </c>
      <c r="E290" s="189">
        <v>41.89</v>
      </c>
      <c r="F290" s="189">
        <v>202.13</v>
      </c>
      <c r="G290" s="189">
        <v>20.798214389084915</v>
      </c>
      <c r="H290" s="189">
        <v>29.25</v>
      </c>
      <c r="I290" s="190"/>
      <c r="J290" s="191">
        <v>37.74</v>
      </c>
      <c r="K290" s="192">
        <v>331.81</v>
      </c>
      <c r="L290" s="225"/>
    </row>
    <row r="291" spans="1:12" ht="13.2" customHeight="1" x14ac:dyDescent="0.25">
      <c r="A291" s="185">
        <v>1649268335</v>
      </c>
      <c r="B291" s="186" t="s">
        <v>708</v>
      </c>
      <c r="C291" s="187">
        <v>267.11</v>
      </c>
      <c r="D291" s="188">
        <v>1.2017</v>
      </c>
      <c r="E291" s="189">
        <v>41.89</v>
      </c>
      <c r="F291" s="189">
        <v>190.17</v>
      </c>
      <c r="G291" s="189">
        <v>9.4960568888620642</v>
      </c>
      <c r="H291" s="189">
        <v>29.25</v>
      </c>
      <c r="I291" s="190"/>
      <c r="J291" s="191">
        <v>37.74</v>
      </c>
      <c r="K291" s="192">
        <v>308.55</v>
      </c>
      <c r="L291" s="225"/>
    </row>
    <row r="292" spans="1:12" ht="13.2" customHeight="1" x14ac:dyDescent="0.25">
      <c r="A292" s="185">
        <v>1417368143</v>
      </c>
      <c r="B292" s="186" t="s">
        <v>299</v>
      </c>
      <c r="C292" s="187">
        <v>316.06</v>
      </c>
      <c r="D292" s="188">
        <v>1.5270999999999999</v>
      </c>
      <c r="E292" s="189">
        <v>41.89</v>
      </c>
      <c r="F292" s="189">
        <v>217.13000000000002</v>
      </c>
      <c r="G292" s="189">
        <v>31.765352839461688</v>
      </c>
      <c r="H292" s="189">
        <v>29.25</v>
      </c>
      <c r="I292" s="190"/>
      <c r="J292" s="191">
        <v>37.74</v>
      </c>
      <c r="K292" s="192">
        <v>357.78</v>
      </c>
      <c r="L292" s="225"/>
    </row>
    <row r="293" spans="1:12" ht="13.2" customHeight="1" x14ac:dyDescent="0.25">
      <c r="A293" s="185">
        <v>1043263981</v>
      </c>
      <c r="B293" s="186" t="s">
        <v>281</v>
      </c>
      <c r="C293" s="187">
        <v>268.67</v>
      </c>
      <c r="D293" s="188">
        <v>1.1486000000000001</v>
      </c>
      <c r="E293" s="189">
        <v>41.89</v>
      </c>
      <c r="F293" s="189">
        <v>185.67</v>
      </c>
      <c r="G293" s="189">
        <v>15.92550433944065</v>
      </c>
      <c r="H293" s="189">
        <v>29.25</v>
      </c>
      <c r="I293" s="190"/>
      <c r="J293" s="191">
        <v>37.74</v>
      </c>
      <c r="K293" s="192">
        <v>310.48</v>
      </c>
      <c r="L293" s="225"/>
    </row>
    <row r="294" spans="1:12" ht="13.2" customHeight="1" x14ac:dyDescent="0.25">
      <c r="A294" s="185">
        <v>1710244827</v>
      </c>
      <c r="B294" s="186" t="s">
        <v>712</v>
      </c>
      <c r="C294" s="187">
        <v>304.54000000000002</v>
      </c>
      <c r="D294" s="188">
        <v>1.1708000000000001</v>
      </c>
      <c r="E294" s="189">
        <v>41.89</v>
      </c>
      <c r="F294" s="189">
        <v>189.27</v>
      </c>
      <c r="G294" s="189">
        <v>41.619809944793175</v>
      </c>
      <c r="H294" s="189">
        <v>29.25</v>
      </c>
      <c r="I294" s="190"/>
      <c r="J294" s="191">
        <v>37.74</v>
      </c>
      <c r="K294" s="192">
        <v>339.77000000000004</v>
      </c>
      <c r="L294" s="225"/>
    </row>
    <row r="295" spans="1:12" ht="13.2" customHeight="1" x14ac:dyDescent="0.25">
      <c r="A295" s="185">
        <v>1184712580</v>
      </c>
      <c r="B295" s="186" t="s">
        <v>282</v>
      </c>
      <c r="C295" s="187">
        <v>238.96</v>
      </c>
      <c r="D295" s="188">
        <v>1.0858000000000001</v>
      </c>
      <c r="E295" s="189">
        <v>41.89</v>
      </c>
      <c r="F295" s="189">
        <v>181.65</v>
      </c>
      <c r="G295" s="189">
        <v>21.498013191899691</v>
      </c>
      <c r="H295" s="189">
        <v>0</v>
      </c>
      <c r="I295" s="190"/>
      <c r="J295" s="191">
        <v>37.74</v>
      </c>
      <c r="K295" s="192">
        <v>282.78000000000003</v>
      </c>
      <c r="L295" s="225"/>
    </row>
    <row r="296" spans="1:12" ht="13.2" customHeight="1" x14ac:dyDescent="0.25">
      <c r="A296" s="185">
        <v>1407843097</v>
      </c>
      <c r="B296" s="186" t="s">
        <v>283</v>
      </c>
      <c r="C296" s="187">
        <v>256.39999999999998</v>
      </c>
      <c r="D296" s="188">
        <v>1.1883999999999999</v>
      </c>
      <c r="E296" s="189">
        <v>41.89</v>
      </c>
      <c r="F296" s="189">
        <v>190.33</v>
      </c>
      <c r="G296" s="189">
        <v>29.756002072082993</v>
      </c>
      <c r="H296" s="189">
        <v>0</v>
      </c>
      <c r="I296" s="190"/>
      <c r="J296" s="191">
        <v>37.74</v>
      </c>
      <c r="K296" s="192">
        <v>299.72000000000003</v>
      </c>
      <c r="L296" s="225"/>
    </row>
    <row r="297" spans="1:12" ht="13.2" customHeight="1" x14ac:dyDescent="0.25">
      <c r="A297" s="185">
        <v>1891346797</v>
      </c>
      <c r="B297" s="186" t="s">
        <v>284</v>
      </c>
      <c r="C297" s="187">
        <v>285.44</v>
      </c>
      <c r="D297" s="188">
        <v>1.2815000000000001</v>
      </c>
      <c r="E297" s="189">
        <v>41.89</v>
      </c>
      <c r="F297" s="189">
        <v>197.63</v>
      </c>
      <c r="G297" s="189">
        <v>29.227826624879462</v>
      </c>
      <c r="H297" s="189">
        <v>29.25</v>
      </c>
      <c r="I297" s="190"/>
      <c r="J297" s="191">
        <v>37.74</v>
      </c>
      <c r="K297" s="192">
        <v>335.74</v>
      </c>
      <c r="L297" s="225"/>
    </row>
    <row r="298" spans="1:12" ht="13.2" customHeight="1" x14ac:dyDescent="0.25">
      <c r="A298" s="185">
        <v>1891470332</v>
      </c>
      <c r="B298" s="186" t="s">
        <v>663</v>
      </c>
      <c r="C298" s="187">
        <v>252.39000000000001</v>
      </c>
      <c r="D298" s="188">
        <v>1.0106999999999999</v>
      </c>
      <c r="E298" s="189">
        <v>41.89</v>
      </c>
      <c r="F298" s="189">
        <v>172.9</v>
      </c>
      <c r="G298" s="189">
        <v>9.9111175196400154</v>
      </c>
      <c r="H298" s="189">
        <v>29.25</v>
      </c>
      <c r="I298" s="190"/>
      <c r="J298" s="191">
        <v>37.74</v>
      </c>
      <c r="K298" s="192">
        <v>291.69111751964004</v>
      </c>
      <c r="L298" s="225"/>
    </row>
    <row r="299" spans="1:12" ht="13.2" customHeight="1" x14ac:dyDescent="0.25">
      <c r="A299" s="185">
        <v>1912683095</v>
      </c>
      <c r="B299" s="186" t="s">
        <v>795</v>
      </c>
      <c r="C299" s="187">
        <v>281.8</v>
      </c>
      <c r="D299" s="188">
        <v>1.2374000000000001</v>
      </c>
      <c r="E299" s="189">
        <v>41.89</v>
      </c>
      <c r="F299" s="189">
        <v>192.95000000000002</v>
      </c>
      <c r="G299" s="189">
        <v>18.788470298939295</v>
      </c>
      <c r="H299" s="189">
        <v>29.25</v>
      </c>
      <c r="I299" s="190"/>
      <c r="J299" s="191">
        <v>37.74</v>
      </c>
      <c r="K299" s="192">
        <v>320.62</v>
      </c>
      <c r="L299" s="225"/>
    </row>
    <row r="300" spans="1:12" ht="13.2" customHeight="1" x14ac:dyDescent="0.25">
      <c r="A300" s="185">
        <v>1497283899</v>
      </c>
      <c r="B300" s="186" t="s">
        <v>629</v>
      </c>
      <c r="C300" s="187">
        <v>254.59</v>
      </c>
      <c r="D300" s="188">
        <v>1.0141</v>
      </c>
      <c r="E300" s="189">
        <v>41.89</v>
      </c>
      <c r="F300" s="189">
        <v>173.34</v>
      </c>
      <c r="G300" s="189">
        <v>10.668194281581437</v>
      </c>
      <c r="H300" s="189">
        <v>29.25</v>
      </c>
      <c r="I300" s="190"/>
      <c r="J300" s="191">
        <v>37.74</v>
      </c>
      <c r="K300" s="192">
        <v>292.89</v>
      </c>
      <c r="L300" s="225"/>
    </row>
    <row r="301" spans="1:12" ht="13.2" customHeight="1" x14ac:dyDescent="0.25">
      <c r="A301" s="185">
        <v>1285687962</v>
      </c>
      <c r="B301" s="186" t="s">
        <v>607</v>
      </c>
      <c r="C301" s="187">
        <v>285.85000000000002</v>
      </c>
      <c r="D301" s="188">
        <v>1.2228000000000001</v>
      </c>
      <c r="E301" s="189">
        <v>41.89</v>
      </c>
      <c r="F301" s="189">
        <v>191.99</v>
      </c>
      <c r="G301" s="189">
        <v>20.434432571894181</v>
      </c>
      <c r="H301" s="189">
        <v>29.25</v>
      </c>
      <c r="I301" s="190"/>
      <c r="J301" s="191">
        <v>37.74</v>
      </c>
      <c r="K301" s="192">
        <v>321.3</v>
      </c>
      <c r="L301" s="225"/>
    </row>
    <row r="302" spans="1:12" ht="13.2" customHeight="1" x14ac:dyDescent="0.25">
      <c r="A302" s="185">
        <v>1649224056</v>
      </c>
      <c r="B302" s="186" t="s">
        <v>672</v>
      </c>
      <c r="C302" s="187">
        <v>263.52999999999997</v>
      </c>
      <c r="D302" s="188">
        <v>1.1563000000000001</v>
      </c>
      <c r="E302" s="189">
        <v>41.89</v>
      </c>
      <c r="F302" s="189">
        <v>185.47</v>
      </c>
      <c r="G302" s="189">
        <v>9.0236084860173609</v>
      </c>
      <c r="H302" s="189">
        <v>29.25</v>
      </c>
      <c r="I302" s="190"/>
      <c r="J302" s="191">
        <v>37.74</v>
      </c>
      <c r="K302" s="192">
        <v>303.37</v>
      </c>
      <c r="L302" s="225"/>
    </row>
    <row r="303" spans="1:12" ht="13.2" customHeight="1" x14ac:dyDescent="0.25">
      <c r="A303" s="185">
        <v>1194779504</v>
      </c>
      <c r="B303" s="186" t="s">
        <v>679</v>
      </c>
      <c r="C303" s="187">
        <v>287.47000000000003</v>
      </c>
      <c r="D303" s="188">
        <v>1.2928999999999999</v>
      </c>
      <c r="E303" s="189">
        <v>41.89</v>
      </c>
      <c r="F303" s="189">
        <v>197.36</v>
      </c>
      <c r="G303" s="189">
        <v>13.886074883220864</v>
      </c>
      <c r="H303" s="189">
        <v>29.25</v>
      </c>
      <c r="I303" s="190"/>
      <c r="J303" s="191">
        <v>37.74</v>
      </c>
      <c r="K303" s="192">
        <v>320.13</v>
      </c>
      <c r="L303" s="225"/>
    </row>
    <row r="304" spans="1:12" ht="13.2" customHeight="1" x14ac:dyDescent="0.25">
      <c r="A304" s="185">
        <v>1003869983</v>
      </c>
      <c r="B304" s="186" t="s">
        <v>706</v>
      </c>
      <c r="C304" s="187">
        <v>239</v>
      </c>
      <c r="D304" s="188">
        <v>1.1586000000000001</v>
      </c>
      <c r="E304" s="189">
        <v>41.89</v>
      </c>
      <c r="F304" s="189">
        <v>186.36</v>
      </c>
      <c r="G304" s="189">
        <v>8.8931514949134751</v>
      </c>
      <c r="H304" s="189">
        <v>9.4499999999999993</v>
      </c>
      <c r="I304" s="190"/>
      <c r="J304" s="191">
        <v>37.74</v>
      </c>
      <c r="K304" s="192">
        <v>284.33</v>
      </c>
      <c r="L304" s="225"/>
    </row>
    <row r="305" spans="1:12" ht="13.2" customHeight="1" x14ac:dyDescent="0.25">
      <c r="A305" s="185">
        <v>1952354565</v>
      </c>
      <c r="B305" s="186" t="s">
        <v>724</v>
      </c>
      <c r="C305" s="187">
        <v>253.7</v>
      </c>
      <c r="D305" s="188">
        <v>1.2012</v>
      </c>
      <c r="E305" s="189">
        <v>41.89</v>
      </c>
      <c r="F305" s="189">
        <v>192.08</v>
      </c>
      <c r="G305" s="189">
        <v>12.143034279170692</v>
      </c>
      <c r="H305" s="189">
        <v>9.4499999999999993</v>
      </c>
      <c r="I305" s="190"/>
      <c r="J305" s="191">
        <v>37.74</v>
      </c>
      <c r="K305" s="192">
        <v>293.3</v>
      </c>
      <c r="L305" s="225"/>
    </row>
    <row r="306" spans="1:12" ht="13.2" customHeight="1" x14ac:dyDescent="0.25">
      <c r="A306" s="185">
        <v>1821414269</v>
      </c>
      <c r="B306" s="186" t="s">
        <v>286</v>
      </c>
      <c r="C306" s="187">
        <v>281.26</v>
      </c>
      <c r="D306" s="188">
        <v>1.2468999999999999</v>
      </c>
      <c r="E306" s="189">
        <v>41.89</v>
      </c>
      <c r="F306" s="189">
        <v>190.41</v>
      </c>
      <c r="G306" s="189">
        <v>23.037702179363539</v>
      </c>
      <c r="H306" s="189">
        <v>29.25</v>
      </c>
      <c r="I306" s="190"/>
      <c r="J306" s="191">
        <v>37.74</v>
      </c>
      <c r="K306" s="192">
        <v>322.33000000000004</v>
      </c>
      <c r="L306" s="225"/>
    </row>
    <row r="307" spans="1:12" ht="13.2" customHeight="1" x14ac:dyDescent="0.25">
      <c r="A307" s="185">
        <v>1972261808</v>
      </c>
      <c r="B307" s="186" t="s">
        <v>181</v>
      </c>
      <c r="C307" s="187">
        <v>275.36</v>
      </c>
      <c r="D307" s="188">
        <v>1.2447999999999999</v>
      </c>
      <c r="E307" s="189">
        <v>41.89</v>
      </c>
      <c r="F307" s="189">
        <v>196.08</v>
      </c>
      <c r="G307" s="189">
        <v>8.73743611378978</v>
      </c>
      <c r="H307" s="189">
        <v>29.25</v>
      </c>
      <c r="I307" s="190"/>
      <c r="J307" s="191">
        <v>37.74</v>
      </c>
      <c r="K307" s="192">
        <v>313.70000000000005</v>
      </c>
      <c r="L307" s="225"/>
    </row>
    <row r="308" spans="1:12" ht="13.2" customHeight="1" x14ac:dyDescent="0.25">
      <c r="A308" s="185" t="s">
        <v>796</v>
      </c>
      <c r="B308" s="186" t="s">
        <v>491</v>
      </c>
      <c r="C308" s="187">
        <v>276.52</v>
      </c>
      <c r="D308" s="188">
        <v>1.1439999999999999</v>
      </c>
      <c r="E308" s="189">
        <v>41.89</v>
      </c>
      <c r="F308" s="189">
        <v>183.71</v>
      </c>
      <c r="G308" s="189">
        <v>22.997088254580547</v>
      </c>
      <c r="H308" s="189">
        <v>29.25</v>
      </c>
      <c r="I308" s="190"/>
      <c r="J308" s="191">
        <v>37.74</v>
      </c>
      <c r="K308" s="192">
        <v>315.59000000000003</v>
      </c>
      <c r="L308" s="225"/>
    </row>
    <row r="309" spans="1:12" ht="13.2" customHeight="1" x14ac:dyDescent="0.25">
      <c r="A309" s="185">
        <v>1225279755</v>
      </c>
      <c r="B309" s="186" t="s">
        <v>315</v>
      </c>
      <c r="C309" s="187">
        <v>284.09000000000003</v>
      </c>
      <c r="D309" s="188">
        <v>1.2968999999999999</v>
      </c>
      <c r="E309" s="189">
        <v>41.89</v>
      </c>
      <c r="F309" s="189">
        <v>199.65</v>
      </c>
      <c r="G309" s="189">
        <v>13.383641016744347</v>
      </c>
      <c r="H309" s="189">
        <v>29.25</v>
      </c>
      <c r="I309" s="190"/>
      <c r="J309" s="191">
        <v>37.74</v>
      </c>
      <c r="K309" s="192">
        <v>321.91000000000003</v>
      </c>
      <c r="L309" s="225"/>
    </row>
    <row r="310" spans="1:12" ht="13.2" customHeight="1" x14ac:dyDescent="0.25">
      <c r="A310" s="185">
        <v>1720166838</v>
      </c>
      <c r="B310" s="186" t="s">
        <v>263</v>
      </c>
      <c r="C310" s="187">
        <v>276.46000000000004</v>
      </c>
      <c r="D310" s="188">
        <v>1.2084999999999999</v>
      </c>
      <c r="E310" s="189">
        <v>41.89</v>
      </c>
      <c r="F310" s="189">
        <v>190.64000000000001</v>
      </c>
      <c r="G310" s="189">
        <v>14.855316456521813</v>
      </c>
      <c r="H310" s="189">
        <v>29.25</v>
      </c>
      <c r="I310" s="190"/>
      <c r="J310" s="191">
        <v>37.74</v>
      </c>
      <c r="K310" s="192">
        <v>314.38</v>
      </c>
      <c r="L310" s="225"/>
    </row>
    <row r="311" spans="1:12" ht="13.2" customHeight="1" x14ac:dyDescent="0.25">
      <c r="A311" s="185">
        <v>1023358991</v>
      </c>
      <c r="B311" s="186" t="s">
        <v>691</v>
      </c>
      <c r="C311" s="187">
        <v>269.19</v>
      </c>
      <c r="D311" s="188">
        <v>1.1088</v>
      </c>
      <c r="E311" s="189">
        <v>41.89</v>
      </c>
      <c r="F311" s="189">
        <v>180.70000000000002</v>
      </c>
      <c r="G311" s="189">
        <v>14.585237636425855</v>
      </c>
      <c r="H311" s="189">
        <v>29.25</v>
      </c>
      <c r="I311" s="190"/>
      <c r="J311" s="191">
        <v>37.74</v>
      </c>
      <c r="K311" s="192">
        <v>304.16999999999996</v>
      </c>
      <c r="L311" s="225"/>
    </row>
    <row r="312" spans="1:12" ht="13.2" customHeight="1" x14ac:dyDescent="0.25">
      <c r="A312" s="185">
        <v>1700833233</v>
      </c>
      <c r="B312" s="186" t="s">
        <v>692</v>
      </c>
      <c r="C312" s="187">
        <v>292.14999999999998</v>
      </c>
      <c r="D312" s="188">
        <v>1.2871999999999999</v>
      </c>
      <c r="E312" s="189">
        <v>41.89</v>
      </c>
      <c r="F312" s="189">
        <v>193.08</v>
      </c>
      <c r="G312" s="189">
        <v>29.830681920484963</v>
      </c>
      <c r="H312" s="189">
        <v>29.25</v>
      </c>
      <c r="I312" s="190"/>
      <c r="J312" s="191">
        <v>37.74</v>
      </c>
      <c r="K312" s="192">
        <v>331.79</v>
      </c>
      <c r="L312" s="225"/>
    </row>
    <row r="313" spans="1:12" ht="13.2" customHeight="1" x14ac:dyDescent="0.25">
      <c r="A313" s="185">
        <v>1215982525</v>
      </c>
      <c r="B313" s="186" t="s">
        <v>293</v>
      </c>
      <c r="C313" s="187">
        <v>284.85000000000002</v>
      </c>
      <c r="D313" s="188">
        <v>1.1884999999999999</v>
      </c>
      <c r="E313" s="189">
        <v>41.89</v>
      </c>
      <c r="F313" s="189">
        <v>190.21</v>
      </c>
      <c r="G313" s="189">
        <v>23.205234619093492</v>
      </c>
      <c r="H313" s="189">
        <v>29.25</v>
      </c>
      <c r="I313" s="190"/>
      <c r="J313" s="191">
        <v>37.74</v>
      </c>
      <c r="K313" s="192">
        <v>322.3</v>
      </c>
      <c r="L313" s="225"/>
    </row>
    <row r="314" spans="1:12" ht="13.2" customHeight="1" x14ac:dyDescent="0.25">
      <c r="A314" s="185">
        <v>1427003110</v>
      </c>
      <c r="B314" s="186" t="s">
        <v>294</v>
      </c>
      <c r="C314" s="187">
        <v>282.57</v>
      </c>
      <c r="D314" s="188">
        <v>1.1657999999999999</v>
      </c>
      <c r="E314" s="189">
        <v>41.89</v>
      </c>
      <c r="F314" s="189">
        <v>187.21</v>
      </c>
      <c r="G314" s="189">
        <v>21.423298669238147</v>
      </c>
      <c r="H314" s="189">
        <v>29.25</v>
      </c>
      <c r="I314" s="190"/>
      <c r="J314" s="191">
        <v>37.74</v>
      </c>
      <c r="K314" s="192">
        <v>317.51000000000005</v>
      </c>
      <c r="L314" s="225"/>
    </row>
    <row r="315" spans="1:12" ht="13.2" customHeight="1" x14ac:dyDescent="0.25">
      <c r="A315" s="185">
        <v>1598710949</v>
      </c>
      <c r="B315" s="186" t="s">
        <v>295</v>
      </c>
      <c r="C315" s="187">
        <v>280.74</v>
      </c>
      <c r="D315" s="188">
        <v>1.2053</v>
      </c>
      <c r="E315" s="189">
        <v>41.89</v>
      </c>
      <c r="F315" s="189">
        <v>189.49</v>
      </c>
      <c r="G315" s="189">
        <v>20.891513114754126</v>
      </c>
      <c r="H315" s="189">
        <v>29.25</v>
      </c>
      <c r="I315" s="190"/>
      <c r="J315" s="191">
        <v>37.74</v>
      </c>
      <c r="K315" s="192">
        <v>319.26</v>
      </c>
      <c r="L315" s="225"/>
    </row>
    <row r="316" spans="1:12" ht="13.2" customHeight="1" x14ac:dyDescent="0.25">
      <c r="A316" s="185">
        <v>1770538092</v>
      </c>
      <c r="B316" s="186" t="s">
        <v>296</v>
      </c>
      <c r="C316" s="187">
        <v>280.64999999999998</v>
      </c>
      <c r="D316" s="188">
        <v>1.2175</v>
      </c>
      <c r="E316" s="189">
        <v>41.89</v>
      </c>
      <c r="F316" s="189">
        <v>192.06</v>
      </c>
      <c r="G316" s="189">
        <v>13.830191598360695</v>
      </c>
      <c r="H316" s="189">
        <v>29.25</v>
      </c>
      <c r="I316" s="190"/>
      <c r="J316" s="191">
        <v>37.74</v>
      </c>
      <c r="K316" s="192">
        <v>314.77</v>
      </c>
      <c r="L316" s="225"/>
    </row>
    <row r="317" spans="1:12" ht="13.2" customHeight="1" x14ac:dyDescent="0.25">
      <c r="A317" s="185">
        <v>1871548487</v>
      </c>
      <c r="B317" s="186" t="s">
        <v>297</v>
      </c>
      <c r="C317" s="187">
        <v>273.31</v>
      </c>
      <c r="D317" s="188">
        <v>1.1352</v>
      </c>
      <c r="E317" s="189">
        <v>41.89</v>
      </c>
      <c r="F317" s="189">
        <v>182.81</v>
      </c>
      <c r="G317" s="189">
        <v>18.425980910094687</v>
      </c>
      <c r="H317" s="189">
        <v>29.25</v>
      </c>
      <c r="I317" s="190"/>
      <c r="J317" s="191">
        <v>37.74</v>
      </c>
      <c r="K317" s="192">
        <v>310.12</v>
      </c>
      <c r="L317" s="225"/>
    </row>
    <row r="318" spans="1:12" ht="13.2" customHeight="1" x14ac:dyDescent="0.25">
      <c r="A318" s="185">
        <v>1467407775</v>
      </c>
      <c r="B318" s="186" t="s">
        <v>298</v>
      </c>
      <c r="C318" s="187">
        <v>288.46000000000004</v>
      </c>
      <c r="D318" s="188">
        <v>1.1606000000000001</v>
      </c>
      <c r="E318" s="189">
        <v>41.89</v>
      </c>
      <c r="F318" s="189">
        <v>186.57</v>
      </c>
      <c r="G318" s="189">
        <v>29.356894587753128</v>
      </c>
      <c r="H318" s="189">
        <v>29.25</v>
      </c>
      <c r="I318" s="190"/>
      <c r="J318" s="191">
        <v>37.74</v>
      </c>
      <c r="K318" s="192">
        <v>324.81</v>
      </c>
      <c r="L318" s="225"/>
    </row>
    <row r="319" spans="1:12" ht="13.2" customHeight="1" x14ac:dyDescent="0.25">
      <c r="A319" s="185">
        <v>1881993079</v>
      </c>
      <c r="B319" s="186" t="s">
        <v>592</v>
      </c>
      <c r="C319" s="187">
        <v>297.60000000000002</v>
      </c>
      <c r="D319" s="188">
        <v>1.2613000000000001</v>
      </c>
      <c r="E319" s="189">
        <v>41.89</v>
      </c>
      <c r="F319" s="189">
        <v>199.76000000000002</v>
      </c>
      <c r="G319" s="189">
        <v>31.89856699614279</v>
      </c>
      <c r="H319" s="189">
        <v>29.25</v>
      </c>
      <c r="I319" s="190"/>
      <c r="J319" s="191">
        <v>37.74</v>
      </c>
      <c r="K319" s="192">
        <v>340.53999999999996</v>
      </c>
      <c r="L319" s="225"/>
    </row>
    <row r="320" spans="1:12" ht="13.2" customHeight="1" x14ac:dyDescent="0.25">
      <c r="A320" s="185">
        <v>1255379293</v>
      </c>
      <c r="B320" s="186" t="s">
        <v>300</v>
      </c>
      <c r="C320" s="187">
        <v>271.22000000000003</v>
      </c>
      <c r="D320" s="188">
        <v>1.1183000000000001</v>
      </c>
      <c r="E320" s="189">
        <v>41.89</v>
      </c>
      <c r="F320" s="189">
        <v>183.04</v>
      </c>
      <c r="G320" s="189">
        <v>15.732351483717423</v>
      </c>
      <c r="H320" s="189">
        <v>29.25</v>
      </c>
      <c r="I320" s="190"/>
      <c r="J320" s="191">
        <v>37.74</v>
      </c>
      <c r="K320" s="192">
        <v>307.65000000000003</v>
      </c>
      <c r="L320" s="225"/>
    </row>
    <row r="321" spans="1:12" ht="13.2" customHeight="1" x14ac:dyDescent="0.25">
      <c r="A321" s="185">
        <v>1881648350</v>
      </c>
      <c r="B321" s="186" t="s">
        <v>303</v>
      </c>
      <c r="C321" s="187">
        <v>291.52</v>
      </c>
      <c r="D321" s="188">
        <v>1.1328</v>
      </c>
      <c r="E321" s="189">
        <v>41.89</v>
      </c>
      <c r="F321" s="189">
        <v>183.42000000000002</v>
      </c>
      <c r="G321" s="189">
        <v>32.952079492751885</v>
      </c>
      <c r="H321" s="189">
        <v>29.25</v>
      </c>
      <c r="I321" s="190"/>
      <c r="J321" s="191">
        <v>37.74</v>
      </c>
      <c r="K321" s="192">
        <v>325.25</v>
      </c>
      <c r="L321" s="225"/>
    </row>
    <row r="322" spans="1:12" ht="13.2" customHeight="1" x14ac:dyDescent="0.25">
      <c r="A322" s="185">
        <v>1669410312</v>
      </c>
      <c r="B322" s="186" t="s">
        <v>304</v>
      </c>
      <c r="C322" s="187">
        <v>275.69</v>
      </c>
      <c r="D322" s="188">
        <v>1.1763999999999999</v>
      </c>
      <c r="E322" s="189">
        <v>41.89</v>
      </c>
      <c r="F322" s="189">
        <v>188.27</v>
      </c>
      <c r="G322" s="189">
        <v>14.860092682695395</v>
      </c>
      <c r="H322" s="189">
        <v>29.25</v>
      </c>
      <c r="I322" s="190"/>
      <c r="J322" s="191">
        <v>37.74</v>
      </c>
      <c r="K322" s="192">
        <v>312.01000000000005</v>
      </c>
      <c r="L322" s="225"/>
    </row>
    <row r="323" spans="1:12" ht="13.2" customHeight="1" x14ac:dyDescent="0.25">
      <c r="A323" s="185">
        <v>1184705048</v>
      </c>
      <c r="B323" s="186" t="s">
        <v>305</v>
      </c>
      <c r="C323" s="187">
        <v>256.28000000000003</v>
      </c>
      <c r="D323" s="188">
        <v>0.9728</v>
      </c>
      <c r="E323" s="189">
        <v>41.89</v>
      </c>
      <c r="F323" s="189">
        <v>169.6</v>
      </c>
      <c r="G323" s="189">
        <v>10.353339276759888</v>
      </c>
      <c r="H323" s="189">
        <v>29.25</v>
      </c>
      <c r="I323" s="190"/>
      <c r="J323" s="191">
        <v>37.74</v>
      </c>
      <c r="K323" s="192">
        <v>288.83000000000004</v>
      </c>
      <c r="L323" s="225"/>
    </row>
    <row r="324" spans="1:12" ht="13.2" customHeight="1" x14ac:dyDescent="0.25">
      <c r="A324" s="185">
        <v>1386187813</v>
      </c>
      <c r="B324" s="186" t="s">
        <v>306</v>
      </c>
      <c r="C324" s="187">
        <v>271.5</v>
      </c>
      <c r="D324" s="188">
        <v>1.1271</v>
      </c>
      <c r="E324" s="189">
        <v>41.89</v>
      </c>
      <c r="F324" s="189">
        <v>183.23000000000002</v>
      </c>
      <c r="G324" s="189">
        <v>14.593465099221978</v>
      </c>
      <c r="H324" s="189">
        <v>29.25</v>
      </c>
      <c r="I324" s="190"/>
      <c r="J324" s="191">
        <v>37.74</v>
      </c>
      <c r="K324" s="192">
        <v>306.7</v>
      </c>
      <c r="L324" s="225"/>
    </row>
    <row r="325" spans="1:12" ht="13.2" customHeight="1" x14ac:dyDescent="0.25">
      <c r="A325" s="185">
        <v>1669449799</v>
      </c>
      <c r="B325" s="186" t="s">
        <v>313</v>
      </c>
      <c r="C325" s="187">
        <v>252.92</v>
      </c>
      <c r="D325" s="188">
        <v>0.96360000000000001</v>
      </c>
      <c r="E325" s="189">
        <v>41.89</v>
      </c>
      <c r="F325" s="189">
        <v>168.71</v>
      </c>
      <c r="G325" s="189">
        <v>47.96350591128261</v>
      </c>
      <c r="H325" s="189">
        <v>0</v>
      </c>
      <c r="I325" s="190"/>
      <c r="J325" s="191">
        <v>37.74</v>
      </c>
      <c r="K325" s="192">
        <v>296.3</v>
      </c>
      <c r="L325" s="225"/>
    </row>
    <row r="326" spans="1:12" ht="13.2" customHeight="1" x14ac:dyDescent="0.25">
      <c r="A326" s="185">
        <v>1245285253</v>
      </c>
      <c r="B326" s="186" t="s">
        <v>688</v>
      </c>
      <c r="C326" s="187">
        <v>281.82</v>
      </c>
      <c r="D326" s="188">
        <v>1.1941999999999999</v>
      </c>
      <c r="E326" s="189">
        <v>41.89</v>
      </c>
      <c r="F326" s="189">
        <v>187.03</v>
      </c>
      <c r="G326" s="189">
        <v>26.8194739597396</v>
      </c>
      <c r="H326" s="189">
        <v>29.25</v>
      </c>
      <c r="I326" s="190"/>
      <c r="J326" s="191">
        <v>37.74</v>
      </c>
      <c r="K326" s="192">
        <v>322.73</v>
      </c>
      <c r="L326" s="225"/>
    </row>
    <row r="327" spans="1:12" ht="13.2" customHeight="1" x14ac:dyDescent="0.25">
      <c r="A327" s="185">
        <v>1124015458</v>
      </c>
      <c r="B327" s="186" t="s">
        <v>260</v>
      </c>
      <c r="C327" s="187">
        <v>259.57</v>
      </c>
      <c r="D327" s="188">
        <v>1.1059000000000001</v>
      </c>
      <c r="E327" s="189">
        <v>41.89</v>
      </c>
      <c r="F327" s="189">
        <v>181.62</v>
      </c>
      <c r="G327" s="189">
        <v>38.13795989392483</v>
      </c>
      <c r="H327" s="189">
        <v>0</v>
      </c>
      <c r="I327" s="190"/>
      <c r="J327" s="191">
        <v>37.74</v>
      </c>
      <c r="K327" s="192">
        <v>299.39</v>
      </c>
      <c r="L327" s="225"/>
    </row>
    <row r="328" spans="1:12" ht="13.2" customHeight="1" x14ac:dyDescent="0.25">
      <c r="A328" s="185">
        <v>1629047279</v>
      </c>
      <c r="B328" s="186" t="s">
        <v>319</v>
      </c>
      <c r="C328" s="187">
        <v>284.97000000000003</v>
      </c>
      <c r="D328" s="188">
        <v>1.323</v>
      </c>
      <c r="E328" s="189">
        <v>41.89</v>
      </c>
      <c r="F328" s="189">
        <v>200.42000000000002</v>
      </c>
      <c r="G328" s="189">
        <v>13.419483580151875</v>
      </c>
      <c r="H328" s="189">
        <v>29.25</v>
      </c>
      <c r="I328" s="190"/>
      <c r="J328" s="191">
        <v>37.74</v>
      </c>
      <c r="K328" s="192">
        <v>322.72000000000003</v>
      </c>
      <c r="L328" s="225"/>
    </row>
    <row r="329" spans="1:12" ht="13.2" customHeight="1" x14ac:dyDescent="0.25">
      <c r="A329" s="185">
        <v>1144299702</v>
      </c>
      <c r="B329" s="186" t="s">
        <v>320</v>
      </c>
      <c r="C329" s="187">
        <v>296.75</v>
      </c>
      <c r="D329" s="188">
        <v>1.3488</v>
      </c>
      <c r="E329" s="189">
        <v>41.89</v>
      </c>
      <c r="F329" s="189">
        <v>205.63000000000002</v>
      </c>
      <c r="G329" s="189">
        <v>21.982000381515707</v>
      </c>
      <c r="H329" s="189">
        <v>29.25</v>
      </c>
      <c r="I329" s="190"/>
      <c r="J329" s="191">
        <v>37.74</v>
      </c>
      <c r="K329" s="192">
        <v>336.49</v>
      </c>
      <c r="L329" s="225"/>
    </row>
    <row r="330" spans="1:12" ht="13.2" customHeight="1" x14ac:dyDescent="0.25">
      <c r="A330" s="185">
        <v>1942279609</v>
      </c>
      <c r="B330" s="186" t="s">
        <v>322</v>
      </c>
      <c r="C330" s="187">
        <v>280.74</v>
      </c>
      <c r="D330" s="188">
        <v>1.3108</v>
      </c>
      <c r="E330" s="189">
        <v>41.89</v>
      </c>
      <c r="F330" s="189">
        <v>198.61</v>
      </c>
      <c r="G330" s="189">
        <v>9.0236084860173573</v>
      </c>
      <c r="H330" s="189">
        <v>29.25</v>
      </c>
      <c r="I330" s="190"/>
      <c r="J330" s="191">
        <v>37.74</v>
      </c>
      <c r="K330" s="192">
        <v>316.51</v>
      </c>
      <c r="L330" s="225"/>
    </row>
    <row r="331" spans="1:12" ht="13.2" customHeight="1" x14ac:dyDescent="0.25">
      <c r="A331" s="185">
        <v>1114996758</v>
      </c>
      <c r="B331" s="186" t="s">
        <v>725</v>
      </c>
      <c r="C331" s="187">
        <v>281.73</v>
      </c>
      <c r="D331" s="188">
        <v>1.1751</v>
      </c>
      <c r="E331" s="189">
        <v>41.89</v>
      </c>
      <c r="F331" s="189">
        <v>187.26</v>
      </c>
      <c r="G331" s="189">
        <v>19.762139889488921</v>
      </c>
      <c r="H331" s="189">
        <v>29.25</v>
      </c>
      <c r="I331" s="190"/>
      <c r="J331" s="191">
        <v>37.74</v>
      </c>
      <c r="K331" s="192">
        <v>315.89999999999998</v>
      </c>
      <c r="L331" s="225"/>
    </row>
    <row r="332" spans="1:12" ht="11.25" customHeight="1" x14ac:dyDescent="0.25">
      <c r="A332" s="185">
        <v>1902875578</v>
      </c>
      <c r="B332" s="186" t="s">
        <v>726</v>
      </c>
      <c r="C332" s="187">
        <v>291.27999999999997</v>
      </c>
      <c r="D332" s="188">
        <v>1.3051999999999999</v>
      </c>
      <c r="E332" s="189">
        <v>41.89</v>
      </c>
      <c r="F332" s="189">
        <v>199.25</v>
      </c>
      <c r="G332" s="189">
        <v>19.962603099556382</v>
      </c>
      <c r="H332" s="189">
        <v>29.25</v>
      </c>
      <c r="I332" s="190"/>
      <c r="J332" s="191">
        <v>37.74</v>
      </c>
      <c r="K332" s="192">
        <v>328.09</v>
      </c>
      <c r="L332" s="225"/>
    </row>
    <row r="333" spans="1:12" ht="13.2" customHeight="1" x14ac:dyDescent="0.25">
      <c r="A333" s="185">
        <v>1689640583</v>
      </c>
      <c r="B333" s="186" t="s">
        <v>324</v>
      </c>
      <c r="C333" s="187">
        <v>279.85000000000002</v>
      </c>
      <c r="D333" s="188">
        <v>1.3089</v>
      </c>
      <c r="E333" s="189">
        <v>41.89</v>
      </c>
      <c r="F333" s="189">
        <v>199.33</v>
      </c>
      <c r="G333" s="189">
        <v>12.95832931211832</v>
      </c>
      <c r="H333" s="189">
        <v>29.25</v>
      </c>
      <c r="I333" s="190"/>
      <c r="J333" s="191">
        <v>37.74</v>
      </c>
      <c r="K333" s="192">
        <v>321.17</v>
      </c>
      <c r="L333" s="225"/>
    </row>
    <row r="334" spans="1:12" ht="13.2" customHeight="1" x14ac:dyDescent="0.25">
      <c r="A334" s="185">
        <v>1831125285</v>
      </c>
      <c r="B334" s="186" t="s">
        <v>325</v>
      </c>
      <c r="C334" s="187">
        <v>261.10000000000002</v>
      </c>
      <c r="D334" s="188">
        <v>1.153</v>
      </c>
      <c r="E334" s="189">
        <v>41.89</v>
      </c>
      <c r="F334" s="189">
        <v>185.61</v>
      </c>
      <c r="G334" s="189">
        <v>13.167936685149446</v>
      </c>
      <c r="H334" s="189">
        <v>29.25</v>
      </c>
      <c r="I334" s="190"/>
      <c r="J334" s="191">
        <v>37.74</v>
      </c>
      <c r="K334" s="192">
        <v>307.66000000000003</v>
      </c>
      <c r="L334" s="225"/>
    </row>
    <row r="335" spans="1:12" ht="13.2" customHeight="1" x14ac:dyDescent="0.25">
      <c r="A335" s="185">
        <v>1629515499</v>
      </c>
      <c r="B335" s="186" t="s">
        <v>327</v>
      </c>
      <c r="C335" s="187">
        <v>279.22000000000003</v>
      </c>
      <c r="D335" s="188">
        <v>1.2134</v>
      </c>
      <c r="E335" s="189">
        <v>41.89</v>
      </c>
      <c r="F335" s="189">
        <v>191.57</v>
      </c>
      <c r="G335" s="189">
        <v>19.90052524816533</v>
      </c>
      <c r="H335" s="189">
        <v>29.25</v>
      </c>
      <c r="I335" s="190"/>
      <c r="J335" s="191">
        <v>37.74</v>
      </c>
      <c r="K335" s="192">
        <v>320.34999999999997</v>
      </c>
      <c r="L335" s="225"/>
    </row>
    <row r="336" spans="1:12" ht="13.2" customHeight="1" x14ac:dyDescent="0.25">
      <c r="A336" s="185">
        <v>1952766271</v>
      </c>
      <c r="B336" s="186" t="s">
        <v>644</v>
      </c>
      <c r="C336" s="187">
        <v>289.98</v>
      </c>
      <c r="D336" s="188">
        <v>1.4774</v>
      </c>
      <c r="E336" s="189">
        <v>41.89</v>
      </c>
      <c r="F336" s="189">
        <v>217.18</v>
      </c>
      <c r="G336" s="189">
        <v>25.451518891128206</v>
      </c>
      <c r="H336" s="189">
        <v>9.4499999999999993</v>
      </c>
      <c r="I336" s="190"/>
      <c r="J336" s="191">
        <v>37.74</v>
      </c>
      <c r="K336" s="192">
        <v>331.71</v>
      </c>
      <c r="L336" s="225"/>
    </row>
    <row r="337" spans="1:12" ht="13.2" customHeight="1" x14ac:dyDescent="0.25">
      <c r="A337" s="185">
        <v>1659319366</v>
      </c>
      <c r="B337" s="186" t="s">
        <v>329</v>
      </c>
      <c r="C337" s="187">
        <v>281.18</v>
      </c>
      <c r="D337" s="188">
        <v>1.2871999999999999</v>
      </c>
      <c r="E337" s="189">
        <v>41.89</v>
      </c>
      <c r="F337" s="189">
        <v>198.71</v>
      </c>
      <c r="G337" s="189">
        <v>8.7948267338005888</v>
      </c>
      <c r="H337" s="189">
        <v>29.25</v>
      </c>
      <c r="I337" s="190"/>
      <c r="J337" s="191">
        <v>37.74</v>
      </c>
      <c r="K337" s="192">
        <v>316.38000000000005</v>
      </c>
      <c r="L337" s="225"/>
    </row>
    <row r="338" spans="1:12" ht="13.2" customHeight="1" x14ac:dyDescent="0.25">
      <c r="A338" s="185">
        <v>1972050276</v>
      </c>
      <c r="B338" s="186" t="s">
        <v>330</v>
      </c>
      <c r="C338" s="187">
        <v>257.74</v>
      </c>
      <c r="D338" s="188">
        <v>1.1419999999999999</v>
      </c>
      <c r="E338" s="189">
        <v>41.89</v>
      </c>
      <c r="F338" s="189">
        <v>184.94</v>
      </c>
      <c r="G338" s="189">
        <v>8.9282176952748316</v>
      </c>
      <c r="H338" s="189">
        <v>29.25</v>
      </c>
      <c r="I338" s="190"/>
      <c r="J338" s="191">
        <v>37.74</v>
      </c>
      <c r="K338" s="192">
        <v>302.75</v>
      </c>
      <c r="L338" s="225"/>
    </row>
    <row r="339" spans="1:12" ht="13.2" customHeight="1" x14ac:dyDescent="0.25">
      <c r="A339" s="185">
        <v>1154369841</v>
      </c>
      <c r="B339" s="186" t="s">
        <v>731</v>
      </c>
      <c r="C339" s="187">
        <v>284.01</v>
      </c>
      <c r="D339" s="188">
        <v>1.1881999999999999</v>
      </c>
      <c r="E339" s="189">
        <v>41.89</v>
      </c>
      <c r="F339" s="189">
        <v>190.68</v>
      </c>
      <c r="G339" s="189">
        <v>16.992337066055963</v>
      </c>
      <c r="H339" s="189">
        <v>29.25</v>
      </c>
      <c r="I339" s="190"/>
      <c r="J339" s="191">
        <v>37.74</v>
      </c>
      <c r="K339" s="192">
        <v>316.55</v>
      </c>
      <c r="L339" s="225"/>
    </row>
    <row r="340" spans="1:12" ht="13.2" customHeight="1" x14ac:dyDescent="0.25">
      <c r="A340" s="185">
        <v>1639153919</v>
      </c>
      <c r="B340" s="186" t="s">
        <v>331</v>
      </c>
      <c r="C340" s="187">
        <v>238.06</v>
      </c>
      <c r="D340" s="188">
        <v>0.98429999999999995</v>
      </c>
      <c r="E340" s="189">
        <v>41.89</v>
      </c>
      <c r="F340" s="189">
        <v>170.93</v>
      </c>
      <c r="G340" s="189">
        <v>26.765504869816798</v>
      </c>
      <c r="H340" s="189">
        <v>0</v>
      </c>
      <c r="I340" s="190"/>
      <c r="J340" s="191">
        <v>37.74</v>
      </c>
      <c r="K340" s="192">
        <v>277.33</v>
      </c>
      <c r="L340" s="225"/>
    </row>
    <row r="341" spans="1:12" ht="13.2" customHeight="1" x14ac:dyDescent="0.25">
      <c r="A341" s="185">
        <v>1043314602</v>
      </c>
      <c r="B341" s="186" t="s">
        <v>332</v>
      </c>
      <c r="C341" s="187">
        <v>306.22000000000003</v>
      </c>
      <c r="D341" s="188">
        <v>1.1068</v>
      </c>
      <c r="E341" s="189">
        <v>41.89</v>
      </c>
      <c r="F341" s="189">
        <v>182.28</v>
      </c>
      <c r="G341" s="189">
        <v>30.164798881209148</v>
      </c>
      <c r="H341" s="189">
        <v>29.25</v>
      </c>
      <c r="I341" s="190"/>
      <c r="J341" s="191">
        <v>37.74</v>
      </c>
      <c r="K341" s="192">
        <v>321.32000000000005</v>
      </c>
      <c r="L341" s="225"/>
    </row>
    <row r="342" spans="1:12" ht="13.2" customHeight="1" x14ac:dyDescent="0.25">
      <c r="A342" s="185">
        <v>1700821865</v>
      </c>
      <c r="B342" s="186" t="s">
        <v>333</v>
      </c>
      <c r="C342" s="187">
        <v>287.51</v>
      </c>
      <c r="D342" s="188">
        <v>1.2437</v>
      </c>
      <c r="E342" s="189">
        <v>41.89</v>
      </c>
      <c r="F342" s="189">
        <v>194.64</v>
      </c>
      <c r="G342" s="189">
        <v>17.114074812728973</v>
      </c>
      <c r="H342" s="189">
        <v>29.25</v>
      </c>
      <c r="I342" s="190"/>
      <c r="J342" s="191">
        <v>37.74</v>
      </c>
      <c r="K342" s="192">
        <v>320.63</v>
      </c>
      <c r="L342" s="225"/>
    </row>
    <row r="343" spans="1:12" ht="13.2" customHeight="1" x14ac:dyDescent="0.25">
      <c r="A343" s="185">
        <v>1902853781</v>
      </c>
      <c r="B343" s="186" t="s">
        <v>334</v>
      </c>
      <c r="C343" s="187">
        <v>306.94</v>
      </c>
      <c r="D343" s="188">
        <v>1.3635999999999999</v>
      </c>
      <c r="E343" s="189">
        <v>41.89</v>
      </c>
      <c r="F343" s="189">
        <v>204.31</v>
      </c>
      <c r="G343" s="189">
        <v>35.712725784506446</v>
      </c>
      <c r="H343" s="189">
        <v>29.25</v>
      </c>
      <c r="I343" s="190"/>
      <c r="J343" s="191">
        <v>37.74</v>
      </c>
      <c r="K343" s="192">
        <v>348.9</v>
      </c>
      <c r="L343" s="225"/>
    </row>
    <row r="344" spans="1:12" ht="13.2" customHeight="1" x14ac:dyDescent="0.25">
      <c r="A344" s="185">
        <v>1235264219</v>
      </c>
      <c r="B344" s="186" t="s">
        <v>335</v>
      </c>
      <c r="C344" s="187">
        <v>240.1</v>
      </c>
      <c r="D344" s="188">
        <v>1.1870000000000001</v>
      </c>
      <c r="E344" s="189">
        <v>41.89</v>
      </c>
      <c r="F344" s="189">
        <v>191.17000000000002</v>
      </c>
      <c r="G344" s="189">
        <v>18.752933114754054</v>
      </c>
      <c r="H344" s="189">
        <v>0</v>
      </c>
      <c r="I344" s="190"/>
      <c r="J344" s="191">
        <v>37.74</v>
      </c>
      <c r="K344" s="192">
        <v>289.55</v>
      </c>
      <c r="L344" s="225"/>
    </row>
    <row r="345" spans="1:12" ht="13.2" customHeight="1" x14ac:dyDescent="0.25">
      <c r="A345" s="185">
        <v>1366577355</v>
      </c>
      <c r="B345" s="186" t="s">
        <v>336</v>
      </c>
      <c r="C345" s="187">
        <v>238.48000000000002</v>
      </c>
      <c r="D345" s="188">
        <v>1.0934999999999999</v>
      </c>
      <c r="E345" s="189">
        <v>41.89</v>
      </c>
      <c r="F345" s="189">
        <v>181.24</v>
      </c>
      <c r="G345" s="189">
        <v>20.677968678881381</v>
      </c>
      <c r="H345" s="189">
        <v>0</v>
      </c>
      <c r="I345" s="190"/>
      <c r="J345" s="191">
        <v>37.74</v>
      </c>
      <c r="K345" s="192">
        <v>281.55</v>
      </c>
      <c r="L345" s="225"/>
    </row>
    <row r="346" spans="1:12" ht="13.2" customHeight="1" x14ac:dyDescent="0.25">
      <c r="A346" s="185">
        <v>1033244090</v>
      </c>
      <c r="B346" s="186" t="s">
        <v>337</v>
      </c>
      <c r="C346" s="187">
        <v>268.14</v>
      </c>
      <c r="D346" s="188">
        <v>1.0734999999999999</v>
      </c>
      <c r="E346" s="189">
        <v>41.89</v>
      </c>
      <c r="F346" s="189">
        <v>179.25000000000003</v>
      </c>
      <c r="G346" s="189">
        <v>17.042758003857319</v>
      </c>
      <c r="H346" s="189">
        <v>29.25</v>
      </c>
      <c r="I346" s="190"/>
      <c r="J346" s="191">
        <v>37.74</v>
      </c>
      <c r="K346" s="192">
        <v>305.17</v>
      </c>
      <c r="L346" s="225"/>
    </row>
    <row r="347" spans="1:12" ht="13.2" customHeight="1" x14ac:dyDescent="0.25">
      <c r="A347" s="185">
        <v>1699310839</v>
      </c>
      <c r="B347" s="186" t="s">
        <v>131</v>
      </c>
      <c r="C347" s="187">
        <v>286.75</v>
      </c>
      <c r="D347" s="188">
        <v>1.3109999999999999</v>
      </c>
      <c r="E347" s="189">
        <v>41.89</v>
      </c>
      <c r="F347" s="189">
        <v>201.76000000000002</v>
      </c>
      <c r="G347" s="189">
        <v>21.221143592202917</v>
      </c>
      <c r="H347" s="189">
        <v>29.25</v>
      </c>
      <c r="I347" s="190"/>
      <c r="J347" s="191">
        <v>37.74</v>
      </c>
      <c r="K347" s="192">
        <v>331.86</v>
      </c>
      <c r="L347" s="225"/>
    </row>
    <row r="348" spans="1:12" ht="13.2" customHeight="1" x14ac:dyDescent="0.25">
      <c r="A348" s="185">
        <v>1770618720</v>
      </c>
      <c r="B348" s="186" t="s">
        <v>338</v>
      </c>
      <c r="C348" s="187">
        <v>281.51</v>
      </c>
      <c r="D348" s="188">
        <v>1.1023000000000001</v>
      </c>
      <c r="E348" s="189">
        <v>41.89</v>
      </c>
      <c r="F348" s="189">
        <v>182.28</v>
      </c>
      <c r="G348" s="189">
        <v>28.457166938283503</v>
      </c>
      <c r="H348" s="189">
        <v>29.25</v>
      </c>
      <c r="I348" s="190"/>
      <c r="J348" s="191">
        <v>37.74</v>
      </c>
      <c r="K348" s="192">
        <v>319.62</v>
      </c>
      <c r="L348" s="225"/>
    </row>
    <row r="349" spans="1:12" ht="13.2" customHeight="1" x14ac:dyDescent="0.25">
      <c r="A349" s="185">
        <v>1356476311</v>
      </c>
      <c r="B349" s="186" t="s">
        <v>339</v>
      </c>
      <c r="C349" s="187">
        <v>247.92000000000002</v>
      </c>
      <c r="D349" s="188">
        <v>1.196</v>
      </c>
      <c r="E349" s="189">
        <v>41.89</v>
      </c>
      <c r="F349" s="189">
        <v>189.56</v>
      </c>
      <c r="G349" s="189">
        <v>29.525170029297886</v>
      </c>
      <c r="H349" s="189">
        <v>0</v>
      </c>
      <c r="I349" s="190"/>
      <c r="J349" s="191">
        <v>37.74</v>
      </c>
      <c r="K349" s="192">
        <v>298.72000000000003</v>
      </c>
      <c r="L349" s="225"/>
    </row>
    <row r="350" spans="1:12" ht="13.2" customHeight="1" x14ac:dyDescent="0.25">
      <c r="A350" s="185">
        <v>1528606225</v>
      </c>
      <c r="B350" s="186" t="s">
        <v>340</v>
      </c>
      <c r="C350" s="187">
        <v>308.05</v>
      </c>
      <c r="D350" s="188">
        <v>1.4178999999999999</v>
      </c>
      <c r="E350" s="189">
        <v>41.89</v>
      </c>
      <c r="F350" s="189">
        <v>205.22</v>
      </c>
      <c r="G350" s="189">
        <v>31.113250050954687</v>
      </c>
      <c r="H350" s="189">
        <v>29.25</v>
      </c>
      <c r="I350" s="190"/>
      <c r="J350" s="191">
        <v>37.74</v>
      </c>
      <c r="K350" s="192">
        <v>345.21000000000004</v>
      </c>
      <c r="L350" s="225"/>
    </row>
    <row r="351" spans="1:12" ht="13.2" customHeight="1" x14ac:dyDescent="0.25">
      <c r="A351" s="185">
        <v>1669083291</v>
      </c>
      <c r="B351" s="186" t="s">
        <v>717</v>
      </c>
      <c r="C351" s="187">
        <v>262.90999999999997</v>
      </c>
      <c r="D351" s="188">
        <v>1.1344000000000001</v>
      </c>
      <c r="E351" s="189">
        <v>41.89</v>
      </c>
      <c r="F351" s="189">
        <v>183.19</v>
      </c>
      <c r="G351" s="189">
        <v>8.7374361137897782</v>
      </c>
      <c r="H351" s="189">
        <v>29.25</v>
      </c>
      <c r="I351" s="190"/>
      <c r="J351" s="191">
        <v>37.74</v>
      </c>
      <c r="K351" s="192">
        <v>300.81</v>
      </c>
      <c r="L351" s="225"/>
    </row>
    <row r="352" spans="1:12" ht="13.2" customHeight="1" x14ac:dyDescent="0.25">
      <c r="A352" s="185">
        <v>1629425491</v>
      </c>
      <c r="B352" s="186" t="s">
        <v>341</v>
      </c>
      <c r="C352" s="187">
        <v>287.25</v>
      </c>
      <c r="D352" s="188">
        <v>1.34</v>
      </c>
      <c r="E352" s="189">
        <v>41.89</v>
      </c>
      <c r="F352" s="189">
        <v>207.07</v>
      </c>
      <c r="G352" s="189">
        <v>10.57430429243013</v>
      </c>
      <c r="H352" s="189">
        <v>29.25</v>
      </c>
      <c r="I352" s="190"/>
      <c r="J352" s="191">
        <v>37.74</v>
      </c>
      <c r="K352" s="192">
        <v>326.52</v>
      </c>
      <c r="L352" s="225"/>
    </row>
    <row r="353" spans="1:12" ht="13.2" customHeight="1" x14ac:dyDescent="0.25">
      <c r="A353" s="185">
        <v>1629016340</v>
      </c>
      <c r="B353" s="186" t="s">
        <v>342</v>
      </c>
      <c r="C353" s="187">
        <v>280.3</v>
      </c>
      <c r="D353" s="188">
        <v>1.23</v>
      </c>
      <c r="E353" s="189">
        <v>41.89</v>
      </c>
      <c r="F353" s="189">
        <v>193.97</v>
      </c>
      <c r="G353" s="189">
        <v>14.0254069723443</v>
      </c>
      <c r="H353" s="189">
        <v>29.25</v>
      </c>
      <c r="I353" s="190"/>
      <c r="J353" s="191">
        <v>37.74</v>
      </c>
      <c r="K353" s="192">
        <v>316.88</v>
      </c>
      <c r="L353" s="225"/>
    </row>
    <row r="354" spans="1:12" ht="13.2" customHeight="1" x14ac:dyDescent="0.25">
      <c r="A354" s="185">
        <v>1750703278</v>
      </c>
      <c r="B354" s="186" t="s">
        <v>739</v>
      </c>
      <c r="C354" s="187">
        <v>281.64999999999998</v>
      </c>
      <c r="D354" s="188">
        <v>1.2426999999999999</v>
      </c>
      <c r="E354" s="189">
        <v>41.89</v>
      </c>
      <c r="F354" s="189">
        <v>193.12</v>
      </c>
      <c r="G354" s="189">
        <v>19.251409932497637</v>
      </c>
      <c r="H354" s="189">
        <v>29.25</v>
      </c>
      <c r="I354" s="190"/>
      <c r="J354" s="191">
        <v>37.74</v>
      </c>
      <c r="K354" s="192">
        <v>321.25</v>
      </c>
      <c r="L354" s="225"/>
    </row>
    <row r="355" spans="1:12" ht="13.2" customHeight="1" x14ac:dyDescent="0.25">
      <c r="A355" s="185">
        <v>1215979059</v>
      </c>
      <c r="B355" s="186" t="s">
        <v>343</v>
      </c>
      <c r="C355" s="187">
        <v>286.63</v>
      </c>
      <c r="D355" s="188">
        <v>1.2330000000000001</v>
      </c>
      <c r="E355" s="189">
        <v>41.89</v>
      </c>
      <c r="F355" s="189">
        <v>192.42000000000002</v>
      </c>
      <c r="G355" s="189">
        <v>28.217533272121578</v>
      </c>
      <c r="H355" s="189">
        <v>29.25</v>
      </c>
      <c r="I355" s="190"/>
      <c r="J355" s="191">
        <v>37.74</v>
      </c>
      <c r="K355" s="192">
        <v>329.52</v>
      </c>
      <c r="L355" s="225"/>
    </row>
    <row r="356" spans="1:12" ht="13.2" customHeight="1" x14ac:dyDescent="0.25">
      <c r="A356" s="185">
        <v>1821551797</v>
      </c>
      <c r="B356" s="186" t="s">
        <v>291</v>
      </c>
      <c r="C356" s="187">
        <v>246.49</v>
      </c>
      <c r="D356" s="188">
        <v>1.1473</v>
      </c>
      <c r="E356" s="189">
        <v>41.89</v>
      </c>
      <c r="F356" s="189">
        <v>184.5</v>
      </c>
      <c r="G356" s="189">
        <v>15.269173372709702</v>
      </c>
      <c r="H356" s="189">
        <v>9.4499999999999993</v>
      </c>
      <c r="I356" s="190"/>
      <c r="J356" s="191">
        <v>37.74</v>
      </c>
      <c r="K356" s="192">
        <v>288.85000000000002</v>
      </c>
      <c r="L356" s="225"/>
    </row>
    <row r="357" spans="1:12" ht="13.2" customHeight="1" x14ac:dyDescent="0.25">
      <c r="A357" s="185">
        <v>1992793962</v>
      </c>
      <c r="B357" s="186" t="s">
        <v>344</v>
      </c>
      <c r="C357" s="187">
        <v>291.31</v>
      </c>
      <c r="D357" s="188">
        <v>1.3160000000000001</v>
      </c>
      <c r="E357" s="189">
        <v>41.89</v>
      </c>
      <c r="F357" s="189">
        <v>199.55</v>
      </c>
      <c r="G357" s="189">
        <v>22.380677267907444</v>
      </c>
      <c r="H357" s="189">
        <v>29.25</v>
      </c>
      <c r="I357" s="190"/>
      <c r="J357" s="191">
        <v>37.74</v>
      </c>
      <c r="K357" s="192">
        <v>330.81</v>
      </c>
      <c r="L357" s="225"/>
    </row>
    <row r="358" spans="1:12" ht="13.2" customHeight="1" x14ac:dyDescent="0.25">
      <c r="A358" s="185">
        <v>1023481520</v>
      </c>
      <c r="B358" s="186" t="s">
        <v>345</v>
      </c>
      <c r="C358" s="187">
        <v>298.79000000000002</v>
      </c>
      <c r="D358" s="188">
        <v>1.1314</v>
      </c>
      <c r="E358" s="189">
        <v>41.89</v>
      </c>
      <c r="F358" s="189">
        <v>183.61</v>
      </c>
      <c r="G358" s="189">
        <v>44.129687251687642</v>
      </c>
      <c r="H358" s="189">
        <v>29.25</v>
      </c>
      <c r="I358" s="190"/>
      <c r="J358" s="191">
        <v>37.74</v>
      </c>
      <c r="K358" s="192">
        <v>336.62</v>
      </c>
      <c r="L358" s="225"/>
    </row>
    <row r="359" spans="1:12" ht="13.2" customHeight="1" x14ac:dyDescent="0.25">
      <c r="A359" s="185">
        <v>1174178313</v>
      </c>
      <c r="B359" s="186" t="s">
        <v>346</v>
      </c>
      <c r="C359" s="187">
        <v>271.58</v>
      </c>
      <c r="D359" s="188">
        <v>1.3205</v>
      </c>
      <c r="E359" s="189">
        <v>41.89</v>
      </c>
      <c r="F359" s="189">
        <v>199.77</v>
      </c>
      <c r="G359" s="189">
        <v>9.4947109023894747</v>
      </c>
      <c r="H359" s="189">
        <v>29.25</v>
      </c>
      <c r="I359" s="190"/>
      <c r="J359" s="191">
        <v>37.74</v>
      </c>
      <c r="K359" s="192">
        <v>318.14000000000004</v>
      </c>
      <c r="L359" s="225"/>
    </row>
    <row r="360" spans="1:12" ht="13.2" customHeight="1" x14ac:dyDescent="0.25">
      <c r="A360" s="185">
        <v>1487060893</v>
      </c>
      <c r="B360" s="186" t="s">
        <v>619</v>
      </c>
      <c r="C360" s="187">
        <v>316.79000000000002</v>
      </c>
      <c r="D360" s="188">
        <v>1.4276</v>
      </c>
      <c r="E360" s="189">
        <v>41.89</v>
      </c>
      <c r="F360" s="189">
        <v>220.47</v>
      </c>
      <c r="G360" s="189">
        <v>19.428823627252758</v>
      </c>
      <c r="H360" s="189">
        <v>29.25</v>
      </c>
      <c r="I360" s="190"/>
      <c r="J360" s="191">
        <v>37.74</v>
      </c>
      <c r="K360" s="192">
        <v>348.78000000000003</v>
      </c>
      <c r="L360" s="225"/>
    </row>
    <row r="361" spans="1:12" ht="13.2" customHeight="1" x14ac:dyDescent="0.25">
      <c r="A361" s="185">
        <v>1629535455</v>
      </c>
      <c r="B361" s="186" t="s">
        <v>222</v>
      </c>
      <c r="C361" s="187">
        <v>298.61</v>
      </c>
      <c r="D361" s="188">
        <v>1.1704000000000001</v>
      </c>
      <c r="E361" s="189">
        <v>41.89</v>
      </c>
      <c r="F361" s="189">
        <v>187.39000000000001</v>
      </c>
      <c r="G361" s="189">
        <v>43.561663229217075</v>
      </c>
      <c r="H361" s="189">
        <v>29.25</v>
      </c>
      <c r="I361" s="190"/>
      <c r="J361" s="191">
        <v>37.74</v>
      </c>
      <c r="K361" s="192">
        <v>339.83</v>
      </c>
      <c r="L361" s="225"/>
    </row>
    <row r="362" spans="1:12" ht="13.2" customHeight="1" x14ac:dyDescent="0.25">
      <c r="A362" s="185">
        <v>1265441208</v>
      </c>
      <c r="B362" s="186" t="s">
        <v>155</v>
      </c>
      <c r="C362" s="187">
        <v>265.49</v>
      </c>
      <c r="D362" s="188">
        <v>1.0940000000000001</v>
      </c>
      <c r="E362" s="189">
        <v>41.89</v>
      </c>
      <c r="F362" s="189">
        <v>180.09</v>
      </c>
      <c r="G362" s="189">
        <v>15.532434492526573</v>
      </c>
      <c r="H362" s="189">
        <v>29.25</v>
      </c>
      <c r="I362" s="190"/>
      <c r="J362" s="191">
        <v>37.74</v>
      </c>
      <c r="K362" s="192">
        <v>304.5</v>
      </c>
      <c r="L362" s="225"/>
    </row>
    <row r="363" spans="1:12" ht="13.2" customHeight="1" x14ac:dyDescent="0.25">
      <c r="A363" s="185">
        <v>1710537998</v>
      </c>
      <c r="B363" s="186" t="s">
        <v>167</v>
      </c>
      <c r="C363" s="187">
        <v>274.70999999999998</v>
      </c>
      <c r="D363" s="188">
        <v>1.2522</v>
      </c>
      <c r="E363" s="189">
        <v>41.89</v>
      </c>
      <c r="F363" s="189">
        <v>197.29999999999998</v>
      </c>
      <c r="G363" s="189">
        <v>29.355938929604669</v>
      </c>
      <c r="H363" s="189">
        <v>29.25</v>
      </c>
      <c r="I363" s="190"/>
      <c r="J363" s="191">
        <v>37.74</v>
      </c>
      <c r="K363" s="192">
        <v>335.54</v>
      </c>
      <c r="L363" s="225"/>
    </row>
    <row r="364" spans="1:12" ht="13.2" customHeight="1" x14ac:dyDescent="0.25">
      <c r="A364" s="185">
        <v>1184196206</v>
      </c>
      <c r="B364" s="186" t="s">
        <v>182</v>
      </c>
      <c r="C364" s="187">
        <v>256.66000000000003</v>
      </c>
      <c r="D364" s="188">
        <v>0.94269999999999998</v>
      </c>
      <c r="E364" s="189">
        <v>41.89</v>
      </c>
      <c r="F364" s="189">
        <v>166.44</v>
      </c>
      <c r="G364" s="189">
        <v>16.967747408389627</v>
      </c>
      <c r="H364" s="189">
        <v>29.25</v>
      </c>
      <c r="I364" s="190"/>
      <c r="J364" s="191">
        <v>37.74</v>
      </c>
      <c r="K364" s="192">
        <v>292.28999999999996</v>
      </c>
      <c r="L364" s="225"/>
    </row>
    <row r="365" spans="1:12" ht="13.2" customHeight="1" x14ac:dyDescent="0.25">
      <c r="A365" s="185">
        <v>1104950765</v>
      </c>
      <c r="B365" s="186" t="s">
        <v>205</v>
      </c>
      <c r="C365" s="187">
        <v>298.22000000000003</v>
      </c>
      <c r="D365" s="188">
        <v>1.2144999999999999</v>
      </c>
      <c r="E365" s="189">
        <v>41.89</v>
      </c>
      <c r="F365" s="189">
        <v>191.19</v>
      </c>
      <c r="G365" s="189">
        <v>32.063695588703432</v>
      </c>
      <c r="H365" s="189">
        <v>29.25</v>
      </c>
      <c r="I365" s="190"/>
      <c r="J365" s="191">
        <v>37.74</v>
      </c>
      <c r="K365" s="192">
        <v>332.13</v>
      </c>
      <c r="L365" s="225"/>
    </row>
    <row r="366" spans="1:12" ht="13.2" customHeight="1" x14ac:dyDescent="0.25">
      <c r="A366" s="185">
        <v>1760462196</v>
      </c>
      <c r="B366" s="186" t="s">
        <v>209</v>
      </c>
      <c r="C366" s="187">
        <v>278.25</v>
      </c>
      <c r="D366" s="188">
        <v>1.1438999999999999</v>
      </c>
      <c r="E366" s="189">
        <v>41.89</v>
      </c>
      <c r="F366" s="189">
        <v>185.17000000000002</v>
      </c>
      <c r="G366" s="189">
        <v>11.657411372750801</v>
      </c>
      <c r="H366" s="189">
        <v>29.25</v>
      </c>
      <c r="I366" s="190"/>
      <c r="J366" s="191">
        <v>37.74</v>
      </c>
      <c r="K366" s="192">
        <v>305.71000000000004</v>
      </c>
      <c r="L366" s="225"/>
    </row>
    <row r="367" spans="1:12" ht="13.2" customHeight="1" x14ac:dyDescent="0.25">
      <c r="A367" s="185">
        <v>1134298615</v>
      </c>
      <c r="B367" s="186" t="s">
        <v>211</v>
      </c>
      <c r="C367" s="187">
        <v>307.3</v>
      </c>
      <c r="D367" s="188">
        <v>1.6978</v>
      </c>
      <c r="E367" s="189">
        <v>41.89</v>
      </c>
      <c r="F367" s="189">
        <v>215.04</v>
      </c>
      <c r="G367" s="189">
        <v>22.266037608486013</v>
      </c>
      <c r="H367" s="189">
        <v>29.25</v>
      </c>
      <c r="I367" s="190"/>
      <c r="J367" s="191">
        <v>37.74</v>
      </c>
      <c r="K367" s="192">
        <v>346.19</v>
      </c>
      <c r="L367" s="225"/>
    </row>
    <row r="368" spans="1:12" ht="13.2" customHeight="1" x14ac:dyDescent="0.25">
      <c r="A368" s="185">
        <v>1720088339</v>
      </c>
      <c r="B368" s="186" t="s">
        <v>314</v>
      </c>
      <c r="C368" s="187">
        <v>261.28000000000003</v>
      </c>
      <c r="D368" s="188">
        <v>1.0808</v>
      </c>
      <c r="E368" s="189">
        <v>41.89</v>
      </c>
      <c r="F368" s="189">
        <v>179.18</v>
      </c>
      <c r="G368" s="189">
        <v>12.732061504339418</v>
      </c>
      <c r="H368" s="189">
        <v>29.25</v>
      </c>
      <c r="I368" s="190"/>
      <c r="J368" s="191">
        <v>37.74</v>
      </c>
      <c r="K368" s="192">
        <v>300.79000000000002</v>
      </c>
      <c r="L368" s="225"/>
    </row>
    <row r="369" spans="1:12" ht="13.2" customHeight="1" x14ac:dyDescent="0.25">
      <c r="A369" s="185">
        <v>1326143504</v>
      </c>
      <c r="B369" s="186" t="s">
        <v>202</v>
      </c>
      <c r="C369" s="187">
        <v>266.96999999999997</v>
      </c>
      <c r="D369" s="188">
        <v>1.1585000000000001</v>
      </c>
      <c r="E369" s="189">
        <v>41.89</v>
      </c>
      <c r="F369" s="189">
        <v>185.99</v>
      </c>
      <c r="G369" s="189">
        <v>13.025538834248676</v>
      </c>
      <c r="H369" s="189">
        <v>29.25</v>
      </c>
      <c r="I369" s="190"/>
      <c r="J369" s="191">
        <v>37.74</v>
      </c>
      <c r="K369" s="192">
        <v>307.89999999999998</v>
      </c>
      <c r="L369" s="225"/>
    </row>
    <row r="370" spans="1:12" ht="13.2" customHeight="1" x14ac:dyDescent="0.25">
      <c r="A370" s="185">
        <v>1952486771</v>
      </c>
      <c r="B370" s="186" t="s">
        <v>673</v>
      </c>
      <c r="C370" s="187">
        <v>297.73</v>
      </c>
      <c r="D370" s="188">
        <v>1.2742</v>
      </c>
      <c r="E370" s="189">
        <v>41.89</v>
      </c>
      <c r="F370" s="189">
        <v>196.61</v>
      </c>
      <c r="G370" s="189">
        <v>34.754067813026218</v>
      </c>
      <c r="H370" s="189">
        <v>29.25</v>
      </c>
      <c r="I370" s="190"/>
      <c r="J370" s="191">
        <v>37.74</v>
      </c>
      <c r="K370" s="192">
        <v>340.24</v>
      </c>
      <c r="L370" s="225"/>
    </row>
    <row r="371" spans="1:12" ht="13.2" customHeight="1" x14ac:dyDescent="0.25">
      <c r="A371" s="185">
        <v>1932107547</v>
      </c>
      <c r="B371" s="186" t="s">
        <v>238</v>
      </c>
      <c r="C371" s="187">
        <v>269.02</v>
      </c>
      <c r="D371" s="188">
        <v>1.0001</v>
      </c>
      <c r="E371" s="189">
        <v>41.89</v>
      </c>
      <c r="F371" s="189">
        <v>172.07</v>
      </c>
      <c r="G371" s="189">
        <v>17.755885515098875</v>
      </c>
      <c r="H371" s="189">
        <v>29.25</v>
      </c>
      <c r="I371" s="190"/>
      <c r="J371" s="191">
        <v>37.74</v>
      </c>
      <c r="K371" s="192">
        <v>298.70999999999998</v>
      </c>
      <c r="L371" s="225"/>
    </row>
    <row r="372" spans="1:12" ht="13.2" customHeight="1" x14ac:dyDescent="0.25">
      <c r="A372" s="185">
        <v>1558391250</v>
      </c>
      <c r="B372" s="186" t="s">
        <v>240</v>
      </c>
      <c r="C372" s="187">
        <v>279.53999999999996</v>
      </c>
      <c r="D372" s="188">
        <v>1.2001999999999999</v>
      </c>
      <c r="E372" s="189">
        <v>41.89</v>
      </c>
      <c r="F372" s="189">
        <v>188.15</v>
      </c>
      <c r="G372" s="189">
        <v>17.283493460178622</v>
      </c>
      <c r="H372" s="189">
        <v>29.25</v>
      </c>
      <c r="I372" s="190"/>
      <c r="J372" s="191">
        <v>37.74</v>
      </c>
      <c r="K372" s="192">
        <v>314.31000000000006</v>
      </c>
      <c r="L372" s="225"/>
    </row>
    <row r="373" spans="1:12" ht="13.2" customHeight="1" x14ac:dyDescent="0.25">
      <c r="A373" s="185">
        <v>1538137468</v>
      </c>
      <c r="B373" s="186" t="s">
        <v>256</v>
      </c>
      <c r="C373" s="187">
        <v>253.87</v>
      </c>
      <c r="D373" s="188">
        <v>0.96760000000000002</v>
      </c>
      <c r="E373" s="189">
        <v>41.89</v>
      </c>
      <c r="F373" s="189">
        <v>170.88</v>
      </c>
      <c r="G373" s="189">
        <v>12.892352290260355</v>
      </c>
      <c r="H373" s="189">
        <v>29.25</v>
      </c>
      <c r="I373" s="190"/>
      <c r="J373" s="191">
        <v>37.74</v>
      </c>
      <c r="K373" s="192">
        <v>292.64999999999998</v>
      </c>
      <c r="L373" s="225"/>
    </row>
    <row r="374" spans="1:12" ht="13.2" customHeight="1" x14ac:dyDescent="0.25">
      <c r="A374" s="185">
        <v>1942583752</v>
      </c>
      <c r="B374" s="186" t="s">
        <v>680</v>
      </c>
      <c r="C374" s="187">
        <v>269.01</v>
      </c>
      <c r="D374" s="188">
        <v>1.0096000000000001</v>
      </c>
      <c r="E374" s="189">
        <v>41.89</v>
      </c>
      <c r="F374" s="189">
        <v>172.8</v>
      </c>
      <c r="G374" s="189">
        <v>26.189581064972487</v>
      </c>
      <c r="H374" s="189">
        <v>29.25</v>
      </c>
      <c r="I374" s="190"/>
      <c r="J374" s="191">
        <v>37.74</v>
      </c>
      <c r="K374" s="192">
        <v>307.87</v>
      </c>
      <c r="L374" s="225"/>
    </row>
    <row r="375" spans="1:12" ht="13.2" customHeight="1" x14ac:dyDescent="0.25">
      <c r="A375" s="185">
        <v>1376542878</v>
      </c>
      <c r="B375" s="186" t="s">
        <v>266</v>
      </c>
      <c r="C375" s="187">
        <v>258.74</v>
      </c>
      <c r="D375" s="188">
        <v>0.9204</v>
      </c>
      <c r="E375" s="189">
        <v>41.89</v>
      </c>
      <c r="F375" s="189">
        <v>163.04</v>
      </c>
      <c r="G375" s="189">
        <v>23.469225130183165</v>
      </c>
      <c r="H375" s="189">
        <v>29.25</v>
      </c>
      <c r="I375" s="190"/>
      <c r="J375" s="191">
        <v>37.74</v>
      </c>
      <c r="K375" s="192">
        <v>295.39</v>
      </c>
      <c r="L375" s="225"/>
    </row>
    <row r="376" spans="1:12" ht="13.2" customHeight="1" x14ac:dyDescent="0.25">
      <c r="A376" s="185">
        <v>1629511597</v>
      </c>
      <c r="B376" s="186" t="s">
        <v>285</v>
      </c>
      <c r="C376" s="187">
        <v>245.59</v>
      </c>
      <c r="D376" s="188">
        <v>0.70499999999999996</v>
      </c>
      <c r="E376" s="189">
        <v>41.89</v>
      </c>
      <c r="F376" s="189">
        <v>148.38999999999999</v>
      </c>
      <c r="G376" s="189">
        <v>11.849557095810511</v>
      </c>
      <c r="H376" s="189">
        <v>29.25</v>
      </c>
      <c r="I376" s="190"/>
      <c r="J376" s="191">
        <v>37.74</v>
      </c>
      <c r="K376" s="192">
        <v>269.12</v>
      </c>
      <c r="L376" s="225"/>
    </row>
    <row r="377" spans="1:12" ht="13.2" customHeight="1" x14ac:dyDescent="0.25">
      <c r="A377" s="185">
        <v>1053953844</v>
      </c>
      <c r="B377" s="186" t="s">
        <v>210</v>
      </c>
      <c r="C377" s="187">
        <v>269.55</v>
      </c>
      <c r="D377" s="188">
        <v>1.1672</v>
      </c>
      <c r="E377" s="189">
        <v>41.89</v>
      </c>
      <c r="F377" s="189">
        <v>188.18</v>
      </c>
      <c r="G377" s="189">
        <v>21.030444744455181</v>
      </c>
      <c r="H377" s="189">
        <v>29.25</v>
      </c>
      <c r="I377" s="190"/>
      <c r="J377" s="191">
        <v>37.74</v>
      </c>
      <c r="K377" s="192">
        <v>318.09000000000003</v>
      </c>
      <c r="L377" s="225"/>
    </row>
    <row r="378" spans="1:12" ht="13.2" customHeight="1" x14ac:dyDescent="0.25">
      <c r="A378" s="185">
        <v>1528040888</v>
      </c>
      <c r="B378" s="186" t="s">
        <v>740</v>
      </c>
      <c r="C378" s="187">
        <v>267.07</v>
      </c>
      <c r="D378" s="188">
        <v>0.96730000000000005</v>
      </c>
      <c r="E378" s="189">
        <v>41.89</v>
      </c>
      <c r="F378" s="189">
        <v>170.24</v>
      </c>
      <c r="G378" s="189">
        <v>25.436718900675018</v>
      </c>
      <c r="H378" s="189">
        <v>29.25</v>
      </c>
      <c r="I378" s="190"/>
      <c r="J378" s="191">
        <v>37.74</v>
      </c>
      <c r="K378" s="192">
        <v>304.56</v>
      </c>
      <c r="L378" s="225"/>
    </row>
    <row r="379" spans="1:12" ht="13.2" customHeight="1" x14ac:dyDescent="0.25">
      <c r="A379" s="185">
        <v>1225000888</v>
      </c>
      <c r="B379" s="186" t="s">
        <v>638</v>
      </c>
      <c r="C379" s="187">
        <v>280.48</v>
      </c>
      <c r="D379" s="188">
        <v>1.1201000000000001</v>
      </c>
      <c r="E379" s="189">
        <v>41.89</v>
      </c>
      <c r="F379" s="189">
        <v>183.11</v>
      </c>
      <c r="G379" s="189">
        <v>28.598039397214926</v>
      </c>
      <c r="H379" s="189">
        <v>29.25</v>
      </c>
      <c r="I379" s="190"/>
      <c r="J379" s="191">
        <v>37.74</v>
      </c>
      <c r="K379" s="192">
        <v>320.59000000000003</v>
      </c>
      <c r="L379" s="225"/>
    </row>
    <row r="380" spans="1:12" ht="13.2" customHeight="1" x14ac:dyDescent="0.25">
      <c r="A380" s="185">
        <v>1639556806</v>
      </c>
      <c r="B380" s="186" t="s">
        <v>658</v>
      </c>
      <c r="C380" s="187">
        <v>262.24</v>
      </c>
      <c r="D380" s="188">
        <v>0.81579999999999997</v>
      </c>
      <c r="E380" s="189">
        <v>41.89</v>
      </c>
      <c r="F380" s="189">
        <v>156.72</v>
      </c>
      <c r="G380" s="189">
        <v>22.281267830279639</v>
      </c>
      <c r="H380" s="189">
        <v>29.25</v>
      </c>
      <c r="I380" s="190"/>
      <c r="J380" s="191">
        <v>37.74</v>
      </c>
      <c r="K380" s="192">
        <v>287.88</v>
      </c>
      <c r="L380" s="225"/>
    </row>
    <row r="381" spans="1:12" ht="13.2" customHeight="1" x14ac:dyDescent="0.25">
      <c r="A381" s="185">
        <v>1366552739</v>
      </c>
      <c r="B381" s="186" t="s">
        <v>618</v>
      </c>
      <c r="C381" s="187">
        <v>281.29000000000002</v>
      </c>
      <c r="D381" s="188">
        <v>1.1989000000000001</v>
      </c>
      <c r="E381" s="189">
        <v>41.89</v>
      </c>
      <c r="F381" s="189">
        <v>190.04165555029144</v>
      </c>
      <c r="G381" s="189">
        <v>16.781728170202513</v>
      </c>
      <c r="H381" s="189">
        <v>29.25</v>
      </c>
      <c r="I381" s="190"/>
      <c r="J381" s="191">
        <v>37.74</v>
      </c>
      <c r="K381" s="192">
        <v>315.70000000000005</v>
      </c>
      <c r="L381" s="225"/>
    </row>
    <row r="382" spans="1:12" ht="13.2" customHeight="1" x14ac:dyDescent="0.25">
      <c r="A382" s="185">
        <v>1861504946</v>
      </c>
      <c r="B382" s="186" t="s">
        <v>709</v>
      </c>
      <c r="C382" s="187">
        <v>296.89</v>
      </c>
      <c r="D382" s="188">
        <v>1.2843</v>
      </c>
      <c r="E382" s="189">
        <v>41.89</v>
      </c>
      <c r="F382" s="189">
        <v>197.31357444856897</v>
      </c>
      <c r="G382" s="189">
        <v>31.913323216354918</v>
      </c>
      <c r="H382" s="189">
        <v>29.25</v>
      </c>
      <c r="I382" s="190"/>
      <c r="J382" s="191">
        <v>37.74</v>
      </c>
      <c r="K382" s="192">
        <v>338.1</v>
      </c>
      <c r="L382" s="225"/>
    </row>
    <row r="383" spans="1:12" ht="13.2" customHeight="1" x14ac:dyDescent="0.25">
      <c r="A383" s="185">
        <v>1326519844</v>
      </c>
      <c r="B383" s="186" t="s">
        <v>249</v>
      </c>
      <c r="C383" s="187">
        <v>296.44</v>
      </c>
      <c r="D383" s="188">
        <v>1.2997000000000001</v>
      </c>
      <c r="E383" s="189">
        <v>41.89</v>
      </c>
      <c r="F383" s="189">
        <v>198.62490408596327</v>
      </c>
      <c r="G383" s="189">
        <v>28.137211778337907</v>
      </c>
      <c r="H383" s="189">
        <v>29.25</v>
      </c>
      <c r="I383" s="190"/>
      <c r="J383" s="191">
        <v>37.74</v>
      </c>
      <c r="K383" s="192">
        <v>335.64</v>
      </c>
      <c r="L383" s="225"/>
    </row>
    <row r="384" spans="1:12" ht="13.2" customHeight="1" x14ac:dyDescent="0.25">
      <c r="A384" s="185">
        <v>1285656272</v>
      </c>
      <c r="B384" s="186" t="s">
        <v>736</v>
      </c>
      <c r="C384" s="187">
        <v>290.71000000000004</v>
      </c>
      <c r="D384" s="188">
        <v>1.46</v>
      </c>
      <c r="E384" s="189">
        <v>41.89</v>
      </c>
      <c r="F384" s="189">
        <v>212.27465349338578</v>
      </c>
      <c r="G384" s="189">
        <v>19.583782692747313</v>
      </c>
      <c r="H384" s="189">
        <v>29.25</v>
      </c>
      <c r="I384" s="190"/>
      <c r="J384" s="191">
        <v>37.74</v>
      </c>
      <c r="K384" s="192">
        <v>340.73</v>
      </c>
      <c r="L384" s="225"/>
    </row>
    <row r="385" spans="1:12" ht="13.2" customHeight="1" x14ac:dyDescent="0.25">
      <c r="A385" s="185">
        <v>1003380890</v>
      </c>
      <c r="B385" s="186" t="s">
        <v>723</v>
      </c>
      <c r="C385" s="187">
        <v>288.5</v>
      </c>
      <c r="D385" s="188">
        <v>0.56999999999999995</v>
      </c>
      <c r="E385" s="189">
        <v>41.89</v>
      </c>
      <c r="F385" s="189">
        <v>136.49001860501369</v>
      </c>
      <c r="G385" s="189">
        <v>29.882245961909355</v>
      </c>
      <c r="H385" s="189">
        <v>29.25</v>
      </c>
      <c r="I385" s="190"/>
      <c r="J385" s="191">
        <v>37.74</v>
      </c>
      <c r="K385" s="192">
        <v>275.25</v>
      </c>
      <c r="L385" s="225"/>
    </row>
    <row r="386" spans="1:12" ht="13.2" customHeight="1" x14ac:dyDescent="0.25">
      <c r="A386" s="185">
        <v>1730136250</v>
      </c>
      <c r="B386" s="186" t="s">
        <v>689</v>
      </c>
      <c r="C386" s="187">
        <v>288.81</v>
      </c>
      <c r="D386" s="188">
        <v>1.2157</v>
      </c>
      <c r="E386" s="189">
        <v>41.89</v>
      </c>
      <c r="F386" s="189">
        <v>191.47219697290342</v>
      </c>
      <c r="G386" s="189">
        <v>28.307035505062625</v>
      </c>
      <c r="H386" s="189">
        <v>29.25</v>
      </c>
      <c r="I386" s="190"/>
      <c r="J386" s="191">
        <v>37.74</v>
      </c>
      <c r="K386" s="192">
        <v>328.66</v>
      </c>
      <c r="L386" s="225"/>
    </row>
    <row r="387" spans="1:12" ht="13.2" customHeight="1" x14ac:dyDescent="0.25">
      <c r="A387" s="185">
        <v>1982328829</v>
      </c>
      <c r="B387" s="186" t="s">
        <v>661</v>
      </c>
      <c r="C387" s="187">
        <v>288.34000000000003</v>
      </c>
      <c r="D387" s="188">
        <v>1.2588999999999999</v>
      </c>
      <c r="E387" s="189">
        <v>41.89</v>
      </c>
      <c r="F387" s="189">
        <v>195.15073205961991</v>
      </c>
      <c r="G387" s="189">
        <v>23.074974765172758</v>
      </c>
      <c r="H387" s="189">
        <v>29.25</v>
      </c>
      <c r="I387" s="190"/>
      <c r="J387" s="191">
        <v>37.74</v>
      </c>
      <c r="K387" s="192">
        <v>327.10000000000002</v>
      </c>
      <c r="L387" s="225"/>
    </row>
    <row r="388" spans="1:12" ht="13.2" customHeight="1" x14ac:dyDescent="0.25">
      <c r="A388" s="185">
        <v>1891908687</v>
      </c>
      <c r="B388" s="186" t="s">
        <v>152</v>
      </c>
      <c r="C388" s="187">
        <v>286.53000000000003</v>
      </c>
      <c r="D388" s="188">
        <v>1.2602</v>
      </c>
      <c r="E388" s="189">
        <v>41.89</v>
      </c>
      <c r="F388" s="189">
        <v>195.26142871732205</v>
      </c>
      <c r="G388" s="189">
        <v>16.8726729206847</v>
      </c>
      <c r="H388" s="189">
        <v>29.25</v>
      </c>
      <c r="I388" s="190"/>
      <c r="J388" s="191">
        <v>37.74</v>
      </c>
      <c r="K388" s="192">
        <v>321.01</v>
      </c>
      <c r="L388" s="225"/>
    </row>
    <row r="389" spans="1:12" ht="13.2" customHeight="1" x14ac:dyDescent="0.25">
      <c r="A389" s="185">
        <v>1306372230</v>
      </c>
      <c r="B389" s="186" t="s">
        <v>631</v>
      </c>
      <c r="C389" s="187">
        <v>290.68</v>
      </c>
      <c r="D389" s="188">
        <v>1.5388999999999999</v>
      </c>
      <c r="E389" s="189">
        <v>41.89</v>
      </c>
      <c r="F389" s="189">
        <v>218.9930891031527</v>
      </c>
      <c r="G389" s="189">
        <v>25.322253519002121</v>
      </c>
      <c r="H389" s="189">
        <v>9.4499999999999993</v>
      </c>
      <c r="I389" s="190"/>
      <c r="J389" s="191">
        <v>37.74</v>
      </c>
      <c r="K389" s="192">
        <v>333.39</v>
      </c>
      <c r="L389" s="225"/>
    </row>
    <row r="390" spans="1:12" ht="13.2" customHeight="1" x14ac:dyDescent="0.25">
      <c r="A390" s="185">
        <v>1437484672</v>
      </c>
      <c r="B390" s="186" t="s">
        <v>321</v>
      </c>
      <c r="C390" s="187">
        <v>294.76</v>
      </c>
      <c r="D390" s="188">
        <v>1.3181</v>
      </c>
      <c r="E390" s="189">
        <v>41.89</v>
      </c>
      <c r="F390" s="189">
        <v>200.19168754882398</v>
      </c>
      <c r="G390" s="189">
        <v>25.689068583386902</v>
      </c>
      <c r="H390" s="189">
        <v>29.25</v>
      </c>
      <c r="I390" s="190"/>
      <c r="J390" s="191">
        <v>37.74</v>
      </c>
      <c r="K390" s="192">
        <v>334.76</v>
      </c>
      <c r="L390" s="225"/>
    </row>
    <row r="391" spans="1:12" ht="13.2" customHeight="1" x14ac:dyDescent="0.25">
      <c r="A391" s="185">
        <v>1982130811</v>
      </c>
      <c r="B391" s="186" t="s">
        <v>621</v>
      </c>
      <c r="C391" s="187">
        <v>309.86</v>
      </c>
      <c r="D391" s="188">
        <v>1.4384999999999999</v>
      </c>
      <c r="E391" s="189">
        <v>41.89</v>
      </c>
      <c r="F391" s="189">
        <v>210.44390107754307</v>
      </c>
      <c r="G391" s="189">
        <v>26.316806669589354</v>
      </c>
      <c r="H391" s="189">
        <v>29.25</v>
      </c>
      <c r="I391" s="190"/>
      <c r="J391" s="191">
        <v>37.74</v>
      </c>
      <c r="K391" s="192">
        <v>345.64</v>
      </c>
      <c r="L391" s="225"/>
    </row>
    <row r="392" spans="1:12" ht="13.2" customHeight="1" x14ac:dyDescent="0.25">
      <c r="A392" s="185">
        <v>1124342241</v>
      </c>
      <c r="B392" s="186" t="s">
        <v>734</v>
      </c>
      <c r="C392" s="187">
        <v>298.93</v>
      </c>
      <c r="D392" s="188">
        <v>1.1924999999999999</v>
      </c>
      <c r="E392" s="189">
        <v>41.89</v>
      </c>
      <c r="F392" s="189">
        <v>189.4966873892964</v>
      </c>
      <c r="G392" s="189">
        <v>38.207725726861085</v>
      </c>
      <c r="H392" s="189">
        <v>29.25</v>
      </c>
      <c r="I392" s="190"/>
      <c r="J392" s="191">
        <v>37.74</v>
      </c>
      <c r="K392" s="192">
        <v>336.59</v>
      </c>
      <c r="L392" s="225"/>
    </row>
    <row r="393" spans="1:12" ht="13.2" customHeight="1" x14ac:dyDescent="0.25">
      <c r="A393" s="185">
        <v>1669613071</v>
      </c>
      <c r="B393" s="186" t="s">
        <v>302</v>
      </c>
      <c r="C393" s="187">
        <v>291.51</v>
      </c>
      <c r="D393" s="188">
        <v>1.3025</v>
      </c>
      <c r="E393" s="189">
        <v>41.89</v>
      </c>
      <c r="F393" s="189">
        <v>198.86332765639858</v>
      </c>
      <c r="G393" s="189">
        <v>21.941126210221739</v>
      </c>
      <c r="H393" s="189">
        <v>29.25</v>
      </c>
      <c r="I393" s="190"/>
      <c r="J393" s="191">
        <v>37.74</v>
      </c>
      <c r="K393" s="192">
        <v>329.68</v>
      </c>
      <c r="L393" s="225"/>
    </row>
    <row r="394" spans="1:12" ht="13.2" customHeight="1" x14ac:dyDescent="0.25">
      <c r="A394" s="185">
        <v>1518112036</v>
      </c>
      <c r="B394" s="186" t="s">
        <v>684</v>
      </c>
      <c r="C394" s="187">
        <v>290.78000000000003</v>
      </c>
      <c r="D394" s="188">
        <v>1.2416</v>
      </c>
      <c r="E394" s="189">
        <v>41.89</v>
      </c>
      <c r="F394" s="189">
        <v>193.6776149994302</v>
      </c>
      <c r="G394" s="189">
        <v>27.344662583172621</v>
      </c>
      <c r="H394" s="189">
        <v>29.25</v>
      </c>
      <c r="I394" s="190"/>
      <c r="J394" s="191">
        <v>37.74</v>
      </c>
      <c r="K394" s="192">
        <v>329.9</v>
      </c>
      <c r="L394" s="225"/>
    </row>
    <row r="395" spans="1:12" ht="13.2" customHeight="1" x14ac:dyDescent="0.25">
      <c r="A395" s="185">
        <v>1114463932</v>
      </c>
      <c r="B395" s="186" t="s">
        <v>623</v>
      </c>
      <c r="C395" s="187">
        <v>294.74</v>
      </c>
      <c r="D395" s="188">
        <v>1.1960999999999999</v>
      </c>
      <c r="E395" s="189">
        <v>41.89</v>
      </c>
      <c r="F395" s="189">
        <v>189.80323197985612</v>
      </c>
      <c r="G395" s="189">
        <v>39.165170418514926</v>
      </c>
      <c r="H395" s="189">
        <v>29.25</v>
      </c>
      <c r="I395" s="190"/>
      <c r="J395" s="191">
        <v>37.74</v>
      </c>
      <c r="K395" s="192">
        <v>337.85</v>
      </c>
      <c r="L395" s="225"/>
    </row>
    <row r="396" spans="1:12" ht="13.2" customHeight="1" x14ac:dyDescent="0.25">
      <c r="A396" s="185">
        <v>1194028118</v>
      </c>
      <c r="B396" s="186" t="s">
        <v>309</v>
      </c>
      <c r="C396" s="187">
        <v>264.18</v>
      </c>
      <c r="D396" s="188">
        <v>1.2395</v>
      </c>
      <c r="E396" s="189">
        <v>41.89</v>
      </c>
      <c r="F396" s="189">
        <v>193.49879732160369</v>
      </c>
      <c r="G396" s="189">
        <v>36.793741113004494</v>
      </c>
      <c r="H396" s="189">
        <v>0</v>
      </c>
      <c r="I396" s="190"/>
      <c r="J396" s="191">
        <v>37.74</v>
      </c>
      <c r="K396" s="192">
        <v>309.92</v>
      </c>
      <c r="L396" s="225"/>
    </row>
    <row r="397" spans="1:12" ht="13.2" customHeight="1" x14ac:dyDescent="0.25">
      <c r="A397" s="185">
        <v>1255682522</v>
      </c>
      <c r="B397" s="186" t="s">
        <v>625</v>
      </c>
      <c r="C397" s="187">
        <v>293.66000000000003</v>
      </c>
      <c r="D397" s="188">
        <v>1.1980999999999999</v>
      </c>
      <c r="E397" s="189">
        <v>41.89</v>
      </c>
      <c r="F397" s="189">
        <v>189.97353453016706</v>
      </c>
      <c r="G397" s="189">
        <v>34.688381245479718</v>
      </c>
      <c r="H397" s="189">
        <v>29.25</v>
      </c>
      <c r="I397" s="190"/>
      <c r="J397" s="191">
        <v>37.74</v>
      </c>
      <c r="K397" s="192">
        <v>333.54</v>
      </c>
      <c r="L397" s="225"/>
    </row>
    <row r="398" spans="1:12" ht="13.2" customHeight="1" x14ac:dyDescent="0.25">
      <c r="A398" s="185">
        <v>1588805014</v>
      </c>
      <c r="B398" s="186" t="s">
        <v>323</v>
      </c>
      <c r="C398" s="187">
        <v>302.82</v>
      </c>
      <c r="D398" s="188">
        <v>1.2322</v>
      </c>
      <c r="E398" s="189">
        <v>41.89</v>
      </c>
      <c r="F398" s="189">
        <v>192.87719301296875</v>
      </c>
      <c r="G398" s="189">
        <v>31.369325450119703</v>
      </c>
      <c r="H398" s="189">
        <v>29.25</v>
      </c>
      <c r="I398" s="190"/>
      <c r="J398" s="191">
        <v>37.74</v>
      </c>
      <c r="K398" s="192">
        <v>333.13</v>
      </c>
      <c r="L398" s="225"/>
    </row>
    <row r="399" spans="1:12" ht="13.2" customHeight="1" x14ac:dyDescent="0.25">
      <c r="A399" s="185">
        <v>1962832899</v>
      </c>
      <c r="B399" s="186" t="s">
        <v>678</v>
      </c>
      <c r="C399" s="187">
        <v>293.78000000000003</v>
      </c>
      <c r="D399" s="188">
        <v>1.1380999999999999</v>
      </c>
      <c r="E399" s="189">
        <v>41.89</v>
      </c>
      <c r="F399" s="189">
        <v>184.86445802083861</v>
      </c>
      <c r="G399" s="189">
        <v>38.459974835583367</v>
      </c>
      <c r="H399" s="189">
        <v>29.25</v>
      </c>
      <c r="I399" s="190"/>
      <c r="J399" s="191">
        <v>37.74</v>
      </c>
      <c r="K399" s="192">
        <v>332.2</v>
      </c>
      <c r="L399" s="225"/>
    </row>
    <row r="400" spans="1:12" ht="13.2" customHeight="1" x14ac:dyDescent="0.25">
      <c r="A400" s="185">
        <v>1710312079</v>
      </c>
      <c r="B400" s="186" t="s">
        <v>166</v>
      </c>
      <c r="C400" s="187">
        <v>298.89</v>
      </c>
      <c r="D400" s="188">
        <v>1.3001</v>
      </c>
      <c r="E400" s="189">
        <v>41.89</v>
      </c>
      <c r="F400" s="189">
        <v>198.65896459602544</v>
      </c>
      <c r="G400" s="189">
        <v>32.785527448248153</v>
      </c>
      <c r="H400" s="189">
        <v>29.25</v>
      </c>
      <c r="I400" s="190"/>
      <c r="J400" s="191">
        <v>37.74</v>
      </c>
      <c r="K400" s="192">
        <v>340.33000000000004</v>
      </c>
      <c r="L400" s="225"/>
    </row>
    <row r="401" spans="1:12" ht="13.2" customHeight="1" x14ac:dyDescent="0.25">
      <c r="A401" s="185">
        <v>1992106348</v>
      </c>
      <c r="B401" s="186" t="s">
        <v>694</v>
      </c>
      <c r="C401" s="187">
        <v>304.27999999999997</v>
      </c>
      <c r="D401" s="188">
        <v>1.1860999999999999</v>
      </c>
      <c r="E401" s="189">
        <v>41.89</v>
      </c>
      <c r="F401" s="189">
        <v>188.95171922830136</v>
      </c>
      <c r="G401" s="189">
        <v>43.532100877745648</v>
      </c>
      <c r="H401" s="189">
        <v>29.25</v>
      </c>
      <c r="I401" s="190"/>
      <c r="J401" s="191">
        <v>37.74</v>
      </c>
      <c r="K401" s="192">
        <v>341.36</v>
      </c>
      <c r="L401" s="225"/>
    </row>
    <row r="402" spans="1:12" ht="13.2" customHeight="1" x14ac:dyDescent="0.25">
      <c r="A402" s="185">
        <v>1376932889</v>
      </c>
      <c r="B402" s="186" t="s">
        <v>622</v>
      </c>
      <c r="C402" s="187">
        <v>288.84000000000003</v>
      </c>
      <c r="D402" s="188">
        <v>1.0895999999999999</v>
      </c>
      <c r="E402" s="189">
        <v>41.89</v>
      </c>
      <c r="F402" s="189">
        <v>180.73462117579811</v>
      </c>
      <c r="G402" s="189">
        <v>43.21327939042299</v>
      </c>
      <c r="H402" s="189">
        <v>29.25</v>
      </c>
      <c r="I402" s="190"/>
      <c r="J402" s="191">
        <v>37.74</v>
      </c>
      <c r="K402" s="192">
        <v>332.82</v>
      </c>
      <c r="L402" s="225"/>
    </row>
    <row r="403" spans="1:12" ht="13.2" customHeight="1" x14ac:dyDescent="0.25">
      <c r="A403" s="185">
        <v>1912323635</v>
      </c>
      <c r="B403" s="186" t="s">
        <v>307</v>
      </c>
      <c r="C403" s="187">
        <v>270.7</v>
      </c>
      <c r="D403" s="188">
        <v>1.2048000000000001</v>
      </c>
      <c r="E403" s="189">
        <v>41.89</v>
      </c>
      <c r="F403" s="189">
        <v>190.54404807370875</v>
      </c>
      <c r="G403" s="189">
        <v>40.662817102218021</v>
      </c>
      <c r="H403" s="189">
        <v>0</v>
      </c>
      <c r="I403" s="190"/>
      <c r="J403" s="191">
        <v>37.74</v>
      </c>
      <c r="K403" s="192">
        <v>310.83000000000004</v>
      </c>
      <c r="L403" s="225"/>
    </row>
    <row r="404" spans="1:12" ht="13.2" customHeight="1" x14ac:dyDescent="0.25">
      <c r="A404" s="185">
        <v>1841697422</v>
      </c>
      <c r="B404" s="186" t="s">
        <v>641</v>
      </c>
      <c r="C404" s="187">
        <v>260.73</v>
      </c>
      <c r="D404" s="188">
        <v>0.96150000000000002</v>
      </c>
      <c r="E404" s="189">
        <v>41.89</v>
      </c>
      <c r="F404" s="189">
        <v>169.82674282838187</v>
      </c>
      <c r="G404" s="189">
        <v>25.68468848240115</v>
      </c>
      <c r="H404" s="189">
        <v>29.25</v>
      </c>
      <c r="I404" s="190"/>
      <c r="J404" s="191">
        <v>37.74</v>
      </c>
      <c r="K404" s="192">
        <v>304.39000000000004</v>
      </c>
      <c r="L404" s="225"/>
    </row>
    <row r="405" spans="1:12" x14ac:dyDescent="0.25">
      <c r="A405" s="185">
        <v>1003205337</v>
      </c>
      <c r="B405" s="186" t="s">
        <v>710</v>
      </c>
      <c r="C405" s="187">
        <v>294.14999999999998</v>
      </c>
      <c r="D405" s="188">
        <v>1.1471</v>
      </c>
      <c r="E405" s="189">
        <v>41.89</v>
      </c>
      <c r="F405" s="189">
        <v>185.63081949723787</v>
      </c>
      <c r="G405" s="189">
        <v>38.932576572223155</v>
      </c>
      <c r="H405" s="189">
        <v>29.25</v>
      </c>
      <c r="I405" s="190"/>
      <c r="J405" s="191">
        <v>37.74</v>
      </c>
      <c r="K405" s="192">
        <v>333.44</v>
      </c>
      <c r="L405" s="225"/>
    </row>
    <row r="406" spans="1:12" ht="13.2" customHeight="1" x14ac:dyDescent="0.25">
      <c r="A406" s="185">
        <v>1477137628</v>
      </c>
      <c r="B406" s="186" t="s">
        <v>207</v>
      </c>
      <c r="C406" s="187">
        <v>301</v>
      </c>
      <c r="D406" s="188">
        <v>1.2265999999999999</v>
      </c>
      <c r="E406" s="189">
        <v>41.89</v>
      </c>
      <c r="F406" s="189">
        <v>192.40034587209809</v>
      </c>
      <c r="G406" s="189">
        <v>40.213217008833176</v>
      </c>
      <c r="H406" s="189">
        <v>29.25</v>
      </c>
      <c r="I406" s="190"/>
      <c r="J406" s="191">
        <v>37.74</v>
      </c>
      <c r="K406" s="192">
        <v>341.49</v>
      </c>
      <c r="L406" s="225"/>
    </row>
    <row r="407" spans="1:12" ht="13.2" customHeight="1" x14ac:dyDescent="0.25">
      <c r="A407" s="185">
        <v>1992998504</v>
      </c>
      <c r="B407" s="186" t="s">
        <v>620</v>
      </c>
      <c r="C407" s="187">
        <v>233.54000000000002</v>
      </c>
      <c r="D407" s="188">
        <v>0.90029999999999999</v>
      </c>
      <c r="E407" s="189">
        <v>41.89</v>
      </c>
      <c r="F407" s="189">
        <v>164.61548478886684</v>
      </c>
      <c r="G407" s="189">
        <v>27.350142900192861</v>
      </c>
      <c r="H407" s="189">
        <v>0</v>
      </c>
      <c r="I407" s="190"/>
      <c r="J407" s="191">
        <v>37.74</v>
      </c>
      <c r="K407" s="192">
        <v>271.59999999999997</v>
      </c>
      <c r="L407" s="225"/>
    </row>
    <row r="408" spans="1:12" ht="13.2" customHeight="1" x14ac:dyDescent="0.25">
      <c r="A408" s="185">
        <v>1093228397</v>
      </c>
      <c r="B408" s="186" t="s">
        <v>627</v>
      </c>
      <c r="C408" s="187">
        <v>294.47000000000003</v>
      </c>
      <c r="D408" s="188">
        <v>1.2599</v>
      </c>
      <c r="E408" s="189">
        <v>41.89</v>
      </c>
      <c r="F408" s="189">
        <v>195.23588333477537</v>
      </c>
      <c r="G408" s="189">
        <v>26.77746462150434</v>
      </c>
      <c r="H408" s="189">
        <v>29.25</v>
      </c>
      <c r="I408" s="190"/>
      <c r="J408" s="191">
        <v>37.74</v>
      </c>
      <c r="K408" s="192">
        <v>330.9</v>
      </c>
      <c r="L408" s="225"/>
    </row>
    <row r="409" spans="1:12" ht="13.2" customHeight="1" x14ac:dyDescent="0.25">
      <c r="A409" s="185">
        <v>1558872333</v>
      </c>
      <c r="B409" s="186" t="s">
        <v>630</v>
      </c>
      <c r="C409" s="187">
        <v>287.27999999999997</v>
      </c>
      <c r="D409" s="188">
        <v>1.1383000000000001</v>
      </c>
      <c r="E409" s="189">
        <v>41.89</v>
      </c>
      <c r="F409" s="189">
        <v>184.88148827586971</v>
      </c>
      <c r="G409" s="189">
        <v>40.966962413693253</v>
      </c>
      <c r="H409" s="189">
        <v>29.25</v>
      </c>
      <c r="I409" s="190"/>
      <c r="J409" s="191">
        <v>37.74</v>
      </c>
      <c r="K409" s="192">
        <v>334.73</v>
      </c>
      <c r="L409" s="225"/>
    </row>
    <row r="410" spans="1:12" ht="13.2" customHeight="1" x14ac:dyDescent="0.25">
      <c r="A410" s="185">
        <v>1033611959</v>
      </c>
      <c r="B410" s="186" t="s">
        <v>677</v>
      </c>
      <c r="C410" s="187">
        <v>276.53000000000003</v>
      </c>
      <c r="D410" s="188">
        <v>1.0398000000000001</v>
      </c>
      <c r="E410" s="189">
        <v>41.89</v>
      </c>
      <c r="F410" s="189">
        <v>176.4940876730555</v>
      </c>
      <c r="G410" s="189">
        <v>28.282858125595897</v>
      </c>
      <c r="H410" s="189">
        <v>29.25</v>
      </c>
      <c r="I410" s="190"/>
      <c r="J410" s="191">
        <v>37.74</v>
      </c>
      <c r="K410" s="192">
        <v>313.64999999999998</v>
      </c>
      <c r="L410" s="225"/>
    </row>
    <row r="411" spans="1:12" ht="13.2" customHeight="1" x14ac:dyDescent="0.25">
      <c r="A411" s="185">
        <v>1891871901</v>
      </c>
      <c r="B411" s="186" t="s">
        <v>760</v>
      </c>
      <c r="C411" s="187">
        <v>275.12</v>
      </c>
      <c r="D411" s="188">
        <v>1.6105</v>
      </c>
      <c r="E411" s="189">
        <v>41.89</v>
      </c>
      <c r="F411" s="189">
        <v>225.08992040428464</v>
      </c>
      <c r="G411" s="189">
        <v>14.132350891996143</v>
      </c>
      <c r="H411" s="189">
        <v>29.25</v>
      </c>
      <c r="I411" s="190"/>
      <c r="J411" s="191">
        <v>37.74</v>
      </c>
      <c r="K411" s="192">
        <v>348.1</v>
      </c>
      <c r="L411" s="225"/>
    </row>
    <row r="412" spans="1:12" x14ac:dyDescent="0.25">
      <c r="A412" s="185"/>
      <c r="B412" s="194"/>
      <c r="C412" s="187"/>
      <c r="D412" s="188"/>
      <c r="E412" s="189"/>
      <c r="F412" s="189"/>
      <c r="G412" s="189"/>
      <c r="H412" s="189"/>
      <c r="I412" s="190"/>
      <c r="J412" s="191"/>
      <c r="K412" s="192"/>
    </row>
    <row r="413" spans="1:12" x14ac:dyDescent="0.25">
      <c r="A413" s="185"/>
      <c r="B413" s="194"/>
      <c r="C413" s="187"/>
      <c r="D413" s="188"/>
      <c r="E413" s="189"/>
      <c r="F413" s="189"/>
      <c r="G413" s="189"/>
      <c r="H413" s="189"/>
      <c r="I413" s="190"/>
      <c r="J413" s="191"/>
      <c r="K413" s="192"/>
    </row>
    <row r="414" spans="1:12" ht="13.8" x14ac:dyDescent="0.3">
      <c r="A414" s="171"/>
      <c r="B414" s="172"/>
      <c r="C414" s="214"/>
      <c r="D414" s="195"/>
      <c r="E414" s="214"/>
      <c r="F414" s="214"/>
      <c r="G414" s="214"/>
      <c r="H414" s="214"/>
      <c r="I414" s="195"/>
      <c r="J414" s="214"/>
      <c r="K414" s="214"/>
    </row>
    <row r="415" spans="1:12" x14ac:dyDescent="0.25">
      <c r="A415" s="171"/>
      <c r="B415" s="172"/>
      <c r="C415" s="166"/>
      <c r="D415" s="173"/>
      <c r="E415" s="174"/>
      <c r="F415" s="174"/>
      <c r="G415" s="174"/>
      <c r="H415" s="174"/>
      <c r="I415" s="175"/>
      <c r="J415" s="166"/>
      <c r="K415" s="166"/>
    </row>
    <row r="416" spans="1:12" x14ac:dyDescent="0.25">
      <c r="A416" s="171"/>
      <c r="B416" s="172"/>
      <c r="C416" s="166"/>
      <c r="D416" s="173"/>
      <c r="E416" s="174"/>
      <c r="F416" s="174"/>
      <c r="G416" s="174"/>
      <c r="H416" s="174"/>
      <c r="I416" s="175"/>
      <c r="K416" s="166"/>
    </row>
    <row r="417" spans="1:11" x14ac:dyDescent="0.25">
      <c r="A417" s="176" t="s">
        <v>742</v>
      </c>
      <c r="E417" s="175"/>
      <c r="F417" s="175"/>
      <c r="G417" s="165"/>
    </row>
    <row r="418" spans="1:11" ht="66" customHeight="1" x14ac:dyDescent="0.25">
      <c r="A418" s="215" t="s">
        <v>48</v>
      </c>
      <c r="B418" s="215" t="s">
        <v>574</v>
      </c>
      <c r="C418" s="216" t="s">
        <v>743</v>
      </c>
      <c r="D418" s="216" t="s">
        <v>744</v>
      </c>
      <c r="E418" s="216" t="s">
        <v>745</v>
      </c>
      <c r="F418" s="216" t="s">
        <v>746</v>
      </c>
      <c r="G418" s="216" t="s">
        <v>747</v>
      </c>
      <c r="H418" s="216" t="s">
        <v>748</v>
      </c>
      <c r="I418" s="167"/>
      <c r="J418" s="169" t="s">
        <v>749</v>
      </c>
      <c r="K418" s="217" t="s">
        <v>750</v>
      </c>
    </row>
    <row r="419" spans="1:11" x14ac:dyDescent="0.25">
      <c r="A419" s="218">
        <v>1073168316</v>
      </c>
      <c r="B419" s="170" t="s">
        <v>751</v>
      </c>
      <c r="C419" s="219">
        <v>451.94</v>
      </c>
      <c r="D419" s="220" t="s">
        <v>752</v>
      </c>
      <c r="E419" s="220" t="s">
        <v>752</v>
      </c>
      <c r="F419" s="220" t="s">
        <v>752</v>
      </c>
      <c r="G419" s="220" t="s">
        <v>752</v>
      </c>
      <c r="H419" s="220" t="s">
        <v>752</v>
      </c>
      <c r="I419" s="221"/>
      <c r="J419" s="222">
        <v>27.28</v>
      </c>
      <c r="K419" s="223">
        <v>479.22</v>
      </c>
    </row>
  </sheetData>
  <autoFilter ref="A21:L411" xr:uid="{C617CB4D-8AF1-4D11-BCCD-F00D64DA0E12}"/>
  <mergeCells count="9">
    <mergeCell ref="A9:K9"/>
    <mergeCell ref="A10:K10"/>
    <mergeCell ref="A11:K11"/>
    <mergeCell ref="A12:K12"/>
    <mergeCell ref="A1:K1"/>
    <mergeCell ref="A2:K2"/>
    <mergeCell ref="A4:K4"/>
    <mergeCell ref="A5:K5"/>
    <mergeCell ref="A7:K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sheetPr>
  <dimension ref="A2:P34"/>
  <sheetViews>
    <sheetView workbookViewId="0">
      <selection activeCell="B2" sqref="B2"/>
    </sheetView>
  </sheetViews>
  <sheetFormatPr defaultRowHeight="13.2" x14ac:dyDescent="0.25"/>
  <cols>
    <col min="1" max="1" width="40.88671875" customWidth="1"/>
    <col min="2" max="2" width="17.109375" customWidth="1"/>
    <col min="3" max="4" width="12.88671875" customWidth="1"/>
    <col min="5" max="5" width="1.6640625" customWidth="1"/>
    <col min="6" max="6" width="3.6640625" customWidth="1"/>
    <col min="7" max="7" width="2.6640625" customWidth="1"/>
    <col min="8" max="8" width="37" customWidth="1"/>
    <col min="9" max="9" width="10.88671875" customWidth="1"/>
    <col min="10" max="10" width="2.6640625" customWidth="1"/>
    <col min="11" max="11" width="1.6640625" customWidth="1"/>
    <col min="12" max="12" width="3.5546875" customWidth="1"/>
    <col min="13" max="13" width="2.6640625" customWidth="1"/>
    <col min="14" max="14" width="37.33203125" customWidth="1"/>
    <col min="15" max="15" width="10.6640625" customWidth="1"/>
    <col min="16" max="16" width="2.6640625" customWidth="1"/>
  </cols>
  <sheetData>
    <row r="2" spans="1:16" ht="21.6" thickBot="1" x14ac:dyDescent="0.45">
      <c r="A2" s="156" t="s">
        <v>354</v>
      </c>
      <c r="B2" s="177"/>
      <c r="D2" s="31"/>
    </row>
    <row r="3" spans="1:16" ht="13.8" thickTop="1" x14ac:dyDescent="0.25">
      <c r="B3" s="41"/>
      <c r="C3" s="132"/>
      <c r="D3" s="132"/>
      <c r="E3" s="5"/>
      <c r="F3" s="9"/>
      <c r="G3" s="10"/>
      <c r="H3" s="10"/>
      <c r="I3" s="10"/>
      <c r="J3" s="11"/>
      <c r="L3" s="9"/>
      <c r="M3" s="10"/>
      <c r="N3" s="10"/>
      <c r="O3" s="10"/>
      <c r="P3" s="11"/>
    </row>
    <row r="4" spans="1:16" x14ac:dyDescent="0.25">
      <c r="A4" s="31" t="s">
        <v>574</v>
      </c>
      <c r="B4" s="31" t="e">
        <f>PROPER(VLOOKUP(B2,'April 2024 Fee Schedule'!A22:B411,2,FALSE))</f>
        <v>#N/A</v>
      </c>
      <c r="D4" s="37"/>
      <c r="F4" s="235" t="s">
        <v>769</v>
      </c>
      <c r="G4" s="236"/>
      <c r="H4" s="236"/>
      <c r="I4" s="236"/>
      <c r="J4" s="237"/>
      <c r="L4" s="235" t="s">
        <v>25</v>
      </c>
      <c r="M4" s="236"/>
      <c r="N4" s="236"/>
      <c r="O4" s="236"/>
      <c r="P4" s="237"/>
    </row>
    <row r="5" spans="1:16" x14ac:dyDescent="0.25">
      <c r="B5" s="112"/>
      <c r="C5" s="31" t="s">
        <v>804</v>
      </c>
      <c r="D5" s="37"/>
      <c r="F5" s="235" t="s">
        <v>25</v>
      </c>
      <c r="G5" s="236"/>
      <c r="H5" s="236"/>
      <c r="I5" s="236"/>
      <c r="J5" s="237"/>
      <c r="L5" s="238" t="s">
        <v>357</v>
      </c>
      <c r="M5" s="239"/>
      <c r="N5" s="239"/>
      <c r="O5" s="239"/>
      <c r="P5" s="240"/>
    </row>
    <row r="6" spans="1:16" ht="13.8" thickBot="1" x14ac:dyDescent="0.3">
      <c r="A6" s="31" t="s">
        <v>770</v>
      </c>
      <c r="B6" s="111" t="e">
        <f>VLOOKUP($B$2,'Lookup Info'!A1:K425,11,FALSE)</f>
        <v>#N/A</v>
      </c>
      <c r="D6" s="37"/>
      <c r="F6" s="235" t="str">
        <f>IF('New Facilities'!C2&lt;&gt;"New","","For a 'new' facility - one without a 2005 Medicaid cost report")</f>
        <v/>
      </c>
      <c r="G6" s="236"/>
      <c r="H6" s="236"/>
      <c r="I6" s="236"/>
      <c r="J6" s="237"/>
      <c r="L6" s="238" t="str">
        <f>+F6</f>
        <v/>
      </c>
      <c r="M6" s="239"/>
      <c r="N6" s="239"/>
      <c r="O6" s="239"/>
      <c r="P6" s="240"/>
    </row>
    <row r="7" spans="1:16" ht="13.8" thickTop="1" x14ac:dyDescent="0.25">
      <c r="A7" s="31" t="s">
        <v>355</v>
      </c>
      <c r="B7" s="67"/>
      <c r="C7" s="68" t="s">
        <v>359</v>
      </c>
      <c r="D7" s="19"/>
      <c r="F7" s="9"/>
      <c r="G7" s="10"/>
      <c r="H7" s="10"/>
      <c r="I7" s="10"/>
      <c r="J7" s="11"/>
      <c r="L7" s="9"/>
      <c r="M7" s="10"/>
      <c r="N7" s="10"/>
      <c r="O7" s="10"/>
      <c r="P7" s="11"/>
    </row>
    <row r="8" spans="1:16" x14ac:dyDescent="0.25">
      <c r="C8" s="15"/>
      <c r="D8" s="37"/>
      <c r="F8" s="32" t="s">
        <v>37</v>
      </c>
      <c r="H8" t="s">
        <v>32</v>
      </c>
      <c r="I8" s="18" t="e">
        <f>+B6</f>
        <v>#N/A</v>
      </c>
      <c r="J8" s="17"/>
      <c r="L8" s="32" t="s">
        <v>37</v>
      </c>
      <c r="N8" t="s">
        <v>32</v>
      </c>
      <c r="O8" s="18">
        <f>+B7</f>
        <v>0</v>
      </c>
      <c r="P8" s="17"/>
    </row>
    <row r="9" spans="1:16" x14ac:dyDescent="0.25">
      <c r="A9" s="5"/>
      <c r="B9" s="31"/>
      <c r="C9" s="68"/>
      <c r="D9" s="37"/>
      <c r="F9" s="32" t="s">
        <v>38</v>
      </c>
      <c r="H9" t="s">
        <v>31</v>
      </c>
      <c r="I9" s="20" t="e">
        <f>VLOOKUP(B2,'Lookup Info'!A2:D425,2,FALSE)</f>
        <v>#N/A</v>
      </c>
      <c r="J9" s="17"/>
      <c r="L9" s="32" t="s">
        <v>38</v>
      </c>
      <c r="N9" t="s">
        <v>31</v>
      </c>
      <c r="O9" s="20" t="e">
        <f>+I9</f>
        <v>#N/A</v>
      </c>
      <c r="P9" s="17"/>
    </row>
    <row r="10" spans="1:16" x14ac:dyDescent="0.25">
      <c r="A10" s="31" t="s">
        <v>36</v>
      </c>
      <c r="B10" s="109" t="e">
        <f>+'FRV Rate Calculation'!C42</f>
        <v>#N/A</v>
      </c>
      <c r="C10" s="19"/>
      <c r="D10" s="37"/>
      <c r="F10" s="32"/>
      <c r="J10" s="17"/>
      <c r="L10" s="32"/>
      <c r="P10" s="17"/>
    </row>
    <row r="11" spans="1:16" x14ac:dyDescent="0.25">
      <c r="B11" s="31"/>
      <c r="C11" s="15"/>
      <c r="D11" s="15"/>
      <c r="F11" s="32" t="str">
        <f>IF('New Facilities'!$C$2&lt;&gt;"New","c","c1")</f>
        <v>c</v>
      </c>
      <c r="H11" s="31" t="str">
        <f>IF('New Facilities'!$C$2&lt;&gt;"New","Direct Neutralized Rate Cap","Average Direct Rate")</f>
        <v>Direct Neutralized Rate Cap</v>
      </c>
      <c r="I11" s="34">
        <f>IF('New Facilities'!$C$2&lt;&gt;"New",140.16,'New Facilities'!G4)</f>
        <v>140.16</v>
      </c>
      <c r="J11" s="17"/>
      <c r="L11" s="32" t="str">
        <f>+F11</f>
        <v>c</v>
      </c>
      <c r="N11" s="31" t="str">
        <f>+H11</f>
        <v>Direct Neutralized Rate Cap</v>
      </c>
      <c r="O11" s="30">
        <f>+I11</f>
        <v>140.16</v>
      </c>
      <c r="P11" s="17"/>
    </row>
    <row r="12" spans="1:16" ht="12.75" customHeight="1" x14ac:dyDescent="0.25">
      <c r="A12" s="29" t="s">
        <v>34</v>
      </c>
      <c r="B12" s="109" t="e">
        <f>VLOOKUP($B$2,'Lookup Info'!$A$2:$J$425,10,FALSE)</f>
        <v>#N/A</v>
      </c>
      <c r="D12" s="227"/>
      <c r="F12" s="32" t="str">
        <f>IF('New Facilities'!$C$2&lt;&gt;"New","","c2")</f>
        <v/>
      </c>
      <c r="H12" s="31" t="str">
        <f>IF('New Facilities'!$C$2&lt;&gt;"New","","Average Case-Mix")</f>
        <v/>
      </c>
      <c r="I12" s="131" t="str">
        <f>IF('New Facilities'!$C$2&lt;&gt;"New","",'New Facilities'!G5)</f>
        <v/>
      </c>
      <c r="J12" s="17"/>
      <c r="L12" s="33" t="str">
        <f>+F12</f>
        <v/>
      </c>
      <c r="N12" t="str">
        <f>+H12</f>
        <v/>
      </c>
      <c r="O12" s="18" t="str">
        <f>IF('New Facilities'!C2&lt;&gt;"New","",'Rate Calculation'!I12)</f>
        <v/>
      </c>
      <c r="P12" s="17"/>
    </row>
    <row r="13" spans="1:16" x14ac:dyDescent="0.25">
      <c r="D13" s="21"/>
      <c r="F13" s="32" t="s">
        <v>40</v>
      </c>
      <c r="H13" s="31" t="str">
        <f>IF('New Facilities'!$C$2&lt;&gt;"New","CMI Portion of Rate Cap (b*c)","CMI Portion of Avg Direct Rate (b*c1)")</f>
        <v>CMI Portion of Rate Cap (b*c)</v>
      </c>
      <c r="I13" s="30" t="e">
        <f>+I11*I9</f>
        <v>#N/A</v>
      </c>
      <c r="J13" s="17"/>
      <c r="L13" s="32" t="s">
        <v>40</v>
      </c>
      <c r="N13" s="31" t="str">
        <f>IF('New Facilities'!$C$2&lt;&gt;"New","CMI Portion of Rate Cap (b*c)","CMI Portion of Avg Direct Rate (b*c1)")</f>
        <v>CMI Portion of Rate Cap (b*c)</v>
      </c>
      <c r="O13" s="30" t="e">
        <f>+O11*O9</f>
        <v>#N/A</v>
      </c>
      <c r="P13" s="17"/>
    </row>
    <row r="14" spans="1:16" x14ac:dyDescent="0.25">
      <c r="D14" s="143"/>
      <c r="F14" s="32" t="s">
        <v>41</v>
      </c>
      <c r="H14" s="31" t="str">
        <f>IF('New Facilities'!$C$2&lt;&gt;"New","Non-CMI Portion of Rate Cap (c-d)","Non-CMI Portion of Avg Direct Rate (C1-d)")</f>
        <v>Non-CMI Portion of Rate Cap (c-d)</v>
      </c>
      <c r="I14" s="30" t="e">
        <f>+ROUND(I11-I13,4)</f>
        <v>#N/A</v>
      </c>
      <c r="J14" s="17"/>
      <c r="L14" s="32" t="s">
        <v>41</v>
      </c>
      <c r="N14" s="31" t="str">
        <f>IF('New Facilities'!$C$2&lt;&gt;"New","Non-CMI Portion of Rate Cap (c-d)","Non-CMI Portion of Avg Direct Rate (C1-d)")</f>
        <v>Non-CMI Portion of Rate Cap (c-d)</v>
      </c>
      <c r="O14" s="30" t="e">
        <f>+ROUND(O11-O13,4)</f>
        <v>#N/A</v>
      </c>
      <c r="P14" s="17"/>
    </row>
    <row r="15" spans="1:16" x14ac:dyDescent="0.25">
      <c r="D15" s="72"/>
      <c r="F15" s="32" t="s">
        <v>42</v>
      </c>
      <c r="H15" s="31" t="str">
        <f>IF('New Facilities'!$C$2&lt;&gt;"New","2005 Based Direct Rate (a*d+e)","Direct Rate (d*a/c2) ****")</f>
        <v>2005 Based Direct Rate (a*d+e)</v>
      </c>
      <c r="I15" s="34" t="e">
        <f>IF('New Facilities'!$C$2&lt;&gt;"New",ROUND(I13*I8+I14,2),'Rate Calculation'!I13*'Rate Calculation'!I8/'Rate Calculation'!I12+'Rate Calculation'!I14)</f>
        <v>#N/A</v>
      </c>
      <c r="J15" s="17"/>
      <c r="L15" s="32" t="s">
        <v>42</v>
      </c>
      <c r="N15" s="31" t="str">
        <f>IF('New Facilities'!$C$2&lt;&gt;"New","2005 Based Direct Rate (a*d+e)","Direct Rate (d*a/c2) ****")</f>
        <v>2005 Based Direct Rate (a*d+e)</v>
      </c>
      <c r="O15" s="34" t="e">
        <f>IF('New Facilities'!$C$2&lt;&gt;"New",ROUND(O13*O8+O14,2),'Rate Calculation'!O13*'Rate Calculation'!O8/'Rate Calculation'!O12+'Rate Calculation'!O14)</f>
        <v>#N/A</v>
      </c>
      <c r="P15" s="17"/>
    </row>
    <row r="16" spans="1:16" x14ac:dyDescent="0.25">
      <c r="C16" s="19"/>
      <c r="D16" s="4"/>
      <c r="F16" s="16"/>
      <c r="J16" s="17"/>
      <c r="L16" s="16"/>
      <c r="P16" s="17"/>
    </row>
    <row r="17" spans="1:16" x14ac:dyDescent="0.25">
      <c r="A17" s="233" t="s">
        <v>566</v>
      </c>
      <c r="B17" s="234"/>
      <c r="C17" s="234"/>
      <c r="D17" s="229"/>
      <c r="F17" s="32" t="s">
        <v>43</v>
      </c>
      <c r="H17" s="31" t="s">
        <v>33</v>
      </c>
      <c r="I17" s="34">
        <v>41.89</v>
      </c>
      <c r="J17" s="17"/>
      <c r="L17" s="32" t="s">
        <v>43</v>
      </c>
      <c r="N17" s="31" t="s">
        <v>33</v>
      </c>
      <c r="O17" s="34">
        <f>+I17</f>
        <v>41.89</v>
      </c>
      <c r="P17" s="17"/>
    </row>
    <row r="18" spans="1:16" x14ac:dyDescent="0.25">
      <c r="A18" s="234"/>
      <c r="B18" s="234"/>
      <c r="C18" s="234"/>
      <c r="D18" s="229"/>
      <c r="E18" s="7"/>
      <c r="F18" s="32" t="s">
        <v>44</v>
      </c>
      <c r="H18" s="31" t="s">
        <v>26</v>
      </c>
      <c r="I18" s="35" t="e">
        <f>+B10</f>
        <v>#N/A</v>
      </c>
      <c r="J18" s="17"/>
      <c r="L18" s="32" t="s">
        <v>44</v>
      </c>
      <c r="N18" s="31" t="s">
        <v>26</v>
      </c>
      <c r="O18" s="35" t="e">
        <f>+'FRV Rate Calculation'!F42</f>
        <v>#N/A</v>
      </c>
      <c r="P18" s="17"/>
    </row>
    <row r="19" spans="1:16" x14ac:dyDescent="0.25">
      <c r="A19" s="228" t="s">
        <v>567</v>
      </c>
      <c r="B19" s="229"/>
      <c r="C19" s="229"/>
      <c r="D19" s="229"/>
      <c r="E19" s="7"/>
      <c r="F19" s="32" t="s">
        <v>45</v>
      </c>
      <c r="H19" s="31" t="s">
        <v>27</v>
      </c>
      <c r="I19" s="35" t="e">
        <f>+B12</f>
        <v>#N/A</v>
      </c>
      <c r="J19" s="17"/>
      <c r="L19" s="32" t="s">
        <v>45</v>
      </c>
      <c r="N19" s="31" t="s">
        <v>27</v>
      </c>
      <c r="O19" s="35" t="e">
        <f>+I19</f>
        <v>#N/A</v>
      </c>
      <c r="P19" s="17"/>
    </row>
    <row r="20" spans="1:16" ht="13.2" customHeight="1" x14ac:dyDescent="0.25">
      <c r="A20" s="229"/>
      <c r="B20" s="229"/>
      <c r="C20" s="229"/>
      <c r="D20" s="229"/>
      <c r="E20" s="7"/>
      <c r="F20" s="32" t="s">
        <v>66</v>
      </c>
      <c r="H20" s="31" t="s">
        <v>564</v>
      </c>
      <c r="I20" s="34">
        <v>31.9</v>
      </c>
      <c r="J20" s="17"/>
      <c r="L20" s="32" t="s">
        <v>66</v>
      </c>
      <c r="N20" s="31" t="s">
        <v>564</v>
      </c>
      <c r="O20" s="34">
        <v>31.9</v>
      </c>
      <c r="P20" s="17"/>
    </row>
    <row r="21" spans="1:16" ht="26.4" customHeight="1" x14ac:dyDescent="0.25">
      <c r="A21" s="229"/>
      <c r="B21" s="229"/>
      <c r="C21" s="229"/>
      <c r="D21" s="229"/>
      <c r="E21" s="7"/>
      <c r="F21" s="32" t="s">
        <v>67</v>
      </c>
      <c r="H21" s="31" t="s">
        <v>565</v>
      </c>
      <c r="I21" s="34" t="e">
        <f>+I15+I17+I18+I19+I20</f>
        <v>#N/A</v>
      </c>
      <c r="J21" s="17"/>
      <c r="L21" s="32" t="s">
        <v>67</v>
      </c>
      <c r="N21" s="31" t="s">
        <v>565</v>
      </c>
      <c r="O21" s="34" t="e">
        <f>+O15+O17+O18+O19+O20</f>
        <v>#N/A</v>
      </c>
      <c r="P21" s="17"/>
    </row>
    <row r="22" spans="1:16" ht="13.2" customHeight="1" x14ac:dyDescent="0.25">
      <c r="E22" s="7"/>
      <c r="F22" s="32"/>
      <c r="H22" s="139"/>
      <c r="I22" s="140"/>
      <c r="J22" s="17"/>
      <c r="L22" s="32"/>
      <c r="N22" s="31"/>
      <c r="O22" s="34"/>
      <c r="P22" s="17"/>
    </row>
    <row r="23" spans="1:16" x14ac:dyDescent="0.25">
      <c r="A23" s="29" t="s">
        <v>35</v>
      </c>
      <c r="E23" s="7"/>
      <c r="F23" s="32" t="s">
        <v>70</v>
      </c>
      <c r="H23" s="31" t="s">
        <v>604</v>
      </c>
      <c r="I23" s="72">
        <v>37.74</v>
      </c>
      <c r="J23" s="17"/>
      <c r="L23" s="32" t="s">
        <v>70</v>
      </c>
      <c r="N23" s="31" t="s">
        <v>604</v>
      </c>
      <c r="O23" s="72">
        <v>37.74</v>
      </c>
      <c r="P23" s="17"/>
    </row>
    <row r="24" spans="1:16" ht="13.8" thickBot="1" x14ac:dyDescent="0.3">
      <c r="A24" t="s">
        <v>28</v>
      </c>
      <c r="E24" s="7"/>
      <c r="F24" s="32" t="s">
        <v>72</v>
      </c>
      <c r="H24" s="31" t="s">
        <v>755</v>
      </c>
      <c r="I24" s="155" t="e">
        <f>+I21+I23</f>
        <v>#N/A</v>
      </c>
      <c r="J24" s="17"/>
      <c r="L24" s="32" t="s">
        <v>72</v>
      </c>
      <c r="N24" s="31" t="s">
        <v>756</v>
      </c>
      <c r="O24" s="21" t="e">
        <f>+O21+O23</f>
        <v>#N/A</v>
      </c>
      <c r="P24" s="17"/>
    </row>
    <row r="25" spans="1:16" ht="13.95" customHeight="1" thickTop="1" x14ac:dyDescent="0.25">
      <c r="A25" s="31" t="s">
        <v>602</v>
      </c>
      <c r="E25" s="7"/>
      <c r="F25" s="16"/>
      <c r="J25" s="17"/>
      <c r="L25" s="16"/>
      <c r="N25" s="228" t="s">
        <v>356</v>
      </c>
      <c r="O25" s="133" t="e">
        <f>+O24-I24</f>
        <v>#N/A</v>
      </c>
      <c r="P25" s="17"/>
    </row>
    <row r="26" spans="1:16" x14ac:dyDescent="0.25">
      <c r="A26" s="31" t="s">
        <v>603</v>
      </c>
      <c r="E26" s="7"/>
      <c r="F26" s="16"/>
      <c r="J26" s="17"/>
      <c r="L26" s="16"/>
      <c r="M26" s="31"/>
      <c r="N26" s="229"/>
      <c r="O26" s="31"/>
      <c r="P26" s="17"/>
    </row>
    <row r="27" spans="1:16" ht="13.2" customHeight="1" x14ac:dyDescent="0.25">
      <c r="A27" s="31" t="s">
        <v>753</v>
      </c>
      <c r="E27" s="7"/>
      <c r="F27" s="16"/>
      <c r="J27" s="17"/>
      <c r="L27" s="16"/>
      <c r="M27" s="31"/>
      <c r="N27" s="31"/>
      <c r="O27" s="31"/>
      <c r="P27" s="17"/>
    </row>
    <row r="28" spans="1:16" x14ac:dyDescent="0.25">
      <c r="E28" s="31"/>
      <c r="F28" s="16"/>
      <c r="G28" s="241" t="s">
        <v>754</v>
      </c>
      <c r="H28" s="241"/>
      <c r="I28" s="241"/>
      <c r="J28" s="17"/>
      <c r="L28" s="16"/>
      <c r="M28" s="233" t="s">
        <v>358</v>
      </c>
      <c r="N28" s="234"/>
      <c r="O28" s="234"/>
      <c r="P28" s="17"/>
    </row>
    <row r="29" spans="1:16" x14ac:dyDescent="0.25">
      <c r="A29" s="230" t="s">
        <v>757</v>
      </c>
      <c r="B29" s="229"/>
      <c r="C29" s="229"/>
      <c r="D29" s="229"/>
      <c r="F29" s="16"/>
      <c r="G29" s="241"/>
      <c r="H29" s="241"/>
      <c r="I29" s="241"/>
      <c r="J29" s="17"/>
      <c r="L29" s="16"/>
      <c r="M29" s="234"/>
      <c r="N29" s="234"/>
      <c r="O29" s="234"/>
      <c r="P29" s="17"/>
    </row>
    <row r="30" spans="1:16" ht="24.6" customHeight="1" x14ac:dyDescent="0.25">
      <c r="A30" s="229"/>
      <c r="B30" s="229"/>
      <c r="C30" s="229"/>
      <c r="D30" s="229"/>
      <c r="F30" s="16"/>
      <c r="G30" s="242"/>
      <c r="H30" s="242"/>
      <c r="I30" s="242"/>
      <c r="J30" s="17"/>
      <c r="L30" s="16"/>
      <c r="M30" s="234"/>
      <c r="N30" s="234"/>
      <c r="O30" s="234"/>
      <c r="P30" s="17"/>
    </row>
    <row r="31" spans="1:16" ht="13.8" thickBot="1" x14ac:dyDescent="0.3">
      <c r="A31" s="229"/>
      <c r="B31" s="229"/>
      <c r="C31" s="229"/>
      <c r="D31" s="229"/>
      <c r="F31" s="12"/>
      <c r="G31" s="13"/>
      <c r="H31" s="13"/>
      <c r="I31" s="13"/>
      <c r="J31" s="14"/>
      <c r="L31" s="12"/>
      <c r="M31" s="13"/>
      <c r="N31" s="13"/>
      <c r="O31" s="13"/>
      <c r="P31" s="14"/>
    </row>
    <row r="32" spans="1:16" ht="13.95" customHeight="1" thickTop="1" x14ac:dyDescent="0.25"/>
    <row r="33" ht="13.2" customHeight="1" x14ac:dyDescent="0.25"/>
    <row r="34" ht="22.2" customHeight="1" x14ac:dyDescent="0.25"/>
  </sheetData>
  <sheetProtection algorithmName="SHA-512" hashValue="S1fkvvM3r+AGtv1x0DZDpl0MDZiTccX/eStB28J0pnkmlhqxR39igEbwakIdIShg2uHGbMB8RBVUH6pdyWAmHQ==" saltValue="gvG33n94D55F8/It8X6x2Q==" spinCount="100000" sheet="1" objects="1" scenarios="1"/>
  <mergeCells count="12">
    <mergeCell ref="A17:D18"/>
    <mergeCell ref="A29:D31"/>
    <mergeCell ref="L4:P4"/>
    <mergeCell ref="L5:P5"/>
    <mergeCell ref="L6:P6"/>
    <mergeCell ref="F4:J4"/>
    <mergeCell ref="F6:J6"/>
    <mergeCell ref="F5:J5"/>
    <mergeCell ref="G28:I30"/>
    <mergeCell ref="A19:D21"/>
    <mergeCell ref="N25:N26"/>
    <mergeCell ref="M28:O30"/>
  </mergeCells>
  <phoneticPr fontId="6" type="noConversion"/>
  <printOptions horizontalCentered="1" verticalCentered="1"/>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E8955-E9A6-4EDB-98F4-65E538B96F09}">
  <sheetPr>
    <tabColor theme="3" tint="0.79998168889431442"/>
  </sheetPr>
  <dimension ref="A1:L396"/>
  <sheetViews>
    <sheetView workbookViewId="0">
      <selection sqref="A1:XFD1"/>
    </sheetView>
  </sheetViews>
  <sheetFormatPr defaultRowHeight="13.2" x14ac:dyDescent="0.25"/>
  <cols>
    <col min="1" max="1" width="11.33203125" style="159" customWidth="1"/>
    <col min="2" max="2" width="8.88671875" style="158"/>
    <col min="4" max="4" width="10.88671875" customWidth="1"/>
    <col min="7" max="7" width="9.6640625" bestFit="1" customWidth="1"/>
  </cols>
  <sheetData>
    <row r="1" spans="1:12" ht="31.2" x14ac:dyDescent="0.25">
      <c r="A1" s="159" t="s">
        <v>539</v>
      </c>
    </row>
    <row r="2" spans="1:12" x14ac:dyDescent="0.25">
      <c r="A2" s="159">
        <v>1730136250</v>
      </c>
      <c r="B2" s="157" t="s">
        <v>114</v>
      </c>
      <c r="C2" t="str">
        <f>IFERROR(VLOOKUP('Rate Calculation'!B2,'New Facilities'!A2:B41,2,FALSE),"old")</f>
        <v>old</v>
      </c>
    </row>
    <row r="3" spans="1:12" ht="14.4" x14ac:dyDescent="0.3">
      <c r="A3" s="159">
        <v>1982328829</v>
      </c>
      <c r="B3" s="157" t="s">
        <v>114</v>
      </c>
      <c r="E3" s="55"/>
      <c r="F3" s="113"/>
      <c r="G3" s="114">
        <v>45383</v>
      </c>
      <c r="H3" s="113"/>
    </row>
    <row r="4" spans="1:12" x14ac:dyDescent="0.25">
      <c r="A4" s="159">
        <v>1891908687</v>
      </c>
      <c r="B4" s="157" t="s">
        <v>114</v>
      </c>
      <c r="E4" t="s">
        <v>540</v>
      </c>
      <c r="F4" s="115"/>
      <c r="G4" s="160">
        <v>160.13</v>
      </c>
      <c r="H4" s="115"/>
      <c r="I4" s="116" t="s">
        <v>541</v>
      </c>
      <c r="J4" s="116"/>
      <c r="K4" s="116"/>
      <c r="L4" s="116"/>
    </row>
    <row r="5" spans="1:12" x14ac:dyDescent="0.25">
      <c r="A5" s="159">
        <v>1932368586</v>
      </c>
      <c r="B5" s="157" t="s">
        <v>114</v>
      </c>
      <c r="E5" t="s">
        <v>542</v>
      </c>
      <c r="F5" s="117"/>
      <c r="G5" s="161">
        <v>1.2222999999999999</v>
      </c>
      <c r="H5" s="118"/>
      <c r="I5" s="119" t="s">
        <v>543</v>
      </c>
      <c r="J5" s="119"/>
      <c r="K5" s="119"/>
      <c r="L5" s="119"/>
    </row>
    <row r="6" spans="1:12" x14ac:dyDescent="0.25">
      <c r="A6" s="159">
        <v>1306372230</v>
      </c>
      <c r="B6" s="157" t="s">
        <v>114</v>
      </c>
      <c r="E6" t="s">
        <v>544</v>
      </c>
      <c r="F6" s="120"/>
      <c r="G6" s="121">
        <v>0.65</v>
      </c>
      <c r="H6" s="122"/>
      <c r="I6" s="123" t="s">
        <v>545</v>
      </c>
      <c r="J6" s="123"/>
      <c r="K6" s="123"/>
      <c r="L6" s="123"/>
    </row>
    <row r="7" spans="1:12" x14ac:dyDescent="0.25">
      <c r="A7" s="159">
        <v>1437484672</v>
      </c>
      <c r="B7" s="157" t="s">
        <v>114</v>
      </c>
      <c r="E7" t="s">
        <v>546</v>
      </c>
      <c r="F7" s="124"/>
      <c r="G7" s="124">
        <f>+G4*G6</f>
        <v>104.08450000000001</v>
      </c>
      <c r="H7" s="38"/>
    </row>
    <row r="8" spans="1:12" x14ac:dyDescent="0.25">
      <c r="A8" s="159">
        <v>1982130811</v>
      </c>
      <c r="B8" s="157" t="s">
        <v>114</v>
      </c>
      <c r="E8" t="s">
        <v>547</v>
      </c>
      <c r="F8" s="124"/>
      <c r="G8" s="124">
        <f>+G4-G7</f>
        <v>56.04549999999999</v>
      </c>
      <c r="H8" s="38"/>
    </row>
    <row r="9" spans="1:12" x14ac:dyDescent="0.25">
      <c r="A9" s="159">
        <v>1124342241</v>
      </c>
      <c r="B9" s="157" t="s">
        <v>114</v>
      </c>
      <c r="E9" t="s">
        <v>548</v>
      </c>
      <c r="F9" s="125"/>
      <c r="G9" s="126">
        <v>1.2157</v>
      </c>
      <c r="H9" s="127" t="s">
        <v>549</v>
      </c>
      <c r="K9" s="21"/>
    </row>
    <row r="10" spans="1:12" x14ac:dyDescent="0.25">
      <c r="A10" s="159">
        <v>1669613071</v>
      </c>
      <c r="B10" s="157" t="s">
        <v>114</v>
      </c>
      <c r="E10" t="s">
        <v>550</v>
      </c>
      <c r="F10" s="37"/>
      <c r="G10" s="37">
        <f>+(G7*G9/G5+G8)</f>
        <v>159.56797946494314</v>
      </c>
      <c r="H10" s="21"/>
      <c r="I10" s="21"/>
      <c r="J10" s="4"/>
    </row>
    <row r="11" spans="1:12" x14ac:dyDescent="0.25">
      <c r="A11" s="159">
        <v>1518112036</v>
      </c>
      <c r="B11" s="157" t="s">
        <v>114</v>
      </c>
      <c r="E11" t="s">
        <v>33</v>
      </c>
      <c r="F11" s="37"/>
      <c r="G11" s="37">
        <v>41.89</v>
      </c>
      <c r="H11" s="21"/>
    </row>
    <row r="12" spans="1:12" ht="14.4" x14ac:dyDescent="0.3">
      <c r="A12" s="159">
        <v>1114463932</v>
      </c>
      <c r="B12" s="157" t="s">
        <v>114</v>
      </c>
      <c r="E12" s="55" t="s">
        <v>551</v>
      </c>
      <c r="F12" s="128"/>
      <c r="G12" s="128">
        <f>+G10+G11</f>
        <v>201.45797946494315</v>
      </c>
      <c r="H12" s="128"/>
      <c r="I12" s="21"/>
    </row>
    <row r="13" spans="1:12" x14ac:dyDescent="0.25">
      <c r="A13" s="159">
        <v>1194028118</v>
      </c>
      <c r="B13" s="157" t="s">
        <v>114</v>
      </c>
      <c r="E13" t="s">
        <v>552</v>
      </c>
      <c r="G13" s="129"/>
      <c r="H13" s="127" t="s">
        <v>553</v>
      </c>
    </row>
    <row r="14" spans="1:12" x14ac:dyDescent="0.25">
      <c r="A14" s="159">
        <v>1255682522</v>
      </c>
      <c r="B14" s="157" t="s">
        <v>114</v>
      </c>
      <c r="E14" t="s">
        <v>27</v>
      </c>
      <c r="G14" s="129"/>
      <c r="H14" s="127" t="s">
        <v>554</v>
      </c>
    </row>
    <row r="15" spans="1:12" ht="13.8" thickBot="1" x14ac:dyDescent="0.3">
      <c r="A15" s="159">
        <v>1588805014</v>
      </c>
      <c r="B15" s="157" t="s">
        <v>114</v>
      </c>
      <c r="E15" t="s">
        <v>555</v>
      </c>
      <c r="G15" s="130">
        <f>SUM(G12:G14)</f>
        <v>201.45797946494315</v>
      </c>
      <c r="I15" s="21"/>
    </row>
    <row r="16" spans="1:12" ht="13.8" thickTop="1" x14ac:dyDescent="0.25">
      <c r="A16" s="159">
        <v>1962832899</v>
      </c>
      <c r="B16" s="157" t="s">
        <v>114</v>
      </c>
    </row>
    <row r="17" spans="1:7" x14ac:dyDescent="0.25">
      <c r="A17" s="159">
        <v>1710312079</v>
      </c>
      <c r="B17" s="157" t="s">
        <v>114</v>
      </c>
    </row>
    <row r="18" spans="1:7" x14ac:dyDescent="0.25">
      <c r="A18" s="159">
        <v>1992106348</v>
      </c>
      <c r="B18" s="157" t="s">
        <v>114</v>
      </c>
      <c r="G18" s="21"/>
    </row>
    <row r="19" spans="1:7" x14ac:dyDescent="0.25">
      <c r="A19" s="159">
        <v>1376932889</v>
      </c>
      <c r="B19" s="157" t="s">
        <v>114</v>
      </c>
    </row>
    <row r="20" spans="1:7" x14ac:dyDescent="0.25">
      <c r="A20" s="159">
        <v>1912323635</v>
      </c>
      <c r="B20" s="157" t="s">
        <v>114</v>
      </c>
    </row>
    <row r="21" spans="1:7" x14ac:dyDescent="0.25">
      <c r="A21" s="159">
        <v>1841697422</v>
      </c>
      <c r="B21" s="157" t="s">
        <v>114</v>
      </c>
    </row>
    <row r="22" spans="1:7" x14ac:dyDescent="0.25">
      <c r="A22" s="159">
        <v>1003205337</v>
      </c>
      <c r="B22" s="157" t="s">
        <v>114</v>
      </c>
    </row>
    <row r="23" spans="1:7" x14ac:dyDescent="0.25">
      <c r="A23" s="159">
        <v>1477137628</v>
      </c>
      <c r="B23" s="157" t="s">
        <v>114</v>
      </c>
    </row>
    <row r="24" spans="1:7" x14ac:dyDescent="0.25">
      <c r="A24" s="159">
        <v>1992998504</v>
      </c>
      <c r="B24" s="157" t="s">
        <v>114</v>
      </c>
    </row>
    <row r="25" spans="1:7" x14ac:dyDescent="0.25">
      <c r="A25" s="159">
        <v>1093228397</v>
      </c>
      <c r="B25" s="157" t="s">
        <v>114</v>
      </c>
    </row>
    <row r="26" spans="1:7" x14ac:dyDescent="0.25">
      <c r="A26" s="159">
        <v>1558872333</v>
      </c>
      <c r="B26" s="157" t="s">
        <v>114</v>
      </c>
    </row>
    <row r="27" spans="1:7" x14ac:dyDescent="0.25">
      <c r="A27" s="159">
        <v>1730183625</v>
      </c>
      <c r="B27" s="157" t="s">
        <v>114</v>
      </c>
    </row>
    <row r="28" spans="1:7" x14ac:dyDescent="0.25">
      <c r="A28" s="159">
        <v>1033611959</v>
      </c>
      <c r="B28" s="157" t="s">
        <v>114</v>
      </c>
    </row>
    <row r="29" spans="1:7" x14ac:dyDescent="0.25">
      <c r="A29" s="159">
        <v>1891871901</v>
      </c>
      <c r="B29" s="157" t="s">
        <v>114</v>
      </c>
    </row>
    <row r="30" spans="1:7" x14ac:dyDescent="0.25">
      <c r="A30" s="159">
        <v>1114501442</v>
      </c>
      <c r="B30" s="157"/>
    </row>
    <row r="31" spans="1:7" x14ac:dyDescent="0.25">
      <c r="A31" s="159">
        <v>1962126904</v>
      </c>
      <c r="B31" s="157"/>
    </row>
    <row r="32" spans="1:7" x14ac:dyDescent="0.25">
      <c r="A32" s="159">
        <v>1760106702</v>
      </c>
    </row>
    <row r="33" spans="1:1" x14ac:dyDescent="0.25">
      <c r="A33" s="159">
        <v>1962505313</v>
      </c>
    </row>
    <row r="34" spans="1:1" x14ac:dyDescent="0.25">
      <c r="A34" s="159">
        <v>1396202024</v>
      </c>
    </row>
    <row r="35" spans="1:1" x14ac:dyDescent="0.25">
      <c r="A35" s="159">
        <v>1194722629</v>
      </c>
    </row>
    <row r="36" spans="1:1" x14ac:dyDescent="0.25">
      <c r="A36" s="159">
        <v>1255878245</v>
      </c>
    </row>
    <row r="37" spans="1:1" x14ac:dyDescent="0.25">
      <c r="A37" s="159">
        <v>1275519506</v>
      </c>
    </row>
    <row r="38" spans="1:1" x14ac:dyDescent="0.25">
      <c r="A38" s="159">
        <v>1770995094</v>
      </c>
    </row>
    <row r="39" spans="1:1" x14ac:dyDescent="0.25">
      <c r="A39" s="159">
        <v>1609852375</v>
      </c>
    </row>
    <row r="40" spans="1:1" x14ac:dyDescent="0.25">
      <c r="A40" s="159">
        <v>1093791337</v>
      </c>
    </row>
    <row r="41" spans="1:1" x14ac:dyDescent="0.25">
      <c r="A41" s="159">
        <v>1912485517</v>
      </c>
    </row>
    <row r="42" spans="1:1" x14ac:dyDescent="0.25">
      <c r="A42" s="159">
        <v>1073599635</v>
      </c>
    </row>
    <row r="43" spans="1:1" x14ac:dyDescent="0.25">
      <c r="A43" s="159">
        <v>1053396788</v>
      </c>
    </row>
    <row r="44" spans="1:1" x14ac:dyDescent="0.25">
      <c r="A44" s="159">
        <v>1851377543</v>
      </c>
    </row>
    <row r="45" spans="1:1" x14ac:dyDescent="0.25">
      <c r="A45" s="159">
        <v>1598127276</v>
      </c>
    </row>
    <row r="46" spans="1:1" x14ac:dyDescent="0.25">
      <c r="A46" s="159">
        <v>1508842295</v>
      </c>
    </row>
    <row r="47" spans="1:1" x14ac:dyDescent="0.25">
      <c r="A47" s="159">
        <v>1639155302</v>
      </c>
    </row>
    <row r="48" spans="1:1" x14ac:dyDescent="0.25">
      <c r="A48" s="159">
        <v>1346226040</v>
      </c>
    </row>
    <row r="49" spans="1:1" x14ac:dyDescent="0.25">
      <c r="A49" s="159">
        <v>1730722240</v>
      </c>
    </row>
    <row r="50" spans="1:1" x14ac:dyDescent="0.25">
      <c r="A50" s="159">
        <v>1528044294</v>
      </c>
    </row>
    <row r="51" spans="1:1" x14ac:dyDescent="0.25">
      <c r="A51" s="159">
        <v>1962052498</v>
      </c>
    </row>
    <row r="52" spans="1:1" x14ac:dyDescent="0.25">
      <c r="A52" s="159">
        <v>1871143305</v>
      </c>
    </row>
    <row r="53" spans="1:1" x14ac:dyDescent="0.25">
      <c r="A53" s="159">
        <v>1225688757</v>
      </c>
    </row>
    <row r="54" spans="1:1" x14ac:dyDescent="0.25">
      <c r="A54" s="159">
        <v>1841840378</v>
      </c>
    </row>
    <row r="55" spans="1:1" x14ac:dyDescent="0.25">
      <c r="A55" s="159">
        <v>1760032296</v>
      </c>
    </row>
    <row r="56" spans="1:1" x14ac:dyDescent="0.25">
      <c r="A56" s="159">
        <v>1295723377</v>
      </c>
    </row>
    <row r="57" spans="1:1" x14ac:dyDescent="0.25">
      <c r="A57" s="159">
        <v>1649254582</v>
      </c>
    </row>
    <row r="58" spans="1:1" x14ac:dyDescent="0.25">
      <c r="A58" s="159">
        <v>1316512346</v>
      </c>
    </row>
    <row r="59" spans="1:1" x14ac:dyDescent="0.25">
      <c r="A59" s="159">
        <v>1992724157</v>
      </c>
    </row>
    <row r="60" spans="1:1" x14ac:dyDescent="0.25">
      <c r="A60" s="159">
        <v>1578059085</v>
      </c>
    </row>
    <row r="61" spans="1:1" x14ac:dyDescent="0.25">
      <c r="A61" s="159">
        <v>1114480233</v>
      </c>
    </row>
    <row r="62" spans="1:1" x14ac:dyDescent="0.25">
      <c r="A62" s="159">
        <v>1689147035</v>
      </c>
    </row>
    <row r="63" spans="1:1" x14ac:dyDescent="0.25">
      <c r="A63" s="159" t="s">
        <v>785</v>
      </c>
    </row>
    <row r="64" spans="1:1" x14ac:dyDescent="0.25">
      <c r="A64" s="159">
        <v>1407574981</v>
      </c>
    </row>
    <row r="65" spans="1:1" x14ac:dyDescent="0.25">
      <c r="A65" s="159" t="s">
        <v>788</v>
      </c>
    </row>
    <row r="66" spans="1:1" x14ac:dyDescent="0.25">
      <c r="A66" s="159">
        <v>1336602358</v>
      </c>
    </row>
    <row r="67" spans="1:1" x14ac:dyDescent="0.25">
      <c r="A67" s="159">
        <v>1215400668</v>
      </c>
    </row>
    <row r="68" spans="1:1" x14ac:dyDescent="0.25">
      <c r="A68" s="159" t="s">
        <v>789</v>
      </c>
    </row>
    <row r="69" spans="1:1" x14ac:dyDescent="0.25">
      <c r="A69" s="159">
        <v>1548293988</v>
      </c>
    </row>
    <row r="70" spans="1:1" x14ac:dyDescent="0.25">
      <c r="A70" s="159">
        <v>1174608350</v>
      </c>
    </row>
    <row r="71" spans="1:1" x14ac:dyDescent="0.25">
      <c r="A71" s="159">
        <v>1225524747</v>
      </c>
    </row>
    <row r="72" spans="1:1" x14ac:dyDescent="0.25">
      <c r="A72" s="159">
        <v>1295704997</v>
      </c>
    </row>
    <row r="73" spans="1:1" x14ac:dyDescent="0.25">
      <c r="A73" s="159">
        <v>1063919652</v>
      </c>
    </row>
    <row r="74" spans="1:1" x14ac:dyDescent="0.25">
      <c r="A74" s="159">
        <v>1518435650</v>
      </c>
    </row>
    <row r="75" spans="1:1" x14ac:dyDescent="0.25">
      <c r="A75" s="159">
        <v>1700525300</v>
      </c>
    </row>
    <row r="76" spans="1:1" x14ac:dyDescent="0.25">
      <c r="A76" s="159">
        <v>1134868730</v>
      </c>
    </row>
    <row r="77" spans="1:1" x14ac:dyDescent="0.25">
      <c r="A77" s="159">
        <v>1851030985</v>
      </c>
    </row>
    <row r="78" spans="1:1" x14ac:dyDescent="0.25">
      <c r="A78" s="159">
        <v>1487393088</v>
      </c>
    </row>
    <row r="79" spans="1:1" x14ac:dyDescent="0.25">
      <c r="A79" s="159">
        <v>1639818230</v>
      </c>
    </row>
    <row r="80" spans="1:1" x14ac:dyDescent="0.25">
      <c r="A80" s="159">
        <v>1184363236</v>
      </c>
    </row>
    <row r="81" spans="1:1" x14ac:dyDescent="0.25">
      <c r="A81" s="159">
        <v>1932606530</v>
      </c>
    </row>
    <row r="82" spans="1:1" x14ac:dyDescent="0.25">
      <c r="A82" s="159">
        <v>1508505660</v>
      </c>
    </row>
    <row r="83" spans="1:1" x14ac:dyDescent="0.25">
      <c r="A83" s="159">
        <v>1972071033</v>
      </c>
    </row>
    <row r="84" spans="1:1" x14ac:dyDescent="0.25">
      <c r="A84" s="159">
        <v>1205575511</v>
      </c>
    </row>
    <row r="85" spans="1:1" x14ac:dyDescent="0.25">
      <c r="A85" s="159">
        <v>1215653324</v>
      </c>
    </row>
    <row r="86" spans="1:1" x14ac:dyDescent="0.25">
      <c r="A86" s="159">
        <v>1417696576</v>
      </c>
    </row>
    <row r="87" spans="1:1" x14ac:dyDescent="0.25">
      <c r="A87" s="159">
        <v>1457090128</v>
      </c>
    </row>
    <row r="88" spans="1:1" x14ac:dyDescent="0.25">
      <c r="A88" s="159">
        <v>1609515378</v>
      </c>
    </row>
    <row r="89" spans="1:1" x14ac:dyDescent="0.25">
      <c r="A89" s="159">
        <v>1225777998</v>
      </c>
    </row>
    <row r="90" spans="1:1" x14ac:dyDescent="0.25">
      <c r="A90" s="159">
        <v>1538808340</v>
      </c>
    </row>
    <row r="91" spans="1:1" x14ac:dyDescent="0.25">
      <c r="A91" s="159">
        <v>1114666427</v>
      </c>
    </row>
    <row r="92" spans="1:1" x14ac:dyDescent="0.25">
      <c r="A92" s="159">
        <v>1518606664</v>
      </c>
    </row>
    <row r="93" spans="1:1" x14ac:dyDescent="0.25">
      <c r="A93" s="159">
        <v>1598233645</v>
      </c>
    </row>
    <row r="94" spans="1:1" x14ac:dyDescent="0.25">
      <c r="A94" s="159">
        <v>1659849701</v>
      </c>
    </row>
    <row r="95" spans="1:1" x14ac:dyDescent="0.25">
      <c r="A95" s="159">
        <v>1013656156</v>
      </c>
    </row>
    <row r="96" spans="1:1" x14ac:dyDescent="0.25">
      <c r="A96" s="159">
        <v>1205357878</v>
      </c>
    </row>
    <row r="97" spans="1:1" x14ac:dyDescent="0.25">
      <c r="A97" s="159">
        <v>1255070306</v>
      </c>
    </row>
    <row r="98" spans="1:1" x14ac:dyDescent="0.25">
      <c r="A98" s="159">
        <v>1598262198</v>
      </c>
    </row>
    <row r="99" spans="1:1" x14ac:dyDescent="0.25">
      <c r="A99" s="159">
        <v>1437627593</v>
      </c>
    </row>
    <row r="100" spans="1:1" x14ac:dyDescent="0.25">
      <c r="A100" s="159">
        <v>1710601653</v>
      </c>
    </row>
    <row r="101" spans="1:1" x14ac:dyDescent="0.25">
      <c r="A101" s="159">
        <v>1356372650</v>
      </c>
    </row>
    <row r="102" spans="1:1" x14ac:dyDescent="0.25">
      <c r="A102" s="159">
        <v>1669408969</v>
      </c>
    </row>
    <row r="103" spans="1:1" x14ac:dyDescent="0.25">
      <c r="A103" s="159">
        <v>1982640785</v>
      </c>
    </row>
    <row r="104" spans="1:1" x14ac:dyDescent="0.25">
      <c r="A104" s="159">
        <v>1083659692</v>
      </c>
    </row>
    <row r="105" spans="1:1" x14ac:dyDescent="0.25">
      <c r="A105" s="159">
        <v>1821024274</v>
      </c>
    </row>
    <row r="106" spans="1:1" x14ac:dyDescent="0.25">
      <c r="A106" s="159">
        <v>1457397952</v>
      </c>
    </row>
    <row r="107" spans="1:1" x14ac:dyDescent="0.25">
      <c r="A107" s="159">
        <v>1508802497</v>
      </c>
    </row>
    <row r="108" spans="1:1" x14ac:dyDescent="0.25">
      <c r="A108" s="159">
        <v>1366487464</v>
      </c>
    </row>
    <row r="109" spans="1:1" x14ac:dyDescent="0.25">
      <c r="A109" s="159">
        <v>1619908977</v>
      </c>
    </row>
    <row r="110" spans="1:1" x14ac:dyDescent="0.25">
      <c r="A110" s="159">
        <v>1689603060</v>
      </c>
    </row>
    <row r="111" spans="1:1" x14ac:dyDescent="0.25">
      <c r="A111" s="159">
        <v>1285665539</v>
      </c>
    </row>
    <row r="112" spans="1:1" x14ac:dyDescent="0.25">
      <c r="A112" s="159">
        <v>1699710293</v>
      </c>
    </row>
    <row r="113" spans="1:1" x14ac:dyDescent="0.25">
      <c r="A113" s="159">
        <v>1972547321</v>
      </c>
    </row>
    <row r="114" spans="1:1" x14ac:dyDescent="0.25">
      <c r="A114" s="159">
        <v>1962447565</v>
      </c>
    </row>
    <row r="115" spans="1:1" x14ac:dyDescent="0.25">
      <c r="A115" s="159">
        <v>1811923931</v>
      </c>
    </row>
    <row r="116" spans="1:1" x14ac:dyDescent="0.25">
      <c r="A116" s="159">
        <v>1932145836</v>
      </c>
    </row>
    <row r="117" spans="1:1" x14ac:dyDescent="0.25">
      <c r="A117" s="159">
        <v>1376570275</v>
      </c>
    </row>
    <row r="118" spans="1:1" x14ac:dyDescent="0.25">
      <c r="A118" s="159">
        <v>1255367447</v>
      </c>
    </row>
    <row r="119" spans="1:1" x14ac:dyDescent="0.25">
      <c r="A119" s="159">
        <v>1952337073</v>
      </c>
    </row>
    <row r="120" spans="1:1" x14ac:dyDescent="0.25">
      <c r="A120" s="159">
        <v>1659307395</v>
      </c>
    </row>
    <row r="121" spans="1:1" x14ac:dyDescent="0.25">
      <c r="A121" s="159">
        <v>1942236161</v>
      </c>
    </row>
    <row r="122" spans="1:1" x14ac:dyDescent="0.25">
      <c r="A122" s="159">
        <v>1396771515</v>
      </c>
    </row>
    <row r="123" spans="1:1" x14ac:dyDescent="0.25">
      <c r="A123" s="159">
        <v>1558393835</v>
      </c>
    </row>
    <row r="124" spans="1:1" x14ac:dyDescent="0.25">
      <c r="A124" s="159">
        <v>1265816185</v>
      </c>
    </row>
    <row r="125" spans="1:1" x14ac:dyDescent="0.25">
      <c r="A125" s="159">
        <v>1407882830</v>
      </c>
    </row>
    <row r="126" spans="1:1" x14ac:dyDescent="0.25">
      <c r="A126" s="159">
        <v>1235175175</v>
      </c>
    </row>
    <row r="127" spans="1:1" x14ac:dyDescent="0.25">
      <c r="A127" s="159">
        <v>1225064777</v>
      </c>
    </row>
    <row r="128" spans="1:1" x14ac:dyDescent="0.25">
      <c r="A128" s="159">
        <v>1063458958</v>
      </c>
    </row>
    <row r="129" spans="1:1" x14ac:dyDescent="0.25">
      <c r="A129" s="159">
        <v>1750317897</v>
      </c>
    </row>
    <row r="130" spans="1:1" x14ac:dyDescent="0.25">
      <c r="A130" s="159">
        <v>1184650541</v>
      </c>
    </row>
    <row r="131" spans="1:1" x14ac:dyDescent="0.25">
      <c r="A131" s="159">
        <v>1700812146</v>
      </c>
    </row>
    <row r="132" spans="1:1" x14ac:dyDescent="0.25">
      <c r="A132" s="159">
        <v>1336612530</v>
      </c>
    </row>
    <row r="133" spans="1:1" x14ac:dyDescent="0.25">
      <c r="A133" s="159">
        <v>1558029488</v>
      </c>
    </row>
    <row r="134" spans="1:1" x14ac:dyDescent="0.25">
      <c r="A134" s="159">
        <v>1952446510</v>
      </c>
    </row>
    <row r="135" spans="1:1" x14ac:dyDescent="0.25">
      <c r="A135" s="159">
        <v>1376926519</v>
      </c>
    </row>
    <row r="136" spans="1:1" x14ac:dyDescent="0.25">
      <c r="A136" s="159">
        <v>1225654098</v>
      </c>
    </row>
    <row r="137" spans="1:1" x14ac:dyDescent="0.25">
      <c r="A137" s="159">
        <v>1235591918</v>
      </c>
    </row>
    <row r="138" spans="1:1" x14ac:dyDescent="0.25">
      <c r="A138" s="159">
        <v>1336196526</v>
      </c>
    </row>
    <row r="139" spans="1:1" x14ac:dyDescent="0.25">
      <c r="A139" s="159">
        <v>1295279594</v>
      </c>
    </row>
    <row r="140" spans="1:1" x14ac:dyDescent="0.25">
      <c r="A140" s="159">
        <v>1326074048</v>
      </c>
    </row>
    <row r="141" spans="1:1" x14ac:dyDescent="0.25">
      <c r="A141" s="159">
        <v>1114501459</v>
      </c>
    </row>
    <row r="142" spans="1:1" x14ac:dyDescent="0.25">
      <c r="A142" s="159">
        <v>1255385720</v>
      </c>
    </row>
    <row r="143" spans="1:1" x14ac:dyDescent="0.25">
      <c r="A143" s="159">
        <v>1144804485</v>
      </c>
    </row>
    <row r="144" spans="1:1" x14ac:dyDescent="0.25">
      <c r="A144" s="159">
        <v>1336863273</v>
      </c>
    </row>
    <row r="145" spans="1:1" x14ac:dyDescent="0.25">
      <c r="A145" s="159">
        <v>1669821336</v>
      </c>
    </row>
    <row r="146" spans="1:1" x14ac:dyDescent="0.25">
      <c r="A146" s="159">
        <v>1083661193</v>
      </c>
    </row>
    <row r="147" spans="1:1" x14ac:dyDescent="0.25">
      <c r="A147" s="159">
        <v>1336118298</v>
      </c>
    </row>
    <row r="148" spans="1:1" x14ac:dyDescent="0.25">
      <c r="A148" s="159">
        <v>1609976901</v>
      </c>
    </row>
    <row r="149" spans="1:1" x14ac:dyDescent="0.25">
      <c r="A149" s="159">
        <v>1104800069</v>
      </c>
    </row>
    <row r="150" spans="1:1" x14ac:dyDescent="0.25">
      <c r="A150" s="159">
        <v>1235239567</v>
      </c>
    </row>
    <row r="151" spans="1:1" x14ac:dyDescent="0.25">
      <c r="A151" s="159">
        <v>1316921190</v>
      </c>
    </row>
    <row r="152" spans="1:1" x14ac:dyDescent="0.25">
      <c r="A152" s="159">
        <v>1194825448</v>
      </c>
    </row>
    <row r="153" spans="1:1" x14ac:dyDescent="0.25">
      <c r="A153" s="159">
        <v>1851375703</v>
      </c>
    </row>
    <row r="154" spans="1:1" x14ac:dyDescent="0.25">
      <c r="A154" s="159">
        <v>1316351034</v>
      </c>
    </row>
    <row r="155" spans="1:1" x14ac:dyDescent="0.25">
      <c r="A155" s="159">
        <v>1194309336</v>
      </c>
    </row>
    <row r="156" spans="1:1" x14ac:dyDescent="0.25">
      <c r="A156" s="159">
        <v>1356387153</v>
      </c>
    </row>
    <row r="157" spans="1:1" x14ac:dyDescent="0.25">
      <c r="A157" s="159">
        <v>1740249382</v>
      </c>
    </row>
    <row r="158" spans="1:1" x14ac:dyDescent="0.25">
      <c r="A158" s="159">
        <v>1407803679</v>
      </c>
    </row>
    <row r="159" spans="1:1" x14ac:dyDescent="0.25">
      <c r="A159" s="159">
        <v>1669991865</v>
      </c>
    </row>
    <row r="160" spans="1:1" x14ac:dyDescent="0.25">
      <c r="A160" s="159">
        <v>1841854361</v>
      </c>
    </row>
    <row r="161" spans="1:1" x14ac:dyDescent="0.25">
      <c r="A161" s="159">
        <v>1891722187</v>
      </c>
    </row>
    <row r="162" spans="1:1" x14ac:dyDescent="0.25">
      <c r="A162" s="159">
        <v>1164476636</v>
      </c>
    </row>
    <row r="163" spans="1:1" x14ac:dyDescent="0.25">
      <c r="A163" s="159">
        <v>1891740544</v>
      </c>
    </row>
    <row r="164" spans="1:1" x14ac:dyDescent="0.25">
      <c r="A164" s="159">
        <v>1346806015</v>
      </c>
    </row>
    <row r="165" spans="1:1" x14ac:dyDescent="0.25">
      <c r="A165" s="159">
        <v>1073599510</v>
      </c>
    </row>
    <row r="166" spans="1:1" x14ac:dyDescent="0.25">
      <c r="A166" s="159">
        <v>1972587376</v>
      </c>
    </row>
    <row r="167" spans="1:1" x14ac:dyDescent="0.25">
      <c r="A167" s="159">
        <v>1437103850</v>
      </c>
    </row>
    <row r="168" spans="1:1" x14ac:dyDescent="0.25">
      <c r="A168" s="159">
        <v>1093131310</v>
      </c>
    </row>
    <row r="169" spans="1:1" x14ac:dyDescent="0.25">
      <c r="A169" s="159">
        <v>1356346191</v>
      </c>
    </row>
    <row r="170" spans="1:1" x14ac:dyDescent="0.25">
      <c r="A170" s="159">
        <v>1831649268</v>
      </c>
    </row>
    <row r="171" spans="1:1" x14ac:dyDescent="0.25">
      <c r="A171" s="159">
        <v>1346851052</v>
      </c>
    </row>
    <row r="172" spans="1:1" x14ac:dyDescent="0.25">
      <c r="A172" s="159">
        <v>1750418802</v>
      </c>
    </row>
    <row r="173" spans="1:1" x14ac:dyDescent="0.25">
      <c r="A173" s="159">
        <v>1265556294</v>
      </c>
    </row>
    <row r="174" spans="1:1" x14ac:dyDescent="0.25">
      <c r="A174" s="159">
        <v>1427248905</v>
      </c>
    </row>
    <row r="175" spans="1:1" x14ac:dyDescent="0.25">
      <c r="A175" s="159">
        <v>1588219828</v>
      </c>
    </row>
    <row r="176" spans="1:1" x14ac:dyDescent="0.25">
      <c r="A176" s="159">
        <v>1245287762</v>
      </c>
    </row>
    <row r="177" spans="1:1" x14ac:dyDescent="0.25">
      <c r="A177" s="159">
        <v>1407803828</v>
      </c>
    </row>
    <row r="178" spans="1:1" x14ac:dyDescent="0.25">
      <c r="A178" s="159">
        <v>1447435722</v>
      </c>
    </row>
    <row r="179" spans="1:1" x14ac:dyDescent="0.25">
      <c r="A179" s="159">
        <v>1275508970</v>
      </c>
    </row>
    <row r="180" spans="1:1" x14ac:dyDescent="0.25">
      <c r="A180" s="159">
        <v>1134175524</v>
      </c>
    </row>
    <row r="181" spans="1:1" x14ac:dyDescent="0.25">
      <c r="A181" s="159">
        <v>1568127488</v>
      </c>
    </row>
    <row r="182" spans="1:1" x14ac:dyDescent="0.25">
      <c r="A182" s="159">
        <v>1396747689</v>
      </c>
    </row>
    <row r="183" spans="1:1" x14ac:dyDescent="0.25">
      <c r="A183" s="159">
        <v>1932135381</v>
      </c>
    </row>
    <row r="184" spans="1:1" x14ac:dyDescent="0.25">
      <c r="A184" s="159">
        <v>1710932355</v>
      </c>
    </row>
    <row r="185" spans="1:1" x14ac:dyDescent="0.25">
      <c r="A185" s="159">
        <v>1417951492</v>
      </c>
    </row>
    <row r="186" spans="1:1" x14ac:dyDescent="0.25">
      <c r="A186" s="159">
        <v>1730136128</v>
      </c>
    </row>
    <row r="187" spans="1:1" x14ac:dyDescent="0.25">
      <c r="A187" s="159">
        <v>1699313544</v>
      </c>
    </row>
    <row r="188" spans="1:1" x14ac:dyDescent="0.25">
      <c r="A188" s="159">
        <v>1144868092</v>
      </c>
    </row>
    <row r="189" spans="1:1" x14ac:dyDescent="0.25">
      <c r="A189" s="159">
        <v>1679555403</v>
      </c>
    </row>
    <row r="190" spans="1:1" x14ac:dyDescent="0.25">
      <c r="A190" s="159">
        <v>1174524458</v>
      </c>
    </row>
    <row r="191" spans="1:1" x14ac:dyDescent="0.25">
      <c r="A191" s="159">
        <v>1316662711</v>
      </c>
    </row>
    <row r="192" spans="1:1" x14ac:dyDescent="0.25">
      <c r="A192" s="159">
        <v>1023386190</v>
      </c>
    </row>
    <row r="193" spans="1:1" x14ac:dyDescent="0.25">
      <c r="A193" s="159">
        <v>1396802260</v>
      </c>
    </row>
    <row r="194" spans="1:1" x14ac:dyDescent="0.25">
      <c r="A194" s="159">
        <v>1588618045</v>
      </c>
    </row>
    <row r="195" spans="1:1" x14ac:dyDescent="0.25">
      <c r="A195" s="159">
        <v>1962066480</v>
      </c>
    </row>
    <row r="196" spans="1:1" x14ac:dyDescent="0.25">
      <c r="A196" s="159">
        <v>1588642102</v>
      </c>
    </row>
    <row r="197" spans="1:1" x14ac:dyDescent="0.25">
      <c r="A197" s="159">
        <v>1154792000</v>
      </c>
    </row>
    <row r="198" spans="1:1" x14ac:dyDescent="0.25">
      <c r="A198" s="159">
        <v>1992242119</v>
      </c>
    </row>
    <row r="199" spans="1:1" x14ac:dyDescent="0.25">
      <c r="A199" s="159">
        <v>1578286621</v>
      </c>
    </row>
    <row r="200" spans="1:1" x14ac:dyDescent="0.25">
      <c r="A200" s="159">
        <v>1902462401</v>
      </c>
    </row>
    <row r="201" spans="1:1" x14ac:dyDescent="0.25">
      <c r="A201" s="159">
        <v>1750004800</v>
      </c>
    </row>
    <row r="202" spans="1:1" x14ac:dyDescent="0.25">
      <c r="A202" s="159">
        <v>1649685132</v>
      </c>
    </row>
    <row r="203" spans="1:1" x14ac:dyDescent="0.25">
      <c r="A203" s="159">
        <v>1205252640</v>
      </c>
    </row>
    <row r="204" spans="1:1" x14ac:dyDescent="0.25">
      <c r="A204" s="159">
        <v>1528505757</v>
      </c>
    </row>
    <row r="205" spans="1:1" x14ac:dyDescent="0.25">
      <c r="A205" s="159">
        <v>1164848503</v>
      </c>
    </row>
    <row r="206" spans="1:1" x14ac:dyDescent="0.25">
      <c r="A206" s="159">
        <v>1033784970</v>
      </c>
    </row>
    <row r="207" spans="1:1" x14ac:dyDescent="0.25">
      <c r="A207" s="159">
        <v>1013951896</v>
      </c>
    </row>
    <row r="208" spans="1:1" x14ac:dyDescent="0.25">
      <c r="A208" s="159">
        <v>1649590498</v>
      </c>
    </row>
    <row r="209" spans="1:1" x14ac:dyDescent="0.25">
      <c r="A209" s="159">
        <v>1235370750</v>
      </c>
    </row>
    <row r="210" spans="1:1" x14ac:dyDescent="0.25">
      <c r="A210" s="159">
        <v>1295391795</v>
      </c>
    </row>
    <row r="211" spans="1:1" x14ac:dyDescent="0.25">
      <c r="A211" s="159">
        <v>1447736087</v>
      </c>
    </row>
    <row r="212" spans="1:1" x14ac:dyDescent="0.25">
      <c r="A212" s="159">
        <v>1144277666</v>
      </c>
    </row>
    <row r="213" spans="1:1" x14ac:dyDescent="0.25">
      <c r="A213" s="159">
        <v>1982948550</v>
      </c>
    </row>
    <row r="214" spans="1:1" x14ac:dyDescent="0.25">
      <c r="A214" s="159">
        <v>1811611577</v>
      </c>
    </row>
    <row r="215" spans="1:1" x14ac:dyDescent="0.25">
      <c r="A215" s="159">
        <v>1336142470</v>
      </c>
    </row>
    <row r="216" spans="1:1" x14ac:dyDescent="0.25">
      <c r="A216" s="159">
        <v>1811984925</v>
      </c>
    </row>
    <row r="217" spans="1:1" x14ac:dyDescent="0.25">
      <c r="A217" s="159">
        <v>1689621880</v>
      </c>
    </row>
    <row r="218" spans="1:1" x14ac:dyDescent="0.25">
      <c r="A218" s="159">
        <v>1932750841</v>
      </c>
    </row>
    <row r="219" spans="1:1" x14ac:dyDescent="0.25">
      <c r="A219" s="159">
        <v>1851836118</v>
      </c>
    </row>
    <row r="220" spans="1:1" x14ac:dyDescent="0.25">
      <c r="A220" s="159">
        <v>1598704504</v>
      </c>
    </row>
    <row r="221" spans="1:1" x14ac:dyDescent="0.25">
      <c r="A221" s="159">
        <v>1245227578</v>
      </c>
    </row>
    <row r="222" spans="1:1" x14ac:dyDescent="0.25">
      <c r="A222" s="159">
        <v>1427608959</v>
      </c>
    </row>
    <row r="223" spans="1:1" x14ac:dyDescent="0.25">
      <c r="A223" s="159">
        <v>1437564739</v>
      </c>
    </row>
    <row r="224" spans="1:1" x14ac:dyDescent="0.25">
      <c r="A224" s="159">
        <v>1548206907</v>
      </c>
    </row>
    <row r="225" spans="1:1" x14ac:dyDescent="0.25">
      <c r="A225" s="159">
        <v>1831551514</v>
      </c>
    </row>
    <row r="226" spans="1:1" x14ac:dyDescent="0.25">
      <c r="A226" s="159">
        <v>1295704849</v>
      </c>
    </row>
    <row r="227" spans="1:1" x14ac:dyDescent="0.25">
      <c r="A227" s="159">
        <v>1083298236</v>
      </c>
    </row>
    <row r="228" spans="1:1" x14ac:dyDescent="0.25">
      <c r="A228" s="159">
        <v>1538113014</v>
      </c>
    </row>
    <row r="229" spans="1:1" x14ac:dyDescent="0.25">
      <c r="A229" s="159">
        <v>1336193754</v>
      </c>
    </row>
    <row r="230" spans="1:1" x14ac:dyDescent="0.25">
      <c r="A230" s="159">
        <v>1326089616</v>
      </c>
    </row>
    <row r="231" spans="1:1" x14ac:dyDescent="0.25">
      <c r="A231" s="159">
        <v>1669425401</v>
      </c>
    </row>
    <row r="232" spans="1:1" x14ac:dyDescent="0.25">
      <c r="A232" s="159">
        <v>1861446338</v>
      </c>
    </row>
    <row r="233" spans="1:1" x14ac:dyDescent="0.25">
      <c r="A233" s="159">
        <v>1407800972</v>
      </c>
    </row>
    <row r="234" spans="1:1" x14ac:dyDescent="0.25">
      <c r="A234" s="159">
        <v>1861446270</v>
      </c>
    </row>
    <row r="235" spans="1:1" x14ac:dyDescent="0.25">
      <c r="A235" s="159">
        <v>1851941389</v>
      </c>
    </row>
    <row r="236" spans="1:1" x14ac:dyDescent="0.25">
      <c r="A236" s="159">
        <v>1295101673</v>
      </c>
    </row>
    <row r="237" spans="1:1" x14ac:dyDescent="0.25">
      <c r="A237" s="159">
        <v>1760415434</v>
      </c>
    </row>
    <row r="238" spans="1:1" x14ac:dyDescent="0.25">
      <c r="A238" s="159">
        <v>1629494059</v>
      </c>
    </row>
    <row r="239" spans="1:1" x14ac:dyDescent="0.25">
      <c r="A239" s="159">
        <v>1174149934</v>
      </c>
    </row>
    <row r="240" spans="1:1" x14ac:dyDescent="0.25">
      <c r="A240" s="159">
        <v>1467421024</v>
      </c>
    </row>
    <row r="241" spans="1:1" x14ac:dyDescent="0.25">
      <c r="A241" s="159">
        <v>1043865538</v>
      </c>
    </row>
    <row r="242" spans="1:1" x14ac:dyDescent="0.25">
      <c r="A242" s="159">
        <v>1215931977</v>
      </c>
    </row>
    <row r="243" spans="1:1" x14ac:dyDescent="0.25">
      <c r="A243" s="159">
        <v>1508864323</v>
      </c>
    </row>
    <row r="244" spans="1:1" x14ac:dyDescent="0.25">
      <c r="A244" s="159">
        <v>1427052067</v>
      </c>
    </row>
    <row r="245" spans="1:1" x14ac:dyDescent="0.25">
      <c r="A245" s="159">
        <v>1912902230</v>
      </c>
    </row>
    <row r="246" spans="1:1" x14ac:dyDescent="0.25">
      <c r="A246" s="159">
        <v>1447254149</v>
      </c>
    </row>
    <row r="247" spans="1:1" x14ac:dyDescent="0.25">
      <c r="A247" s="159">
        <v>1497058416</v>
      </c>
    </row>
    <row r="248" spans="1:1" x14ac:dyDescent="0.25">
      <c r="A248" s="159">
        <v>1407325103</v>
      </c>
    </row>
    <row r="249" spans="1:1" x14ac:dyDescent="0.25">
      <c r="A249" s="159">
        <v>1164725198</v>
      </c>
    </row>
    <row r="250" spans="1:1" x14ac:dyDescent="0.25">
      <c r="A250" s="159">
        <v>1528544145</v>
      </c>
    </row>
    <row r="251" spans="1:1" x14ac:dyDescent="0.25">
      <c r="A251" s="159">
        <v>1922747088</v>
      </c>
    </row>
    <row r="252" spans="1:1" x14ac:dyDescent="0.25">
      <c r="A252" s="159">
        <v>1023671765</v>
      </c>
    </row>
    <row r="253" spans="1:1" x14ac:dyDescent="0.25">
      <c r="A253" s="159">
        <v>1245737840</v>
      </c>
    </row>
    <row r="254" spans="1:1" x14ac:dyDescent="0.25">
      <c r="A254" s="159">
        <v>1720033475</v>
      </c>
    </row>
    <row r="255" spans="1:1" x14ac:dyDescent="0.25">
      <c r="A255" s="159">
        <v>1477641694</v>
      </c>
    </row>
    <row r="256" spans="1:1" x14ac:dyDescent="0.25">
      <c r="A256" s="159">
        <v>1548230188</v>
      </c>
    </row>
    <row r="257" spans="1:1" x14ac:dyDescent="0.25">
      <c r="A257" s="159">
        <v>1366529406</v>
      </c>
    </row>
    <row r="258" spans="1:1" x14ac:dyDescent="0.25">
      <c r="A258" s="159">
        <v>1699336776</v>
      </c>
    </row>
    <row r="259" spans="1:1" x14ac:dyDescent="0.25">
      <c r="A259" s="159">
        <v>1790317840</v>
      </c>
    </row>
    <row r="260" spans="1:1" x14ac:dyDescent="0.25">
      <c r="A260" s="159">
        <v>1831197714</v>
      </c>
    </row>
    <row r="261" spans="1:1" x14ac:dyDescent="0.25">
      <c r="A261" s="159">
        <v>1871063214</v>
      </c>
    </row>
    <row r="262" spans="1:1" x14ac:dyDescent="0.25">
      <c r="A262" s="159">
        <v>1952396509</v>
      </c>
    </row>
    <row r="263" spans="1:1" x14ac:dyDescent="0.25">
      <c r="A263" s="159">
        <v>1396754875</v>
      </c>
    </row>
    <row r="264" spans="1:1" x14ac:dyDescent="0.25">
      <c r="A264" s="159">
        <v>1922611102</v>
      </c>
    </row>
    <row r="265" spans="1:1" x14ac:dyDescent="0.25">
      <c r="A265" s="159">
        <v>1851348379</v>
      </c>
    </row>
    <row r="266" spans="1:1" x14ac:dyDescent="0.25">
      <c r="A266" s="159">
        <v>1477146959</v>
      </c>
    </row>
    <row r="267" spans="1:1" x14ac:dyDescent="0.25">
      <c r="A267" s="159">
        <v>1093754459</v>
      </c>
    </row>
    <row r="268" spans="1:1" x14ac:dyDescent="0.25">
      <c r="A268" s="159">
        <v>1548770423</v>
      </c>
    </row>
    <row r="269" spans="1:1" x14ac:dyDescent="0.25">
      <c r="A269" s="159">
        <v>1497996920</v>
      </c>
    </row>
    <row r="270" spans="1:1" x14ac:dyDescent="0.25">
      <c r="A270" s="159">
        <v>1578715504</v>
      </c>
    </row>
    <row r="271" spans="1:1" x14ac:dyDescent="0.25">
      <c r="A271" s="159">
        <v>1609124155</v>
      </c>
    </row>
    <row r="272" spans="1:1" x14ac:dyDescent="0.25">
      <c r="A272" s="159">
        <v>1780693663</v>
      </c>
    </row>
    <row r="273" spans="1:1" x14ac:dyDescent="0.25">
      <c r="A273" s="159">
        <v>1407966864</v>
      </c>
    </row>
    <row r="274" spans="1:1" x14ac:dyDescent="0.25">
      <c r="A274" s="159">
        <v>1144646274</v>
      </c>
    </row>
    <row r="275" spans="1:1" x14ac:dyDescent="0.25">
      <c r="A275" s="159">
        <v>1467007856</v>
      </c>
    </row>
    <row r="276" spans="1:1" x14ac:dyDescent="0.25">
      <c r="A276" s="159">
        <v>1841390002</v>
      </c>
    </row>
    <row r="277" spans="1:1" x14ac:dyDescent="0.25">
      <c r="A277" s="159">
        <v>1922456664</v>
      </c>
    </row>
    <row r="278" spans="1:1" x14ac:dyDescent="0.25">
      <c r="A278" s="159">
        <v>1073034138</v>
      </c>
    </row>
    <row r="279" spans="1:1" x14ac:dyDescent="0.25">
      <c r="A279" s="159">
        <v>1861003485</v>
      </c>
    </row>
    <row r="280" spans="1:1" x14ac:dyDescent="0.25">
      <c r="A280" s="159">
        <v>1720085293</v>
      </c>
    </row>
    <row r="281" spans="1:1" x14ac:dyDescent="0.25">
      <c r="A281" s="159">
        <v>1801428768</v>
      </c>
    </row>
    <row r="282" spans="1:1" x14ac:dyDescent="0.25">
      <c r="A282" s="159">
        <v>1548696834</v>
      </c>
    </row>
    <row r="283" spans="1:1" x14ac:dyDescent="0.25">
      <c r="A283" s="159">
        <v>1396161527</v>
      </c>
    </row>
    <row r="284" spans="1:1" x14ac:dyDescent="0.25">
      <c r="A284" s="159">
        <v>1043703945</v>
      </c>
    </row>
    <row r="285" spans="1:1" x14ac:dyDescent="0.25">
      <c r="A285" s="159">
        <v>1275823155</v>
      </c>
    </row>
    <row r="286" spans="1:1" x14ac:dyDescent="0.25">
      <c r="A286" s="159">
        <v>1134660103</v>
      </c>
    </row>
    <row r="287" spans="1:1" x14ac:dyDescent="0.25">
      <c r="A287" s="159">
        <v>1336565779</v>
      </c>
    </row>
    <row r="288" spans="1:1" x14ac:dyDescent="0.25">
      <c r="A288" s="159">
        <v>1770582363</v>
      </c>
    </row>
    <row r="289" spans="1:1" x14ac:dyDescent="0.25">
      <c r="A289" s="159">
        <v>1932889078</v>
      </c>
    </row>
    <row r="290" spans="1:1" x14ac:dyDescent="0.25">
      <c r="A290" s="159">
        <v>1306293170</v>
      </c>
    </row>
    <row r="291" spans="1:1" x14ac:dyDescent="0.25">
      <c r="A291" s="159">
        <v>1518968890</v>
      </c>
    </row>
    <row r="292" spans="1:1" x14ac:dyDescent="0.25">
      <c r="A292" s="159">
        <v>1033513320</v>
      </c>
    </row>
    <row r="293" spans="1:1" x14ac:dyDescent="0.25">
      <c r="A293" s="159">
        <v>1770149270</v>
      </c>
    </row>
    <row r="294" spans="1:1" x14ac:dyDescent="0.25">
      <c r="A294" s="159">
        <v>1104471531</v>
      </c>
    </row>
    <row r="295" spans="1:1" x14ac:dyDescent="0.25">
      <c r="A295" s="159">
        <v>1568454262</v>
      </c>
    </row>
    <row r="296" spans="1:1" x14ac:dyDescent="0.25">
      <c r="A296" s="159">
        <v>1811920267</v>
      </c>
    </row>
    <row r="297" spans="1:1" x14ac:dyDescent="0.25">
      <c r="A297" s="159">
        <v>1669023685</v>
      </c>
    </row>
    <row r="298" spans="1:1" x14ac:dyDescent="0.25">
      <c r="A298" s="159">
        <v>1053380626</v>
      </c>
    </row>
    <row r="299" spans="1:1" x14ac:dyDescent="0.25">
      <c r="A299" s="159">
        <v>1346241627</v>
      </c>
    </row>
    <row r="300" spans="1:1" x14ac:dyDescent="0.25">
      <c r="A300" s="159">
        <v>1740278126</v>
      </c>
    </row>
    <row r="301" spans="1:1" x14ac:dyDescent="0.25">
      <c r="A301" s="159">
        <v>1639630452</v>
      </c>
    </row>
    <row r="302" spans="1:1" x14ac:dyDescent="0.25">
      <c r="A302" s="159">
        <v>1740386473</v>
      </c>
    </row>
    <row r="303" spans="1:1" x14ac:dyDescent="0.25">
      <c r="A303" s="159">
        <v>1689628141</v>
      </c>
    </row>
    <row r="304" spans="1:1" x14ac:dyDescent="0.25">
      <c r="A304" s="159">
        <v>1063838381</v>
      </c>
    </row>
    <row r="305" spans="1:1" x14ac:dyDescent="0.25">
      <c r="A305" s="159">
        <v>1093708497</v>
      </c>
    </row>
    <row r="306" spans="1:1" x14ac:dyDescent="0.25">
      <c r="A306" s="159">
        <v>1295733517</v>
      </c>
    </row>
    <row r="307" spans="1:1" x14ac:dyDescent="0.25">
      <c r="A307" s="159">
        <v>1649268335</v>
      </c>
    </row>
    <row r="308" spans="1:1" x14ac:dyDescent="0.25">
      <c r="A308" s="159">
        <v>1417368143</v>
      </c>
    </row>
    <row r="309" spans="1:1" x14ac:dyDescent="0.25">
      <c r="A309" s="159">
        <v>1043263981</v>
      </c>
    </row>
    <row r="310" spans="1:1" x14ac:dyDescent="0.25">
      <c r="A310" s="159">
        <v>1710244827</v>
      </c>
    </row>
    <row r="311" spans="1:1" x14ac:dyDescent="0.25">
      <c r="A311" s="159">
        <v>1184712580</v>
      </c>
    </row>
    <row r="312" spans="1:1" x14ac:dyDescent="0.25">
      <c r="A312" s="159">
        <v>1407843097</v>
      </c>
    </row>
    <row r="313" spans="1:1" x14ac:dyDescent="0.25">
      <c r="A313" s="159">
        <v>1891346797</v>
      </c>
    </row>
    <row r="314" spans="1:1" x14ac:dyDescent="0.25">
      <c r="A314" s="159">
        <v>1891470332</v>
      </c>
    </row>
    <row r="315" spans="1:1" x14ac:dyDescent="0.25">
      <c r="A315" s="159">
        <v>1912683095</v>
      </c>
    </row>
    <row r="316" spans="1:1" x14ac:dyDescent="0.25">
      <c r="A316" s="159">
        <v>1497283899</v>
      </c>
    </row>
    <row r="317" spans="1:1" x14ac:dyDescent="0.25">
      <c r="A317" s="159">
        <v>1285687962</v>
      </c>
    </row>
    <row r="318" spans="1:1" x14ac:dyDescent="0.25">
      <c r="A318" s="159">
        <v>1649224056</v>
      </c>
    </row>
    <row r="319" spans="1:1" x14ac:dyDescent="0.25">
      <c r="A319" s="159">
        <v>1194779504</v>
      </c>
    </row>
    <row r="320" spans="1:1" x14ac:dyDescent="0.25">
      <c r="A320" s="159">
        <v>1003869983</v>
      </c>
    </row>
    <row r="321" spans="1:1" x14ac:dyDescent="0.25">
      <c r="A321" s="159">
        <v>1952354565</v>
      </c>
    </row>
    <row r="322" spans="1:1" x14ac:dyDescent="0.25">
      <c r="A322" s="159">
        <v>1821414269</v>
      </c>
    </row>
    <row r="323" spans="1:1" x14ac:dyDescent="0.25">
      <c r="A323" s="159">
        <v>1972261808</v>
      </c>
    </row>
    <row r="324" spans="1:1" x14ac:dyDescent="0.25">
      <c r="A324" s="159" t="s">
        <v>796</v>
      </c>
    </row>
    <row r="325" spans="1:1" x14ac:dyDescent="0.25">
      <c r="A325" s="159">
        <v>1225279755</v>
      </c>
    </row>
    <row r="326" spans="1:1" x14ac:dyDescent="0.25">
      <c r="A326" s="159">
        <v>1720166838</v>
      </c>
    </row>
    <row r="327" spans="1:1" x14ac:dyDescent="0.25">
      <c r="A327" s="159">
        <v>1023358991</v>
      </c>
    </row>
    <row r="328" spans="1:1" x14ac:dyDescent="0.25">
      <c r="A328" s="159">
        <v>1700833233</v>
      </c>
    </row>
    <row r="329" spans="1:1" x14ac:dyDescent="0.25">
      <c r="A329" s="159">
        <v>1215982525</v>
      </c>
    </row>
    <row r="330" spans="1:1" x14ac:dyDescent="0.25">
      <c r="A330" s="159">
        <v>1427003110</v>
      </c>
    </row>
    <row r="331" spans="1:1" x14ac:dyDescent="0.25">
      <c r="A331" s="159">
        <v>1598710949</v>
      </c>
    </row>
    <row r="332" spans="1:1" x14ac:dyDescent="0.25">
      <c r="A332" s="159">
        <v>1770538092</v>
      </c>
    </row>
    <row r="333" spans="1:1" x14ac:dyDescent="0.25">
      <c r="A333" s="159">
        <v>1871548487</v>
      </c>
    </row>
    <row r="334" spans="1:1" x14ac:dyDescent="0.25">
      <c r="A334" s="159">
        <v>1467407775</v>
      </c>
    </row>
    <row r="335" spans="1:1" x14ac:dyDescent="0.25">
      <c r="A335" s="159">
        <v>1881993079</v>
      </c>
    </row>
    <row r="336" spans="1:1" x14ac:dyDescent="0.25">
      <c r="A336" s="159">
        <v>1255379293</v>
      </c>
    </row>
    <row r="337" spans="1:1" x14ac:dyDescent="0.25">
      <c r="A337" s="159">
        <v>1881648350</v>
      </c>
    </row>
    <row r="338" spans="1:1" x14ac:dyDescent="0.25">
      <c r="A338" s="159">
        <v>1669410312</v>
      </c>
    </row>
    <row r="339" spans="1:1" x14ac:dyDescent="0.25">
      <c r="A339" s="159">
        <v>1184705048</v>
      </c>
    </row>
    <row r="340" spans="1:1" x14ac:dyDescent="0.25">
      <c r="A340" s="159">
        <v>1386187813</v>
      </c>
    </row>
    <row r="341" spans="1:1" x14ac:dyDescent="0.25">
      <c r="A341" s="159">
        <v>1669449799</v>
      </c>
    </row>
    <row r="342" spans="1:1" x14ac:dyDescent="0.25">
      <c r="A342" s="159">
        <v>1245285253</v>
      </c>
    </row>
    <row r="343" spans="1:1" x14ac:dyDescent="0.25">
      <c r="A343" s="159">
        <v>1124015458</v>
      </c>
    </row>
    <row r="344" spans="1:1" x14ac:dyDescent="0.25">
      <c r="A344" s="159">
        <v>1629047279</v>
      </c>
    </row>
    <row r="345" spans="1:1" x14ac:dyDescent="0.25">
      <c r="A345" s="159">
        <v>1144299702</v>
      </c>
    </row>
    <row r="346" spans="1:1" x14ac:dyDescent="0.25">
      <c r="A346" s="159">
        <v>1942279609</v>
      </c>
    </row>
    <row r="347" spans="1:1" x14ac:dyDescent="0.25">
      <c r="A347" s="159">
        <v>1114996758</v>
      </c>
    </row>
    <row r="348" spans="1:1" x14ac:dyDescent="0.25">
      <c r="A348" s="159">
        <v>1902875578</v>
      </c>
    </row>
    <row r="349" spans="1:1" x14ac:dyDescent="0.25">
      <c r="A349" s="159">
        <v>1689640583</v>
      </c>
    </row>
    <row r="350" spans="1:1" x14ac:dyDescent="0.25">
      <c r="A350" s="159">
        <v>1831125285</v>
      </c>
    </row>
    <row r="351" spans="1:1" x14ac:dyDescent="0.25">
      <c r="A351" s="159">
        <v>1629515499</v>
      </c>
    </row>
    <row r="352" spans="1:1" x14ac:dyDescent="0.25">
      <c r="A352" s="159">
        <v>1952766271</v>
      </c>
    </row>
    <row r="353" spans="1:1" x14ac:dyDescent="0.25">
      <c r="A353" s="159">
        <v>1659319366</v>
      </c>
    </row>
    <row r="354" spans="1:1" x14ac:dyDescent="0.25">
      <c r="A354" s="159">
        <v>1972050276</v>
      </c>
    </row>
    <row r="355" spans="1:1" x14ac:dyDescent="0.25">
      <c r="A355" s="159">
        <v>1154369841</v>
      </c>
    </row>
    <row r="356" spans="1:1" x14ac:dyDescent="0.25">
      <c r="A356" s="159">
        <v>1639153919</v>
      </c>
    </row>
    <row r="357" spans="1:1" x14ac:dyDescent="0.25">
      <c r="A357" s="159">
        <v>1043314602</v>
      </c>
    </row>
    <row r="358" spans="1:1" x14ac:dyDescent="0.25">
      <c r="A358" s="159">
        <v>1700821865</v>
      </c>
    </row>
    <row r="359" spans="1:1" x14ac:dyDescent="0.25">
      <c r="A359" s="159">
        <v>1902853781</v>
      </c>
    </row>
    <row r="360" spans="1:1" x14ac:dyDescent="0.25">
      <c r="A360" s="159">
        <v>1235264219</v>
      </c>
    </row>
    <row r="361" spans="1:1" x14ac:dyDescent="0.25">
      <c r="A361" s="159">
        <v>1366577355</v>
      </c>
    </row>
    <row r="362" spans="1:1" x14ac:dyDescent="0.25">
      <c r="A362" s="159">
        <v>1033244090</v>
      </c>
    </row>
    <row r="363" spans="1:1" x14ac:dyDescent="0.25">
      <c r="A363" s="159">
        <v>1699310839</v>
      </c>
    </row>
    <row r="364" spans="1:1" x14ac:dyDescent="0.25">
      <c r="A364" s="159">
        <v>1770618720</v>
      </c>
    </row>
    <row r="365" spans="1:1" x14ac:dyDescent="0.25">
      <c r="A365" s="159">
        <v>1356476311</v>
      </c>
    </row>
    <row r="366" spans="1:1" x14ac:dyDescent="0.25">
      <c r="A366" s="159">
        <v>1528606225</v>
      </c>
    </row>
    <row r="367" spans="1:1" x14ac:dyDescent="0.25">
      <c r="A367" s="159">
        <v>1669083291</v>
      </c>
    </row>
    <row r="368" spans="1:1" x14ac:dyDescent="0.25">
      <c r="A368" s="159">
        <v>1629425491</v>
      </c>
    </row>
    <row r="369" spans="1:1" x14ac:dyDescent="0.25">
      <c r="A369" s="159">
        <v>1629016340</v>
      </c>
    </row>
    <row r="370" spans="1:1" x14ac:dyDescent="0.25">
      <c r="A370" s="159">
        <v>1750703278</v>
      </c>
    </row>
    <row r="371" spans="1:1" x14ac:dyDescent="0.25">
      <c r="A371" s="159">
        <v>1215979059</v>
      </c>
    </row>
    <row r="372" spans="1:1" x14ac:dyDescent="0.25">
      <c r="A372" s="159">
        <v>1821551797</v>
      </c>
    </row>
    <row r="373" spans="1:1" x14ac:dyDescent="0.25">
      <c r="A373" s="159">
        <v>1992793962</v>
      </c>
    </row>
    <row r="374" spans="1:1" x14ac:dyDescent="0.25">
      <c r="A374" s="159">
        <v>1023481520</v>
      </c>
    </row>
    <row r="375" spans="1:1" x14ac:dyDescent="0.25">
      <c r="A375" s="159">
        <v>1174178313</v>
      </c>
    </row>
    <row r="376" spans="1:1" x14ac:dyDescent="0.25">
      <c r="A376" s="159">
        <v>1487060893</v>
      </c>
    </row>
    <row r="377" spans="1:1" x14ac:dyDescent="0.25">
      <c r="A377" s="159">
        <v>1629535455</v>
      </c>
    </row>
    <row r="378" spans="1:1" x14ac:dyDescent="0.25">
      <c r="A378" s="159">
        <v>1265441208</v>
      </c>
    </row>
    <row r="379" spans="1:1" x14ac:dyDescent="0.25">
      <c r="A379" s="159">
        <v>1710537998</v>
      </c>
    </row>
    <row r="380" spans="1:1" x14ac:dyDescent="0.25">
      <c r="A380" s="159">
        <v>1184196206</v>
      </c>
    </row>
    <row r="381" spans="1:1" x14ac:dyDescent="0.25">
      <c r="A381" s="159">
        <v>1104950765</v>
      </c>
    </row>
    <row r="382" spans="1:1" x14ac:dyDescent="0.25">
      <c r="A382" s="159">
        <v>1760462196</v>
      </c>
    </row>
    <row r="383" spans="1:1" x14ac:dyDescent="0.25">
      <c r="A383" s="159">
        <v>1134298615</v>
      </c>
    </row>
    <row r="384" spans="1:1" x14ac:dyDescent="0.25">
      <c r="A384" s="159">
        <v>1720088339</v>
      </c>
    </row>
    <row r="385" spans="1:1" x14ac:dyDescent="0.25">
      <c r="A385" s="159">
        <v>1326143504</v>
      </c>
    </row>
    <row r="386" spans="1:1" x14ac:dyDescent="0.25">
      <c r="A386" s="159">
        <v>1952486771</v>
      </c>
    </row>
    <row r="387" spans="1:1" x14ac:dyDescent="0.25">
      <c r="A387" s="159">
        <v>1932107547</v>
      </c>
    </row>
    <row r="388" spans="1:1" x14ac:dyDescent="0.25">
      <c r="A388" s="159">
        <v>1558391250</v>
      </c>
    </row>
    <row r="389" spans="1:1" x14ac:dyDescent="0.25">
      <c r="A389" s="159">
        <v>1538137468</v>
      </c>
    </row>
    <row r="390" spans="1:1" x14ac:dyDescent="0.25">
      <c r="A390" s="159">
        <v>1942583752</v>
      </c>
    </row>
    <row r="391" spans="1:1" x14ac:dyDescent="0.25">
      <c r="A391" s="159">
        <v>1376542878</v>
      </c>
    </row>
    <row r="392" spans="1:1" x14ac:dyDescent="0.25">
      <c r="A392" s="159">
        <v>1629511597</v>
      </c>
    </row>
    <row r="393" spans="1:1" x14ac:dyDescent="0.25">
      <c r="A393" s="159">
        <v>1053953844</v>
      </c>
    </row>
    <row r="394" spans="1:1" x14ac:dyDescent="0.25">
      <c r="A394" s="159">
        <v>1528040888</v>
      </c>
    </row>
    <row r="395" spans="1:1" x14ac:dyDescent="0.25">
      <c r="A395" s="159">
        <v>1225000888</v>
      </c>
    </row>
    <row r="396" spans="1:1" x14ac:dyDescent="0.25">
      <c r="A396" s="159">
        <v>1639556806</v>
      </c>
    </row>
  </sheetData>
  <autoFilter ref="A1:L1" xr:uid="{CB4E8955-E9A6-4EDB-98F4-65E538B96F0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79998168889431442"/>
    <pageSetUpPr fitToPage="1"/>
  </sheetPr>
  <dimension ref="A1:K14"/>
  <sheetViews>
    <sheetView workbookViewId="0"/>
  </sheetViews>
  <sheetFormatPr defaultRowHeight="13.2" x14ac:dyDescent="0.25"/>
  <cols>
    <col min="1" max="1" width="5.6640625" customWidth="1"/>
    <col min="2" max="2" width="24.44140625" bestFit="1" customWidth="1"/>
    <col min="8" max="8" width="8.88671875" customWidth="1"/>
    <col min="9" max="9" width="15" customWidth="1"/>
  </cols>
  <sheetData>
    <row r="1" spans="1:11" ht="22.8" x14ac:dyDescent="0.4">
      <c r="A1" s="6" t="s">
        <v>24</v>
      </c>
      <c r="B1" s="6"/>
      <c r="C1" s="6"/>
      <c r="D1" s="6"/>
      <c r="E1" s="6"/>
      <c r="F1" s="6"/>
      <c r="G1" s="6"/>
      <c r="H1" s="6"/>
      <c r="I1" s="6"/>
    </row>
    <row r="3" spans="1:11" ht="32.4" customHeight="1" x14ac:dyDescent="0.25">
      <c r="A3" s="228" t="s">
        <v>46</v>
      </c>
      <c r="B3" s="229"/>
      <c r="C3" s="229"/>
      <c r="D3" s="229"/>
      <c r="E3" s="229"/>
      <c r="F3" s="229"/>
      <c r="G3" s="229"/>
      <c r="H3" s="229"/>
      <c r="I3" s="229"/>
    </row>
    <row r="4" spans="1:11" ht="40.200000000000003" customHeight="1" x14ac:dyDescent="0.25">
      <c r="A4" s="228" t="s">
        <v>568</v>
      </c>
      <c r="B4" s="229"/>
      <c r="C4" s="229"/>
      <c r="D4" s="229"/>
      <c r="E4" s="229"/>
      <c r="F4" s="229"/>
      <c r="G4" s="229"/>
      <c r="H4" s="229"/>
      <c r="I4" s="229"/>
    </row>
    <row r="5" spans="1:11" ht="48" customHeight="1" x14ac:dyDescent="0.25">
      <c r="A5" s="228" t="s">
        <v>569</v>
      </c>
      <c r="B5" s="229"/>
      <c r="C5" s="229"/>
      <c r="D5" s="229"/>
      <c r="E5" s="229"/>
      <c r="F5" s="229"/>
      <c r="G5" s="229"/>
      <c r="H5" s="229"/>
      <c r="I5" s="229"/>
    </row>
    <row r="6" spans="1:11" ht="27.75" customHeight="1" x14ac:dyDescent="0.3">
      <c r="A6" s="8" t="s">
        <v>23</v>
      </c>
    </row>
    <row r="7" spans="1:11" ht="37.5" customHeight="1" x14ac:dyDescent="0.25">
      <c r="A7" s="244" t="s">
        <v>361</v>
      </c>
      <c r="B7" s="244"/>
      <c r="C7" s="244"/>
      <c r="D7" s="244"/>
      <c r="E7" s="244"/>
      <c r="F7" s="244"/>
      <c r="G7" s="244"/>
      <c r="H7" s="244"/>
      <c r="I7" s="244"/>
    </row>
    <row r="8" spans="1:11" ht="25.5" customHeight="1" x14ac:dyDescent="0.25">
      <c r="A8" s="5" t="s">
        <v>362</v>
      </c>
    </row>
    <row r="9" spans="1:11" ht="26.4" customHeight="1" x14ac:dyDescent="0.25">
      <c r="A9" s="229" t="s">
        <v>363</v>
      </c>
      <c r="B9" s="229"/>
      <c r="C9" s="229"/>
      <c r="D9" s="229"/>
      <c r="E9" s="229"/>
      <c r="F9" s="229"/>
      <c r="G9" s="229"/>
      <c r="H9" s="229"/>
      <c r="I9" s="229"/>
    </row>
    <row r="10" spans="1:11" ht="25.5" customHeight="1" x14ac:dyDescent="0.25">
      <c r="A10" s="31" t="s">
        <v>367</v>
      </c>
    </row>
    <row r="11" spans="1:11" x14ac:dyDescent="0.25">
      <c r="B11" s="243" t="s">
        <v>364</v>
      </c>
      <c r="C11" s="229"/>
      <c r="D11" s="229"/>
      <c r="E11" s="229"/>
      <c r="F11" s="229"/>
      <c r="G11" s="229"/>
      <c r="H11" s="229"/>
      <c r="I11" s="229"/>
    </row>
    <row r="12" spans="1:11" ht="26.4" customHeight="1" x14ac:dyDescent="0.25">
      <c r="B12" s="243" t="s">
        <v>365</v>
      </c>
      <c r="C12" s="229"/>
      <c r="D12" s="229"/>
      <c r="E12" s="229"/>
      <c r="F12" s="229"/>
      <c r="G12" s="229"/>
      <c r="H12" s="229"/>
      <c r="I12" s="229"/>
    </row>
    <row r="13" spans="1:11" ht="26.4" customHeight="1" x14ac:dyDescent="0.25">
      <c r="B13" s="243" t="s">
        <v>366</v>
      </c>
      <c r="C13" s="229"/>
      <c r="D13" s="229"/>
      <c r="E13" s="229"/>
      <c r="F13" s="229"/>
      <c r="G13" s="229"/>
      <c r="H13" s="229"/>
      <c r="I13" s="229"/>
      <c r="J13" s="75"/>
      <c r="K13" s="75"/>
    </row>
    <row r="14" spans="1:11" ht="26.4" customHeight="1" x14ac:dyDescent="0.25">
      <c r="B14" s="243" t="s">
        <v>570</v>
      </c>
      <c r="C14" s="229"/>
      <c r="D14" s="229"/>
      <c r="E14" s="229"/>
      <c r="F14" s="229"/>
      <c r="G14" s="229"/>
      <c r="H14" s="229"/>
      <c r="I14" s="229"/>
      <c r="J14" s="75"/>
      <c r="K14" s="75"/>
    </row>
  </sheetData>
  <sheetProtection algorithmName="SHA-512" hashValue="TbZbN/WzM41wJKtouDWA/8E10ZR7sWO9XMATWW/yEEgL/mQfw32paCB2adq46wt92SkE7DFbp9hYGOawtQ79/w==" saltValue="4EaYhjb0ZZZ0PQnuwbXzBg==" spinCount="100000" sheet="1" objects="1" scenarios="1"/>
  <mergeCells count="9">
    <mergeCell ref="B13:I13"/>
    <mergeCell ref="B14:I14"/>
    <mergeCell ref="B11:I11"/>
    <mergeCell ref="B12:I12"/>
    <mergeCell ref="A3:I3"/>
    <mergeCell ref="A4:I4"/>
    <mergeCell ref="A5:I5"/>
    <mergeCell ref="A7:I7"/>
    <mergeCell ref="A9:I9"/>
  </mergeCells>
  <phoneticPr fontId="6" type="noConversion"/>
  <pageMargins left="0.75" right="0.75" top="0.72" bottom="1" header="0.5" footer="0.5"/>
  <pageSetup scale="91"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79998168889431442"/>
    <pageSetUpPr fitToPage="1"/>
  </sheetPr>
  <dimension ref="A1:S84"/>
  <sheetViews>
    <sheetView topLeftCell="B1" zoomScaleNormal="100" workbookViewId="0">
      <selection activeCell="F3" sqref="F3"/>
    </sheetView>
  </sheetViews>
  <sheetFormatPr defaultRowHeight="13.2" x14ac:dyDescent="0.25"/>
  <cols>
    <col min="1" max="1" width="3.44140625" style="38" customWidth="1"/>
    <col min="2" max="2" width="41.109375" customWidth="1"/>
    <col min="3" max="3" width="17.77734375" bestFit="1" customWidth="1"/>
    <col min="4" max="4" width="18.6640625" customWidth="1"/>
    <col min="5" max="6" width="18.6640625" bestFit="1" customWidth="1"/>
    <col min="7" max="7" width="5.6640625" customWidth="1"/>
    <col min="8" max="8" width="51.44140625" customWidth="1"/>
    <col min="9" max="10" width="15.109375" bestFit="1" customWidth="1"/>
    <col min="11" max="11" width="11" bestFit="1" customWidth="1"/>
    <col min="12" max="12" width="13.6640625" bestFit="1" customWidth="1"/>
    <col min="16" max="16" width="13.6640625" bestFit="1" customWidth="1"/>
    <col min="17" max="17" width="11" bestFit="1" customWidth="1"/>
    <col min="18" max="18" width="11.6640625" bestFit="1" customWidth="1"/>
    <col min="19" max="19" width="7.6640625" bestFit="1" customWidth="1"/>
  </cols>
  <sheetData>
    <row r="1" spans="1:19" ht="39.6" x14ac:dyDescent="0.25">
      <c r="C1" s="74" t="s">
        <v>52</v>
      </c>
      <c r="D1" s="74" t="s">
        <v>53</v>
      </c>
      <c r="E1" s="47" t="s">
        <v>54</v>
      </c>
      <c r="F1" s="134" t="s">
        <v>55</v>
      </c>
      <c r="G1" s="62" t="s">
        <v>119</v>
      </c>
      <c r="H1" s="135" t="s">
        <v>557</v>
      </c>
    </row>
    <row r="2" spans="1:19" x14ac:dyDescent="0.25">
      <c r="B2" t="s">
        <v>56</v>
      </c>
      <c r="C2" s="69">
        <f>+'Rate Calculation'!B2</f>
        <v>0</v>
      </c>
      <c r="D2">
        <f t="shared" ref="D2:D7" si="0">+C2</f>
        <v>0</v>
      </c>
      <c r="E2">
        <f>+C2</f>
        <v>0</v>
      </c>
      <c r="F2">
        <f>+D2</f>
        <v>0</v>
      </c>
    </row>
    <row r="3" spans="1:19" x14ac:dyDescent="0.25">
      <c r="B3" s="31" t="s">
        <v>600</v>
      </c>
      <c r="C3" s="70" t="e">
        <f>VLOOKUP($C$2,'Lookup Info'!$A$1:$I$425,8,FALSE)</f>
        <v>#N/A</v>
      </c>
      <c r="D3" s="15" t="e">
        <f t="shared" si="0"/>
        <v>#N/A</v>
      </c>
      <c r="E3" s="15" t="e">
        <f>700*E7</f>
        <v>#N/A</v>
      </c>
      <c r="F3" s="60"/>
      <c r="G3" s="62" t="s">
        <v>119</v>
      </c>
      <c r="H3" s="242" t="e">
        <f>IF(C16&lt;700,IF(C15=C16,CONCATENATE("Number of Proposed Additional Nursing Square Feet, This facility is under the per bed sq ft floor.  ",ROUND(C12*(C15-C13),0)," sq ft would need to be added before the rate is impacted.  This # may not be accurate if you change the number of beds."),CONCATENATE("Adding ",ROUND(E3-C3,0)," square feet will reach the sq ft ceiling.")),"This facility is already at the square foot ceiling cap.  Adding square footage will not impact the FRV rate.")</f>
        <v>#N/A</v>
      </c>
      <c r="I3" s="37"/>
    </row>
    <row r="4" spans="1:19" x14ac:dyDescent="0.25">
      <c r="B4" s="31" t="s">
        <v>353</v>
      </c>
      <c r="C4" s="71" t="e">
        <f>VLOOKUP($C$2,'Lookup Info'!$A$1:$I$425,9,FALSE)</f>
        <v>#N/A</v>
      </c>
      <c r="D4" s="19" t="e">
        <f t="shared" si="0"/>
        <v>#N/A</v>
      </c>
      <c r="E4" s="15" t="e">
        <f>+E3/E7</f>
        <v>#N/A</v>
      </c>
      <c r="F4" s="73"/>
      <c r="G4" s="62"/>
      <c r="H4" s="242"/>
      <c r="I4" s="37"/>
    </row>
    <row r="5" spans="1:19" x14ac:dyDescent="0.25">
      <c r="B5" t="s">
        <v>17</v>
      </c>
      <c r="C5" s="70" t="e">
        <f>VLOOKUP($C$2,'Lookup Info'!$A$1:$D$425,4,FALSE)</f>
        <v>#N/A</v>
      </c>
      <c r="D5" s="15" t="e">
        <f t="shared" si="0"/>
        <v>#N/A</v>
      </c>
      <c r="E5" s="15" t="e">
        <f>+C5</f>
        <v>#N/A</v>
      </c>
      <c r="F5" s="15" t="e">
        <f t="shared" ref="F5:F6" si="1">+D5</f>
        <v>#N/A</v>
      </c>
      <c r="H5" s="242"/>
      <c r="I5" s="37"/>
    </row>
    <row r="6" spans="1:19" x14ac:dyDescent="0.25">
      <c r="B6" t="s">
        <v>20</v>
      </c>
      <c r="C6" s="69" t="e">
        <f>VLOOKUP(C2,'Lookup Info'!A2:E425,5,FALSE)</f>
        <v>#N/A</v>
      </c>
      <c r="D6" s="48" t="e">
        <f t="shared" si="0"/>
        <v>#N/A</v>
      </c>
      <c r="E6" s="48" t="e">
        <f>+C6</f>
        <v>#N/A</v>
      </c>
      <c r="F6" s="48" t="e">
        <f t="shared" si="1"/>
        <v>#N/A</v>
      </c>
      <c r="H6" s="242"/>
    </row>
    <row r="7" spans="1:19" x14ac:dyDescent="0.25">
      <c r="B7" t="s">
        <v>57</v>
      </c>
      <c r="C7" s="69" t="e">
        <f>VLOOKUP(C2,'Lookup Info'!A2:F425,6,FALSE)</f>
        <v>#N/A</v>
      </c>
      <c r="D7" s="15" t="e">
        <f t="shared" si="0"/>
        <v>#N/A</v>
      </c>
      <c r="E7" s="15" t="e">
        <f>+C7</f>
        <v>#N/A</v>
      </c>
      <c r="F7" s="197"/>
      <c r="G7" s="62" t="s">
        <v>119</v>
      </c>
      <c r="H7" s="196" t="s">
        <v>761</v>
      </c>
      <c r="I7" s="49"/>
    </row>
    <row r="8" spans="1:19" x14ac:dyDescent="0.25">
      <c r="F8" s="61">
        <v>0</v>
      </c>
      <c r="G8" s="62" t="s">
        <v>119</v>
      </c>
      <c r="H8" s="244" t="e">
        <f>CONCATENATE("Cost of Proposed Renovation, a renovation costing approximately $",E68," will make this facility brand new.")</f>
        <v>#N/A</v>
      </c>
      <c r="I8" s="37"/>
    </row>
    <row r="9" spans="1:19" ht="14.4" x14ac:dyDescent="0.3">
      <c r="B9" s="50" t="s">
        <v>58</v>
      </c>
      <c r="H9" s="244"/>
      <c r="I9" s="37"/>
      <c r="P9" s="37"/>
    </row>
    <row r="10" spans="1:19" x14ac:dyDescent="0.25">
      <c r="A10" s="38" t="s">
        <v>37</v>
      </c>
      <c r="B10" t="s">
        <v>21</v>
      </c>
      <c r="C10" s="145">
        <f>+'RSMeans Factors'!O8</f>
        <v>276.7</v>
      </c>
      <c r="D10" s="145">
        <f>+C10</f>
        <v>276.7</v>
      </c>
      <c r="E10" s="145">
        <f>+D10</f>
        <v>276.7</v>
      </c>
      <c r="F10" s="145">
        <f>+E10</f>
        <v>276.7</v>
      </c>
      <c r="G10" s="21"/>
      <c r="H10" s="244"/>
      <c r="I10" s="226">
        <f>+C10/J10-1</f>
        <v>8.031077968219269E-2</v>
      </c>
      <c r="J10">
        <v>256.13</v>
      </c>
      <c r="L10" s="37"/>
      <c r="P10" s="7"/>
      <c r="R10" s="37"/>
    </row>
    <row r="11" spans="1:19" x14ac:dyDescent="0.25">
      <c r="A11" s="38" t="s">
        <v>38</v>
      </c>
      <c r="B11" s="31" t="s">
        <v>601</v>
      </c>
      <c r="C11" s="3" t="e">
        <f>+C3</f>
        <v>#N/A</v>
      </c>
      <c r="D11" s="3" t="e">
        <f>+D3</f>
        <v>#N/A</v>
      </c>
      <c r="E11" s="3" t="e">
        <f>+E3</f>
        <v>#N/A</v>
      </c>
      <c r="F11" s="3" t="e">
        <f>+F3+C3</f>
        <v>#N/A</v>
      </c>
      <c r="G11" s="21"/>
      <c r="I11" s="226" t="e">
        <f>+C11/J11-1</f>
        <v>#N/A</v>
      </c>
      <c r="J11" s="37">
        <v>66398</v>
      </c>
      <c r="L11" s="37"/>
      <c r="M11" s="37"/>
      <c r="P11" s="37"/>
      <c r="R11" s="37"/>
      <c r="S11" s="37"/>
    </row>
    <row r="12" spans="1:19" x14ac:dyDescent="0.25">
      <c r="A12" s="38" t="s">
        <v>39</v>
      </c>
      <c r="B12" s="31" t="s">
        <v>57</v>
      </c>
      <c r="C12" s="3" t="e">
        <f>+C7</f>
        <v>#N/A</v>
      </c>
      <c r="D12" s="3" t="e">
        <f>+D7</f>
        <v>#N/A</v>
      </c>
      <c r="E12" s="3" t="e">
        <f>+E7</f>
        <v>#N/A</v>
      </c>
      <c r="F12" s="3">
        <f>+F7</f>
        <v>0</v>
      </c>
      <c r="G12" s="3"/>
      <c r="H12" s="7"/>
      <c r="I12" s="226" t="e">
        <f>+C12/J12-1</f>
        <v>#N/A</v>
      </c>
      <c r="J12" s="37">
        <v>100</v>
      </c>
      <c r="L12" s="37"/>
      <c r="M12" s="37"/>
      <c r="P12" s="37"/>
      <c r="R12" s="37"/>
      <c r="S12" s="37"/>
    </row>
    <row r="13" spans="1:19" x14ac:dyDescent="0.25">
      <c r="A13" s="38" t="s">
        <v>40</v>
      </c>
      <c r="B13" t="s">
        <v>59</v>
      </c>
      <c r="C13" s="19" t="e">
        <f>+C11/C7</f>
        <v>#N/A</v>
      </c>
      <c r="D13" s="4" t="e">
        <f>+D11/D7</f>
        <v>#N/A</v>
      </c>
      <c r="E13" s="3" t="e">
        <f>+E11/E7</f>
        <v>#N/A</v>
      </c>
      <c r="F13" s="3" t="e">
        <f>+F11/F7</f>
        <v>#N/A</v>
      </c>
      <c r="G13" s="4"/>
      <c r="H13" s="4"/>
      <c r="I13" s="226" t="e">
        <f>+C13/J13-1</f>
        <v>#N/A</v>
      </c>
      <c r="J13" s="37">
        <v>663.98</v>
      </c>
      <c r="L13" s="37"/>
      <c r="M13" s="37"/>
      <c r="P13" s="37"/>
      <c r="R13" s="37"/>
      <c r="S13" s="37"/>
    </row>
    <row r="14" spans="1:19" ht="14.4" x14ac:dyDescent="0.3">
      <c r="A14" s="38" t="s">
        <v>41</v>
      </c>
      <c r="B14" t="s">
        <v>60</v>
      </c>
      <c r="C14" s="70" t="e">
        <f>VLOOKUP(C2,'Lookup Info'!A2:G425,7,FALSE)</f>
        <v>#N/A</v>
      </c>
      <c r="D14" s="51">
        <v>1</v>
      </c>
      <c r="E14" s="51">
        <v>1</v>
      </c>
      <c r="F14" s="51" t="e">
        <f>+C71</f>
        <v>#N/A</v>
      </c>
      <c r="G14" s="144"/>
      <c r="H14" s="4"/>
      <c r="I14" s="37"/>
      <c r="J14">
        <v>8</v>
      </c>
      <c r="L14" s="37"/>
      <c r="M14" s="37"/>
      <c r="P14" s="37"/>
      <c r="R14" s="37"/>
      <c r="S14" s="37"/>
    </row>
    <row r="15" spans="1:19" x14ac:dyDescent="0.25">
      <c r="A15" s="38" t="s">
        <v>42</v>
      </c>
      <c r="B15" t="s">
        <v>61</v>
      </c>
      <c r="C15" s="45" t="e">
        <f>VLOOKUP(C14,'RSMeans Factors'!$N$2:$O$6,2)</f>
        <v>#N/A</v>
      </c>
      <c r="D15" s="45">
        <f>VLOOKUP(D14,'RSMeans Factors'!$N$2:$O$6,2)</f>
        <v>425</v>
      </c>
      <c r="E15" s="45">
        <f>VLOOKUP(E14,'RSMeans Factors'!$N$2:$O$6,2)</f>
        <v>425</v>
      </c>
      <c r="F15" s="45" t="e">
        <f>VLOOKUP(F14,'RSMeans Factors'!$N$2:$O$6,2)</f>
        <v>#N/A</v>
      </c>
      <c r="H15" s="144"/>
      <c r="I15" s="226" t="e">
        <f>+C15/J15-1</f>
        <v>#N/A</v>
      </c>
      <c r="J15" s="49">
        <v>425</v>
      </c>
      <c r="L15" s="37"/>
      <c r="M15" s="37"/>
      <c r="P15" s="37"/>
      <c r="R15" s="37"/>
      <c r="S15" s="37"/>
    </row>
    <row r="16" spans="1:19" x14ac:dyDescent="0.25">
      <c r="A16" s="38" t="s">
        <v>43</v>
      </c>
      <c r="B16" t="s">
        <v>62</v>
      </c>
      <c r="C16" s="3" t="e">
        <f>MAX(MIN(700,C13),C15)</f>
        <v>#N/A</v>
      </c>
      <c r="D16" s="3" t="e">
        <f>MAX(MIN(700,D13),D15)</f>
        <v>#N/A</v>
      </c>
      <c r="E16" s="3" t="e">
        <f>MAX(MIN(700,E13),E15)</f>
        <v>#N/A</v>
      </c>
      <c r="F16" s="3" t="e">
        <f>MAX(MIN(700,F13),F15)</f>
        <v>#N/A</v>
      </c>
      <c r="H16" s="4"/>
      <c r="I16" s="226" t="e">
        <f>+C16/J16-1</f>
        <v>#N/A</v>
      </c>
      <c r="J16" s="37">
        <v>663.98</v>
      </c>
      <c r="L16" s="37"/>
      <c r="M16" s="37"/>
      <c r="P16" s="37"/>
      <c r="R16" s="37"/>
      <c r="S16" s="37"/>
    </row>
    <row r="17" spans="1:19" x14ac:dyDescent="0.25">
      <c r="A17" s="38" t="s">
        <v>44</v>
      </c>
      <c r="B17" s="31" t="s">
        <v>63</v>
      </c>
      <c r="C17" s="7" t="e">
        <f>VLOOKUP(VALUE(LEFT(C6,3)),'RSMeans Factors'!$A$3:$C$22,3,FALSE)</f>
        <v>#N/A</v>
      </c>
      <c r="D17" s="7" t="e">
        <f>VLOOKUP(VALUE(LEFT(D6,3)),'RSMeans Factors'!$A$3:$C$22,3,FALSE)</f>
        <v>#N/A</v>
      </c>
      <c r="E17" s="7" t="e">
        <f>VLOOKUP(VALUE(LEFT(E6,3)),'RSMeans Factors'!$A$3:$C$22,3,FALSE)</f>
        <v>#N/A</v>
      </c>
      <c r="F17" s="7" t="e">
        <f>VLOOKUP(VALUE(LEFT(F6,3)),'RSMeans Factors'!$A$3:$C$22,3,FALSE)</f>
        <v>#N/A</v>
      </c>
      <c r="I17" s="226" t="e">
        <f>+C17/J17-1</f>
        <v>#N/A</v>
      </c>
      <c r="J17" s="37">
        <v>0.86</v>
      </c>
      <c r="L17" s="37"/>
      <c r="M17" s="37"/>
      <c r="P17" s="37"/>
      <c r="R17" s="37"/>
      <c r="S17" s="37"/>
    </row>
    <row r="18" spans="1:19" x14ac:dyDescent="0.25">
      <c r="A18" s="38" t="s">
        <v>45</v>
      </c>
      <c r="B18" t="s">
        <v>64</v>
      </c>
      <c r="C18" s="52" t="e">
        <f>+C17*C16*C7*C10</f>
        <v>#N/A</v>
      </c>
      <c r="D18" s="52" t="e">
        <f>+D17*D16*D7*D10</f>
        <v>#N/A</v>
      </c>
      <c r="E18" s="52" t="e">
        <f>+E17*E16*E7*E10</f>
        <v>#N/A</v>
      </c>
      <c r="F18" s="52" t="e">
        <f>+F17*F16*F7*F10</f>
        <v>#N/A</v>
      </c>
      <c r="I18" s="226" t="e">
        <f>+C18/J18-1</f>
        <v>#N/A</v>
      </c>
      <c r="J18" s="7">
        <v>14625606.976399999</v>
      </c>
      <c r="L18" s="37"/>
      <c r="M18" s="37"/>
      <c r="P18" s="37"/>
      <c r="R18" s="37"/>
      <c r="S18" s="37"/>
    </row>
    <row r="19" spans="1:19" x14ac:dyDescent="0.25">
      <c r="J19" s="37"/>
      <c r="L19" s="37"/>
      <c r="M19" s="37"/>
      <c r="P19" s="37"/>
      <c r="R19" s="37"/>
      <c r="S19" s="37"/>
    </row>
    <row r="20" spans="1:19" ht="14.4" x14ac:dyDescent="0.3">
      <c r="B20" s="50" t="s">
        <v>65</v>
      </c>
      <c r="J20" s="37"/>
      <c r="L20" s="37"/>
      <c r="M20" s="37"/>
      <c r="P20" s="37"/>
      <c r="R20" s="37"/>
      <c r="S20" s="37"/>
    </row>
    <row r="21" spans="1:19" x14ac:dyDescent="0.25">
      <c r="A21" s="38" t="s">
        <v>66</v>
      </c>
      <c r="B21" t="s">
        <v>19</v>
      </c>
      <c r="C21" s="42">
        <v>0.15</v>
      </c>
      <c r="D21" s="42">
        <v>0.15</v>
      </c>
      <c r="E21" s="42">
        <v>0.15</v>
      </c>
      <c r="F21" s="42">
        <v>0.15</v>
      </c>
      <c r="J21" s="37">
        <v>0.15</v>
      </c>
      <c r="L21" s="37"/>
      <c r="M21" s="37"/>
      <c r="P21" s="37"/>
      <c r="R21" s="37"/>
      <c r="S21" s="37"/>
    </row>
    <row r="22" spans="1:19" x14ac:dyDescent="0.25">
      <c r="A22" s="38" t="s">
        <v>67</v>
      </c>
      <c r="B22" t="s">
        <v>68</v>
      </c>
      <c r="C22" s="53" t="e">
        <f>+C21*C18</f>
        <v>#N/A</v>
      </c>
      <c r="D22" s="53" t="e">
        <f>+D21*D18</f>
        <v>#N/A</v>
      </c>
      <c r="E22" s="53" t="e">
        <f>+E21*E18</f>
        <v>#N/A</v>
      </c>
      <c r="F22" s="53" t="e">
        <f>+F21*F18</f>
        <v>#N/A</v>
      </c>
      <c r="I22" s="226" t="e">
        <f>+C22/J22-1</f>
        <v>#N/A</v>
      </c>
      <c r="J22" s="37">
        <v>2193841.0464599999</v>
      </c>
    </row>
    <row r="23" spans="1:19" x14ac:dyDescent="0.25">
      <c r="J23" s="37"/>
    </row>
    <row r="24" spans="1:19" ht="14.4" x14ac:dyDescent="0.3">
      <c r="B24" s="50" t="s">
        <v>69</v>
      </c>
      <c r="J24" s="37"/>
      <c r="L24" s="37"/>
    </row>
    <row r="25" spans="1:19" x14ac:dyDescent="0.25">
      <c r="A25" s="38" t="s">
        <v>70</v>
      </c>
      <c r="B25" t="s">
        <v>71</v>
      </c>
      <c r="C25" s="52">
        <v>9000</v>
      </c>
      <c r="D25" s="52">
        <v>9000</v>
      </c>
      <c r="E25" s="52">
        <v>9000</v>
      </c>
      <c r="F25" s="52">
        <v>9000</v>
      </c>
      <c r="J25" s="37">
        <v>9000</v>
      </c>
      <c r="L25" s="37"/>
    </row>
    <row r="26" spans="1:19" x14ac:dyDescent="0.25">
      <c r="A26" s="38" t="s">
        <v>72</v>
      </c>
      <c r="B26" t="s">
        <v>73</v>
      </c>
      <c r="C26" s="52" t="e">
        <f>+C25*C12</f>
        <v>#N/A</v>
      </c>
      <c r="D26" s="52" t="e">
        <f>+D25*D12</f>
        <v>#N/A</v>
      </c>
      <c r="E26" s="52" t="e">
        <f>+E25*E12</f>
        <v>#N/A</v>
      </c>
      <c r="F26" s="52">
        <f>+F25*F12</f>
        <v>0</v>
      </c>
      <c r="J26" s="37">
        <v>900000</v>
      </c>
      <c r="L26" s="37"/>
    </row>
    <row r="27" spans="1:19" x14ac:dyDescent="0.25">
      <c r="J27" s="37"/>
      <c r="L27" s="37"/>
    </row>
    <row r="28" spans="1:19" ht="14.4" x14ac:dyDescent="0.3">
      <c r="B28" s="50" t="s">
        <v>74</v>
      </c>
      <c r="J28" s="37"/>
      <c r="L28" s="37"/>
    </row>
    <row r="29" spans="1:19" x14ac:dyDescent="0.25">
      <c r="A29" s="38" t="s">
        <v>75</v>
      </c>
      <c r="B29" t="s">
        <v>76</v>
      </c>
      <c r="C29" s="53" t="e">
        <f>+C18+C26</f>
        <v>#N/A</v>
      </c>
      <c r="D29" s="53" t="e">
        <f>+D18+D26</f>
        <v>#N/A</v>
      </c>
      <c r="E29" s="53" t="e">
        <f>+E18+E26</f>
        <v>#N/A</v>
      </c>
      <c r="F29" s="53" t="e">
        <f>+F18+F26</f>
        <v>#N/A</v>
      </c>
      <c r="I29" s="226" t="e">
        <f>+C29/J29-1</f>
        <v>#N/A</v>
      </c>
      <c r="J29" s="37">
        <v>15525606.976399999</v>
      </c>
      <c r="L29" s="37"/>
    </row>
    <row r="30" spans="1:19" x14ac:dyDescent="0.25">
      <c r="A30" s="38" t="s">
        <v>77</v>
      </c>
      <c r="B30" t="s">
        <v>78</v>
      </c>
      <c r="C30" s="7" t="e">
        <f>+C14</f>
        <v>#N/A</v>
      </c>
      <c r="D30" s="7">
        <f>+D14</f>
        <v>1</v>
      </c>
      <c r="E30" s="7">
        <f>+E14</f>
        <v>1</v>
      </c>
      <c r="F30" s="7" t="e">
        <f>+F14</f>
        <v>#N/A</v>
      </c>
      <c r="J30">
        <v>8</v>
      </c>
      <c r="L30" s="37"/>
    </row>
    <row r="31" spans="1:19" x14ac:dyDescent="0.25">
      <c r="A31" s="38" t="s">
        <v>79</v>
      </c>
      <c r="B31" t="s">
        <v>80</v>
      </c>
      <c r="C31" s="42">
        <v>0.02</v>
      </c>
      <c r="D31" s="42">
        <v>0.02</v>
      </c>
      <c r="E31" s="42">
        <v>0.02</v>
      </c>
      <c r="F31" s="42">
        <v>0.02</v>
      </c>
      <c r="J31" s="37">
        <v>0.02</v>
      </c>
      <c r="L31" s="37"/>
    </row>
    <row r="32" spans="1:19" x14ac:dyDescent="0.25">
      <c r="A32" s="38" t="s">
        <v>81</v>
      </c>
      <c r="B32" t="s">
        <v>82</v>
      </c>
      <c r="C32" s="52" t="e">
        <f>+C29*C30*C31</f>
        <v>#N/A</v>
      </c>
      <c r="D32" s="52" t="e">
        <f>+D29*D30*D31</f>
        <v>#N/A</v>
      </c>
      <c r="E32" s="52" t="e">
        <f>+E29*E30*E31</f>
        <v>#N/A</v>
      </c>
      <c r="F32" s="52" t="e">
        <f>+F29*F30*F31</f>
        <v>#N/A</v>
      </c>
      <c r="I32" s="226" t="e">
        <f>+C32/J32-1</f>
        <v>#N/A</v>
      </c>
      <c r="J32" s="7">
        <v>2484097.1162239998</v>
      </c>
      <c r="L32" s="37"/>
    </row>
    <row r="33" spans="1:18" x14ac:dyDescent="0.25">
      <c r="A33" s="38" t="s">
        <v>83</v>
      </c>
      <c r="B33" t="s">
        <v>84</v>
      </c>
      <c r="C33" s="53" t="e">
        <f>+C29-C32</f>
        <v>#N/A</v>
      </c>
      <c r="D33" s="53" t="e">
        <f>+D29-D32</f>
        <v>#N/A</v>
      </c>
      <c r="E33" s="53" t="e">
        <f>+E29-E32</f>
        <v>#N/A</v>
      </c>
      <c r="F33" s="53" t="e">
        <f>+F29-F32</f>
        <v>#N/A</v>
      </c>
      <c r="I33" s="226" t="e">
        <f>+C33/J33-1</f>
        <v>#N/A</v>
      </c>
      <c r="J33" s="37">
        <v>13041509.860175999</v>
      </c>
      <c r="L33" s="37"/>
    </row>
    <row r="34" spans="1:18" x14ac:dyDescent="0.25">
      <c r="A34" s="38" t="s">
        <v>85</v>
      </c>
      <c r="B34" t="s">
        <v>86</v>
      </c>
      <c r="C34" s="53" t="e">
        <f>+C33+C22</f>
        <v>#N/A</v>
      </c>
      <c r="D34" s="53" t="e">
        <f>+D33+D22</f>
        <v>#N/A</v>
      </c>
      <c r="E34" s="53" t="e">
        <f>+E33+E22</f>
        <v>#N/A</v>
      </c>
      <c r="F34" s="53" t="e">
        <f>+F33+F22</f>
        <v>#N/A</v>
      </c>
      <c r="I34" s="226" t="e">
        <f>+C34/J34-1</f>
        <v>#N/A</v>
      </c>
      <c r="J34" s="37">
        <v>15235350.906636</v>
      </c>
    </row>
    <row r="35" spans="1:18" x14ac:dyDescent="0.25">
      <c r="J35" s="37"/>
    </row>
    <row r="36" spans="1:18" ht="14.4" x14ac:dyDescent="0.3">
      <c r="B36" s="50" t="s">
        <v>87</v>
      </c>
      <c r="J36" s="37"/>
    </row>
    <row r="37" spans="1:18" x14ac:dyDescent="0.25">
      <c r="A37" s="38" t="s">
        <v>88</v>
      </c>
      <c r="B37" t="s">
        <v>89</v>
      </c>
      <c r="C37" s="43">
        <v>7.4999999999999997E-2</v>
      </c>
      <c r="D37" s="43">
        <v>7.4999999999999997E-2</v>
      </c>
      <c r="E37" s="43">
        <v>7.4999999999999997E-2</v>
      </c>
      <c r="F37" s="43">
        <v>7.4999999999999997E-2</v>
      </c>
      <c r="J37" s="37">
        <v>7.4999999999999997E-2</v>
      </c>
    </row>
    <row r="38" spans="1:18" x14ac:dyDescent="0.25">
      <c r="A38" s="38" t="s">
        <v>90</v>
      </c>
      <c r="B38" t="s">
        <v>91</v>
      </c>
      <c r="C38" s="52" t="e">
        <f>+C34*C37</f>
        <v>#N/A</v>
      </c>
      <c r="D38" s="52" t="e">
        <f>+D34*D37</f>
        <v>#N/A</v>
      </c>
      <c r="E38" s="52" t="e">
        <f>+E34*E37</f>
        <v>#N/A</v>
      </c>
      <c r="F38" s="52" t="e">
        <f>+F34*F37</f>
        <v>#N/A</v>
      </c>
      <c r="I38" s="226" t="e">
        <f>+C38/J38-1</f>
        <v>#N/A</v>
      </c>
      <c r="J38" s="37">
        <v>1142651.3179976998</v>
      </c>
    </row>
    <row r="39" spans="1:18" x14ac:dyDescent="0.25">
      <c r="A39" s="38" t="s">
        <v>92</v>
      </c>
      <c r="B39" t="s">
        <v>17</v>
      </c>
      <c r="C39" s="45" t="e">
        <f>+C5</f>
        <v>#N/A</v>
      </c>
      <c r="D39" s="45" t="e">
        <f>+D5</f>
        <v>#N/A</v>
      </c>
      <c r="E39" s="45" t="e">
        <f>+E5</f>
        <v>#N/A</v>
      </c>
      <c r="F39" s="198" t="e">
        <f>MIN(F5,I40)</f>
        <v>#N/A</v>
      </c>
      <c r="G39" s="199" t="s">
        <v>764</v>
      </c>
      <c r="H39" s="200" t="s">
        <v>765</v>
      </c>
      <c r="I39" s="201"/>
      <c r="J39" s="37">
        <v>31204</v>
      </c>
    </row>
    <row r="40" spans="1:18" x14ac:dyDescent="0.25">
      <c r="A40" s="38" t="s">
        <v>93</v>
      </c>
      <c r="B40" s="31" t="s">
        <v>803</v>
      </c>
      <c r="C40" s="45" t="e">
        <f>+C12*366*0.85</f>
        <v>#N/A</v>
      </c>
      <c r="D40" s="45" t="e">
        <f>+D12*366*0.85</f>
        <v>#N/A</v>
      </c>
      <c r="E40" s="45" t="e">
        <f>+E12*366*0.85</f>
        <v>#N/A</v>
      </c>
      <c r="F40" s="45">
        <f>+F12*366*0.85</f>
        <v>0</v>
      </c>
      <c r="G40" s="201"/>
      <c r="H40" s="200" t="s">
        <v>766</v>
      </c>
      <c r="I40" s="198">
        <f>+F7*365</f>
        <v>0</v>
      </c>
      <c r="J40" s="37">
        <v>31025</v>
      </c>
      <c r="L40" s="37"/>
    </row>
    <row r="41" spans="1:18" x14ac:dyDescent="0.25">
      <c r="A41" s="38" t="s">
        <v>94</v>
      </c>
      <c r="B41" s="31" t="s">
        <v>763</v>
      </c>
      <c r="C41" s="3" t="e">
        <f>MAX(C40,C39)</f>
        <v>#N/A</v>
      </c>
      <c r="D41" s="3" t="e">
        <f>MAX(D40,D39)</f>
        <v>#N/A</v>
      </c>
      <c r="E41" s="3" t="e">
        <f>MAX(E40,E39)</f>
        <v>#N/A</v>
      </c>
      <c r="F41" s="3" t="e">
        <f>MAX(F40,F39)</f>
        <v>#N/A</v>
      </c>
      <c r="J41" s="37">
        <v>31204</v>
      </c>
      <c r="L41" s="7"/>
      <c r="N41" s="37"/>
      <c r="P41" s="37"/>
      <c r="R41" s="37"/>
    </row>
    <row r="42" spans="1:18" ht="15" thickBot="1" x14ac:dyDescent="0.35">
      <c r="A42" s="38" t="s">
        <v>95</v>
      </c>
      <c r="B42" t="s">
        <v>96</v>
      </c>
      <c r="C42" s="54" t="e">
        <f>IF(C30&lt;34.5,ROUND(C38/C41,2),MIN(C38/C41,VLOOKUP(C2,'Lookup Info'!A1:M399,13,FALSE)+1))</f>
        <v>#N/A</v>
      </c>
      <c r="D42" s="54" t="e">
        <f>+D38/D41</f>
        <v>#N/A</v>
      </c>
      <c r="E42" s="54" t="e">
        <f>+E38/E41</f>
        <v>#N/A</v>
      </c>
      <c r="F42" s="54" t="e">
        <f>MAX(F38/F41,C42)</f>
        <v>#N/A</v>
      </c>
      <c r="G42" s="246" t="e">
        <f>IF(C30=34.5,"&lt;- The current year FRV rate can be no higher than the previous year FRV rate for facilities at our beyond the maximum age.","")</f>
        <v>#N/A</v>
      </c>
      <c r="H42" s="229"/>
      <c r="I42" s="229"/>
      <c r="J42">
        <v>36.619999999999997</v>
      </c>
      <c r="L42" s="52"/>
      <c r="N42" s="37"/>
      <c r="P42" s="37"/>
      <c r="R42" s="37"/>
    </row>
    <row r="43" spans="1:18" ht="13.8" thickTop="1" x14ac:dyDescent="0.25">
      <c r="G43" s="229"/>
      <c r="H43" s="229"/>
      <c r="I43" s="229"/>
      <c r="J43" s="226" t="e">
        <f>+C42/J42-1</f>
        <v>#N/A</v>
      </c>
      <c r="L43" s="52"/>
      <c r="N43" s="37"/>
      <c r="P43" s="37"/>
      <c r="R43" s="37"/>
    </row>
    <row r="44" spans="1:18" x14ac:dyDescent="0.25">
      <c r="C44" s="4"/>
      <c r="G44" s="40"/>
      <c r="H44" s="40"/>
      <c r="I44" s="40"/>
      <c r="L44" s="52"/>
      <c r="N44" s="37"/>
      <c r="P44" s="37"/>
      <c r="R44" s="37"/>
    </row>
    <row r="45" spans="1:18" x14ac:dyDescent="0.25">
      <c r="C45" s="21"/>
      <c r="G45" s="40"/>
      <c r="H45" s="40"/>
      <c r="I45" s="40"/>
      <c r="L45" s="52"/>
      <c r="N45" s="37"/>
      <c r="P45" s="37"/>
      <c r="R45" s="37"/>
    </row>
    <row r="46" spans="1:18" x14ac:dyDescent="0.25">
      <c r="C46" s="4"/>
      <c r="G46" s="40"/>
      <c r="H46" s="40"/>
      <c r="I46" s="40"/>
      <c r="L46" s="52"/>
      <c r="N46" s="37"/>
      <c r="P46" s="37"/>
      <c r="R46" s="37"/>
    </row>
    <row r="47" spans="1:18" x14ac:dyDescent="0.25">
      <c r="G47" s="40"/>
      <c r="H47" s="40"/>
      <c r="I47" s="40"/>
      <c r="L47" s="52"/>
      <c r="N47" s="37"/>
      <c r="P47" s="37"/>
      <c r="R47" s="37"/>
    </row>
    <row r="48" spans="1:18" x14ac:dyDescent="0.25">
      <c r="G48" s="40"/>
      <c r="H48" s="40"/>
      <c r="I48" s="40"/>
      <c r="L48" s="52"/>
      <c r="N48" s="37"/>
      <c r="P48" s="37"/>
      <c r="R48" s="37"/>
    </row>
    <row r="49" spans="2:18" x14ac:dyDescent="0.25">
      <c r="G49" s="40"/>
      <c r="H49" s="40"/>
      <c r="I49" s="40"/>
      <c r="L49" s="52"/>
      <c r="N49" s="37"/>
      <c r="P49" s="37"/>
      <c r="R49" s="37"/>
    </row>
    <row r="50" spans="2:18" x14ac:dyDescent="0.25">
      <c r="G50" s="40"/>
      <c r="H50" s="40"/>
      <c r="I50" s="40"/>
      <c r="J50" s="21"/>
      <c r="L50" s="52"/>
      <c r="N50" s="37"/>
      <c r="P50" s="37"/>
      <c r="R50" s="37"/>
    </row>
    <row r="51" spans="2:18" x14ac:dyDescent="0.25">
      <c r="G51" s="40"/>
      <c r="H51" s="40"/>
      <c r="I51" s="40"/>
      <c r="J51" s="4"/>
      <c r="L51" s="52"/>
      <c r="N51" s="37"/>
      <c r="P51" s="37"/>
      <c r="R51" s="37"/>
    </row>
    <row r="52" spans="2:18" x14ac:dyDescent="0.25">
      <c r="G52" s="40"/>
      <c r="H52" s="40"/>
      <c r="I52" s="40"/>
      <c r="J52" s="4"/>
      <c r="L52" s="52"/>
      <c r="N52" s="37"/>
      <c r="P52" s="37"/>
      <c r="R52" s="37"/>
    </row>
    <row r="53" spans="2:18" x14ac:dyDescent="0.25">
      <c r="G53" s="40"/>
      <c r="H53" s="40"/>
      <c r="I53" s="40"/>
      <c r="J53" s="4"/>
      <c r="L53" s="52"/>
      <c r="N53" s="37"/>
      <c r="P53" s="37"/>
      <c r="R53" s="37"/>
    </row>
    <row r="54" spans="2:18" x14ac:dyDescent="0.25">
      <c r="B54" t="s">
        <v>97</v>
      </c>
      <c r="D54" s="52" t="e">
        <f>+(F65-1)/(F65-D71)*D66</f>
        <v>#N/A</v>
      </c>
      <c r="E54" s="245" t="e">
        <f>IF($C$42-'Rate Calculation'!$B$10&gt;0.03,"This facility has a difference between the calculated FRV rate and the actual FRV rate.  In most cases, this happens for facilities with ages at or above the maximum FRV age.","")</f>
        <v>#N/A</v>
      </c>
      <c r="F54" s="245"/>
      <c r="G54" s="245"/>
      <c r="H54" s="245"/>
      <c r="J54" s="4"/>
      <c r="L54" s="52"/>
      <c r="N54" s="37"/>
      <c r="P54" s="37"/>
      <c r="R54" s="37"/>
    </row>
    <row r="55" spans="2:18" x14ac:dyDescent="0.25">
      <c r="B55" t="s">
        <v>98</v>
      </c>
      <c r="D55" s="37" t="e">
        <f>+D42-C42</f>
        <v>#N/A</v>
      </c>
      <c r="E55" s="245"/>
      <c r="F55" s="245"/>
      <c r="G55" s="245"/>
      <c r="H55" s="245"/>
      <c r="J55" s="4"/>
      <c r="L55" s="52"/>
      <c r="N55" s="37"/>
      <c r="P55" s="37"/>
      <c r="R55" s="37"/>
    </row>
    <row r="56" spans="2:18" x14ac:dyDescent="0.25">
      <c r="D56" s="52"/>
      <c r="E56" s="245"/>
      <c r="F56" s="245"/>
      <c r="G56" s="245"/>
      <c r="H56" s="245"/>
      <c r="J56" s="4"/>
      <c r="L56" s="52"/>
      <c r="N56" s="37"/>
      <c r="P56" s="37"/>
      <c r="R56" s="37"/>
    </row>
    <row r="57" spans="2:18" x14ac:dyDescent="0.25">
      <c r="B57" t="s">
        <v>99</v>
      </c>
      <c r="D57" s="52">
        <f>+F8</f>
        <v>0</v>
      </c>
      <c r="E57" s="245" t="e">
        <f>IF($C$42-'Rate Calculation'!$B$10&gt;0.03,"The calculations on this page are for facilities that have FRV ages below the maximum age.","")</f>
        <v>#N/A</v>
      </c>
      <c r="F57" s="245"/>
      <c r="G57" s="245"/>
      <c r="H57" s="245"/>
      <c r="J57" s="4"/>
      <c r="L57" s="52"/>
      <c r="N57" s="37"/>
      <c r="P57" s="37"/>
      <c r="R57" s="37"/>
    </row>
    <row r="58" spans="2:18" x14ac:dyDescent="0.25">
      <c r="B58" t="s">
        <v>100</v>
      </c>
      <c r="D58" s="37" t="e">
        <f>+F42</f>
        <v>#N/A</v>
      </c>
      <c r="E58" s="245"/>
      <c r="F58" s="245"/>
      <c r="G58" s="245"/>
      <c r="H58" s="245"/>
      <c r="J58" s="4"/>
      <c r="L58" s="52"/>
      <c r="N58" s="37"/>
      <c r="P58" s="37"/>
      <c r="R58" s="37"/>
    </row>
    <row r="59" spans="2:18" x14ac:dyDescent="0.25">
      <c r="B59" t="s">
        <v>101</v>
      </c>
      <c r="D59" s="37" t="e">
        <f>+F42-C42</f>
        <v>#N/A</v>
      </c>
      <c r="E59" s="245"/>
      <c r="F59" s="245"/>
      <c r="G59" s="245"/>
      <c r="H59" s="245"/>
      <c r="J59" s="4"/>
      <c r="L59" s="52"/>
      <c r="N59" s="37"/>
      <c r="P59" s="37"/>
      <c r="R59" s="37"/>
    </row>
    <row r="60" spans="2:18" x14ac:dyDescent="0.25">
      <c r="D60" s="52"/>
      <c r="J60" s="4"/>
      <c r="L60" s="52"/>
      <c r="N60" s="37"/>
      <c r="P60" s="37"/>
      <c r="R60" s="37"/>
    </row>
    <row r="61" spans="2:18" x14ac:dyDescent="0.25">
      <c r="B61" s="31" t="s">
        <v>767</v>
      </c>
      <c r="C61" s="37">
        <f>+'RSMeans Factors'!F3</f>
        <v>97043.701799485876</v>
      </c>
      <c r="J61" s="4"/>
      <c r="L61" s="52"/>
      <c r="N61" s="37"/>
      <c r="P61" s="37"/>
    </row>
    <row r="62" spans="2:18" x14ac:dyDescent="0.25">
      <c r="J62" s="4"/>
    </row>
    <row r="63" spans="2:18" ht="14.4" x14ac:dyDescent="0.3">
      <c r="B63" s="55" t="s">
        <v>102</v>
      </c>
    </row>
    <row r="64" spans="2:18" x14ac:dyDescent="0.25">
      <c r="B64" t="s">
        <v>103</v>
      </c>
    </row>
    <row r="65" spans="2:6" ht="14.4" x14ac:dyDescent="0.3">
      <c r="B65" t="s">
        <v>104</v>
      </c>
      <c r="C65" s="7" t="e">
        <f>+D65</f>
        <v>#N/A</v>
      </c>
      <c r="D65" t="e">
        <f>IF(F7&gt;C7,(F65*C7+(F7-C7))/F7,C14)</f>
        <v>#N/A</v>
      </c>
      <c r="E65" s="4" t="e">
        <f>+F65/(F65-D71)*D66</f>
        <v>#N/A</v>
      </c>
      <c r="F65" s="4" t="e">
        <f>VLOOKUP(D2,'Lookup Info'!A2:L399,12,FALSE)</f>
        <v>#N/A</v>
      </c>
    </row>
    <row r="66" spans="2:6" ht="14.4" x14ac:dyDescent="0.3">
      <c r="B66" t="s">
        <v>105</v>
      </c>
      <c r="C66" s="52">
        <f>+F8</f>
        <v>0</v>
      </c>
      <c r="D66">
        <v>10000</v>
      </c>
      <c r="E66" s="7"/>
    </row>
    <row r="67" spans="2:6" x14ac:dyDescent="0.25">
      <c r="B67" s="31" t="s">
        <v>558</v>
      </c>
      <c r="C67" s="52" t="e">
        <f>+C61*C69</f>
        <v>#N/A</v>
      </c>
      <c r="D67" s="53" t="e">
        <f>+C67</f>
        <v>#N/A</v>
      </c>
    </row>
    <row r="68" spans="2:6" x14ac:dyDescent="0.25">
      <c r="B68" s="31" t="s">
        <v>112</v>
      </c>
      <c r="C68" s="7" t="e">
        <f>MIN(C66/C67,F7)</f>
        <v>#N/A</v>
      </c>
      <c r="D68" s="137" t="e">
        <f>+D66/D67</f>
        <v>#N/A</v>
      </c>
      <c r="E68" s="52" t="e">
        <f>ROUND(F7/D68*D66,0)</f>
        <v>#N/A</v>
      </c>
    </row>
    <row r="69" spans="2:6" ht="14.4" x14ac:dyDescent="0.3">
      <c r="B69" t="s">
        <v>106</v>
      </c>
      <c r="C69" s="43" t="e">
        <f>+C65*C70</f>
        <v>#N/A</v>
      </c>
      <c r="E69" s="4"/>
    </row>
    <row r="70" spans="2:6" x14ac:dyDescent="0.25">
      <c r="B70" t="s">
        <v>107</v>
      </c>
      <c r="C70" s="43">
        <v>0.02</v>
      </c>
      <c r="E70" s="4"/>
    </row>
    <row r="71" spans="2:6" ht="14.4" x14ac:dyDescent="0.3">
      <c r="B71" s="31" t="s">
        <v>559</v>
      </c>
      <c r="C71" s="136" t="e">
        <f>(C68+(F7-C68)*C65)/F7</f>
        <v>#N/A</v>
      </c>
      <c r="D71" s="4" t="e">
        <f>+(D68+((C7-D68)*D65))/C7</f>
        <v>#N/A</v>
      </c>
      <c r="E71" s="4"/>
    </row>
    <row r="72" spans="2:6" x14ac:dyDescent="0.25">
      <c r="C72" s="4"/>
      <c r="D72" s="7"/>
      <c r="E72" s="52"/>
    </row>
    <row r="73" spans="2:6" ht="14.4" x14ac:dyDescent="0.3">
      <c r="B73" s="56" t="s">
        <v>108</v>
      </c>
    </row>
    <row r="74" spans="2:6" x14ac:dyDescent="0.25">
      <c r="B74" t="s">
        <v>109</v>
      </c>
      <c r="C74" s="102">
        <f>+F7</f>
        <v>0</v>
      </c>
    </row>
    <row r="75" spans="2:6" x14ac:dyDescent="0.25">
      <c r="B75" t="s">
        <v>110</v>
      </c>
      <c r="C75" s="21" t="e">
        <f>+C61*C69</f>
        <v>#N/A</v>
      </c>
    </row>
    <row r="76" spans="2:6" x14ac:dyDescent="0.25">
      <c r="B76" t="s">
        <v>111</v>
      </c>
      <c r="C76" s="53">
        <f>+C66</f>
        <v>0</v>
      </c>
    </row>
    <row r="77" spans="2:6" x14ac:dyDescent="0.25">
      <c r="B77" t="s">
        <v>112</v>
      </c>
      <c r="C77" s="57" t="e">
        <f>MIN(C76/C75,C74)</f>
        <v>#N/A</v>
      </c>
    </row>
    <row r="79" spans="2:6" x14ac:dyDescent="0.25">
      <c r="B79" t="s">
        <v>113</v>
      </c>
      <c r="C79" s="57" t="e">
        <f>+C74-C77</f>
        <v>#N/A</v>
      </c>
      <c r="D79" t="e">
        <f>C65</f>
        <v>#N/A</v>
      </c>
      <c r="E79" s="57" t="e">
        <f>D79*C79</f>
        <v>#N/A</v>
      </c>
      <c r="F79" s="57"/>
    </row>
    <row r="80" spans="2:6" x14ac:dyDescent="0.25">
      <c r="B80" t="s">
        <v>114</v>
      </c>
      <c r="C80" s="58" t="e">
        <f>+C77</f>
        <v>#N/A</v>
      </c>
      <c r="D80">
        <v>1</v>
      </c>
      <c r="E80" s="57" t="e">
        <f>D80*C80</f>
        <v>#N/A</v>
      </c>
      <c r="F80" s="57"/>
    </row>
    <row r="81" spans="2:6" x14ac:dyDescent="0.25">
      <c r="C81" t="e">
        <f>SUM(C79:C80)</f>
        <v>#N/A</v>
      </c>
      <c r="E81" s="57" t="e">
        <f>SUM(E79:E80)</f>
        <v>#N/A</v>
      </c>
      <c r="F81" s="57"/>
    </row>
    <row r="82" spans="2:6" x14ac:dyDescent="0.25">
      <c r="B82" s="31" t="s">
        <v>536</v>
      </c>
      <c r="E82" s="104" t="e">
        <f>E81/C81</f>
        <v>#N/A</v>
      </c>
      <c r="F82" s="57"/>
    </row>
    <row r="83" spans="2:6" x14ac:dyDescent="0.25">
      <c r="B83" t="s">
        <v>115</v>
      </c>
      <c r="E83" s="58" t="e">
        <f>C65</f>
        <v>#N/A</v>
      </c>
      <c r="F83" s="57"/>
    </row>
    <row r="84" spans="2:6" ht="14.4" x14ac:dyDescent="0.3">
      <c r="B84" t="s">
        <v>116</v>
      </c>
      <c r="E84" s="105" t="e">
        <f>E83-E82</f>
        <v>#N/A</v>
      </c>
      <c r="F84" s="103"/>
    </row>
  </sheetData>
  <sheetProtection algorithmName="SHA-512" hashValue="j4/byl2np6+2yDC6Vd3bSxWp4CZLwqYrAwbESAvg1LE+zls4cKmt+7Tp1InlkVlA6bNZAeaEfIDAuefw8bKyOg==" saltValue="Sa+W8XvfNdgtFSW3t4symw==" spinCount="100000" sheet="1" objects="1" scenarios="1"/>
  <mergeCells count="5">
    <mergeCell ref="H3:H6"/>
    <mergeCell ref="H8:H10"/>
    <mergeCell ref="E54:H56"/>
    <mergeCell ref="E57:H59"/>
    <mergeCell ref="G42:I43"/>
  </mergeCells>
  <phoneticPr fontId="6" type="noConversion"/>
  <pageMargins left="0.75" right="0.68" top="0.65" bottom="0.57999999999999996" header="0.5" footer="0.45"/>
  <pageSetup scale="9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B5A23-7A96-4A9F-9494-D9E92FCD0EBA}">
  <sheetPr>
    <tabColor rgb="FFFFFF00"/>
  </sheetPr>
  <dimension ref="A1:D21"/>
  <sheetViews>
    <sheetView workbookViewId="0">
      <selection activeCell="B4" sqref="B4"/>
    </sheetView>
  </sheetViews>
  <sheetFormatPr defaultRowHeight="13.2" x14ac:dyDescent="0.25"/>
  <cols>
    <col min="1" max="1" width="14" customWidth="1"/>
    <col min="2" max="2" width="18.33203125" bestFit="1" customWidth="1"/>
    <col min="3" max="3" width="17.6640625" bestFit="1" customWidth="1"/>
    <col min="4" max="4" width="14" bestFit="1" customWidth="1"/>
  </cols>
  <sheetData>
    <row r="1" spans="1:4" x14ac:dyDescent="0.25">
      <c r="A1" s="31" t="s">
        <v>537</v>
      </c>
    </row>
    <row r="4" spans="1:4" x14ac:dyDescent="0.25">
      <c r="A4" s="5" t="s">
        <v>574</v>
      </c>
      <c r="B4" s="106" t="e">
        <f>+'Rate Calculation'!B4</f>
        <v>#N/A</v>
      </c>
    </row>
    <row r="6" spans="1:4" x14ac:dyDescent="0.25">
      <c r="A6" s="5" t="s">
        <v>56</v>
      </c>
      <c r="B6" s="107">
        <f>+'Rate Calculation'!B2</f>
        <v>0</v>
      </c>
    </row>
    <row r="7" spans="1:4" x14ac:dyDescent="0.25">
      <c r="A7" s="5"/>
      <c r="C7" s="100"/>
    </row>
    <row r="8" spans="1:4" x14ac:dyDescent="0.25">
      <c r="B8" s="5" t="s">
        <v>518</v>
      </c>
      <c r="C8" s="5" t="s">
        <v>519</v>
      </c>
      <c r="D8" s="5" t="s">
        <v>520</v>
      </c>
    </row>
    <row r="9" spans="1:4" x14ac:dyDescent="0.25">
      <c r="A9" s="5" t="s">
        <v>517</v>
      </c>
      <c r="B9" s="45" t="e">
        <f>VLOOKUP($B$6,'2016 and newer renovations'!$B$4:$Y$411,2,FALSE)</f>
        <v>#N/A</v>
      </c>
      <c r="C9" s="101" t="e">
        <f>VLOOKUP($B$6,'2016 and newer renovations'!$B$4:$Y$411,3,FALSE)</f>
        <v>#N/A</v>
      </c>
      <c r="D9" s="45" t="e">
        <f>VLOOKUP($B$6,'2016 and newer renovations'!$B$4:$Y$411,4,FALSE)</f>
        <v>#N/A</v>
      </c>
    </row>
    <row r="10" spans="1:4" x14ac:dyDescent="0.25">
      <c r="A10" s="5" t="s">
        <v>521</v>
      </c>
      <c r="B10" s="45" t="e">
        <f>VLOOKUP($B$6,'2016 and newer renovations'!$B$4:$Y$411,6,FALSE)</f>
        <v>#N/A</v>
      </c>
      <c r="C10" s="101" t="e">
        <f>VLOOKUP($B$6,'2016 and newer renovations'!$B$4:$Y$411,7,FALSE)</f>
        <v>#N/A</v>
      </c>
      <c r="D10" s="45" t="e">
        <f>VLOOKUP($B$6,'2016 and newer renovations'!$B$4:$Y$411,8,FALSE)</f>
        <v>#N/A</v>
      </c>
    </row>
    <row r="11" spans="1:4" x14ac:dyDescent="0.25">
      <c r="A11" s="5" t="s">
        <v>522</v>
      </c>
      <c r="B11" s="45" t="e">
        <f>VLOOKUP($B$6,'2016 and newer renovations'!$B$4:$Y$411,10,FALSE)</f>
        <v>#N/A</v>
      </c>
      <c r="C11" s="101" t="e">
        <f>VLOOKUP($B$6,'2016 and newer renovations'!$B$4:$Y$411,11,FALSE)</f>
        <v>#N/A</v>
      </c>
      <c r="D11" s="45" t="e">
        <f>VLOOKUP($B$6,'2016 and newer renovations'!$B$4:$Y$411,12,FALSE)</f>
        <v>#N/A</v>
      </c>
    </row>
    <row r="12" spans="1:4" x14ac:dyDescent="0.25">
      <c r="A12" s="5" t="s">
        <v>523</v>
      </c>
      <c r="B12" s="45" t="e">
        <f>VLOOKUP($B$6,'2016 and newer renovations'!$B$4:$Y$411,14,FALSE)</f>
        <v>#N/A</v>
      </c>
      <c r="C12" s="101" t="e">
        <f>VLOOKUP($B$6,'2016 and newer renovations'!$B$4:$Y$411,15,FALSE)</f>
        <v>#N/A</v>
      </c>
      <c r="D12" s="45" t="e">
        <f>VLOOKUP($B$6,'2016 and newer renovations'!$B$4:$Y$411,16,FALSE)</f>
        <v>#N/A</v>
      </c>
    </row>
    <row r="13" spans="1:4" x14ac:dyDescent="0.25">
      <c r="A13" s="5" t="s">
        <v>524</v>
      </c>
      <c r="B13" s="45" t="e">
        <f>VLOOKUP($B$6,'2016 and newer renovations'!$B$4:$Y$411,18,FALSE)</f>
        <v>#N/A</v>
      </c>
      <c r="C13" s="101" t="e">
        <f>VLOOKUP($B$6,'2016 and newer renovations'!$B$4:$Y$411,19,FALSE)</f>
        <v>#N/A</v>
      </c>
      <c r="D13" s="45" t="e">
        <f>VLOOKUP($B$6,'2016 and newer renovations'!$B$4:$Y$411,20,FALSE)</f>
        <v>#N/A</v>
      </c>
    </row>
    <row r="14" spans="1:4" x14ac:dyDescent="0.25">
      <c r="A14" s="5" t="s">
        <v>525</v>
      </c>
      <c r="B14" s="45" t="e">
        <f>VLOOKUP($B$6,'2016 and newer renovations'!$B$4:$Y$411,22,FALSE)</f>
        <v>#N/A</v>
      </c>
      <c r="C14" s="101" t="e">
        <f>VLOOKUP($B$6,'2016 and newer renovations'!$B$4:$Y$411,23,FALSE)</f>
        <v>#N/A</v>
      </c>
      <c r="D14" s="45" t="e">
        <f>VLOOKUP($B$6,'2016 and newer renovations'!$B$4:$Y$411,24,FALSE)</f>
        <v>#N/A</v>
      </c>
    </row>
    <row r="15" spans="1:4" x14ac:dyDescent="0.25">
      <c r="A15" s="5" t="s">
        <v>598</v>
      </c>
      <c r="B15" s="45" t="e">
        <f>VLOOKUP($B$6,'2016 and newer renovations'!$B$4:$AM$411,26,FALSE)</f>
        <v>#N/A</v>
      </c>
      <c r="C15" s="101" t="e">
        <f>VLOOKUP($B$6,'2016 and newer renovations'!$B$4:$AM$411,27,FALSE)</f>
        <v>#N/A</v>
      </c>
      <c r="D15" s="45" t="e">
        <f>VLOOKUP($B$6,'2016 and newer renovations'!$B$4:$AM$411,28,FALSE)</f>
        <v>#N/A</v>
      </c>
    </row>
    <row r="16" spans="1:4" x14ac:dyDescent="0.25">
      <c r="A16" s="5" t="s">
        <v>801</v>
      </c>
      <c r="B16" s="45" t="e">
        <f>VLOOKUP($B$6,'2016 and newer renovations'!$B$4:$AM$411,30,FALSE)</f>
        <v>#N/A</v>
      </c>
      <c r="C16" s="101" t="e">
        <f>VLOOKUP($B$6,'2016 and newer renovations'!$B$4:$AM$411,31,FALSE)</f>
        <v>#N/A</v>
      </c>
      <c r="D16" s="45" t="e">
        <f>VLOOKUP($B$6,'2016 and newer renovations'!$B$4:$AM$411,32,FALSE)</f>
        <v>#N/A</v>
      </c>
    </row>
    <row r="18" spans="1:2" x14ac:dyDescent="0.25">
      <c r="A18" s="31" t="s">
        <v>526</v>
      </c>
    </row>
    <row r="19" spans="1:2" x14ac:dyDescent="0.25">
      <c r="B19" s="31" t="s">
        <v>527</v>
      </c>
    </row>
    <row r="20" spans="1:2" x14ac:dyDescent="0.25">
      <c r="B20" s="31" t="s">
        <v>528</v>
      </c>
    </row>
    <row r="21" spans="1:2" x14ac:dyDescent="0.25">
      <c r="B21" s="31" t="s">
        <v>529</v>
      </c>
    </row>
  </sheetData>
  <sheetProtection algorithmName="SHA-512" hashValue="LeKQhTZ406mnzR0IDmO6OTug1OlkldzuNfEsaxh4NPD/rpbCzyrUId6OvvdyjUKbM6oISF0hMTzcl+TUF8Cs4Q==" saltValue="sTdu28mE0/NE1Zymp7qvKQ==" spinCount="100000" sheet="1" objects="1" scenarios="1"/>
  <phoneticPr fontId="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63299-6342-4D66-AB1B-2E46837B089F}">
  <sheetPr>
    <tabColor rgb="FFFFFF00"/>
  </sheetPr>
  <dimension ref="A1:AG411"/>
  <sheetViews>
    <sheetView workbookViewId="0"/>
  </sheetViews>
  <sheetFormatPr defaultRowHeight="13.2" x14ac:dyDescent="0.25"/>
  <cols>
    <col min="1" max="1" width="54.5546875" style="76" bestFit="1" customWidth="1"/>
    <col min="2" max="2" width="11" style="76" bestFit="1" customWidth="1"/>
    <col min="3" max="3" width="16.33203125" style="99" bestFit="1" customWidth="1"/>
    <col min="4" max="4" width="5" style="99" bestFit="1" customWidth="1"/>
    <col min="5" max="5" width="10.44140625" style="152" bestFit="1" customWidth="1"/>
    <col min="6" max="6" width="2.33203125" style="99" bestFit="1" customWidth="1"/>
    <col min="7" max="7" width="5.33203125" style="99" bestFit="1" customWidth="1"/>
    <col min="8" max="8" width="5" style="99" bestFit="1" customWidth="1"/>
    <col min="9" max="9" width="10.44140625" style="152" bestFit="1" customWidth="1"/>
    <col min="10" max="10" width="2.33203125" style="99" bestFit="1" customWidth="1"/>
    <col min="11" max="11" width="5.33203125" style="99" bestFit="1" customWidth="1"/>
    <col min="12" max="12" width="5" style="99" bestFit="1" customWidth="1"/>
    <col min="13" max="13" width="10.44140625" style="152" bestFit="1" customWidth="1"/>
    <col min="14" max="14" width="2.33203125" style="99" bestFit="1" customWidth="1"/>
    <col min="15" max="15" width="5.33203125" style="99" bestFit="1" customWidth="1"/>
    <col min="16" max="16" width="5" style="99" bestFit="1" customWidth="1"/>
    <col min="17" max="17" width="10.44140625" style="152" bestFit="1" customWidth="1"/>
    <col min="18" max="18" width="2.33203125" style="99" bestFit="1" customWidth="1"/>
    <col min="19" max="19" width="5.33203125" style="99" bestFit="1" customWidth="1"/>
    <col min="20" max="20" width="5" style="99" bestFit="1" customWidth="1"/>
    <col min="21" max="21" width="10.44140625" style="152" bestFit="1" customWidth="1"/>
    <col min="22" max="22" width="3" style="99" customWidth="1"/>
    <col min="23" max="23" width="9.6640625" style="99" bestFit="1" customWidth="1"/>
    <col min="24" max="24" width="5" style="99" bestFit="1" customWidth="1"/>
    <col min="25" max="25" width="10.44140625" style="152" bestFit="1" customWidth="1"/>
    <col min="26" max="26" width="3" style="99" customWidth="1"/>
    <col min="27" max="27" width="9.6640625" style="99" bestFit="1" customWidth="1"/>
    <col min="28" max="28" width="5" style="99" bestFit="1" customWidth="1"/>
    <col min="29" max="29" width="8.88671875" style="152" bestFit="1" customWidth="1"/>
    <col min="30" max="30" width="2.77734375" customWidth="1"/>
    <col min="31" max="31" width="9.6640625" style="99" bestFit="1" customWidth="1"/>
    <col min="32" max="32" width="5" style="99" bestFit="1" customWidth="1"/>
    <col min="33" max="33" width="8.88671875" style="152" bestFit="1"/>
  </cols>
  <sheetData>
    <row r="1" spans="1:33" x14ac:dyDescent="0.25">
      <c r="C1" s="77" t="s">
        <v>368</v>
      </c>
      <c r="D1" s="77"/>
      <c r="E1" s="149"/>
      <c r="F1" s="78"/>
      <c r="G1" s="77" t="s">
        <v>369</v>
      </c>
      <c r="H1" s="77"/>
      <c r="I1" s="149"/>
      <c r="J1" s="78"/>
      <c r="K1" s="77" t="s">
        <v>370</v>
      </c>
      <c r="L1" s="77"/>
      <c r="M1" s="149"/>
      <c r="N1" s="78"/>
      <c r="O1" s="77" t="s">
        <v>371</v>
      </c>
      <c r="P1" s="77"/>
      <c r="Q1" s="149"/>
      <c r="R1" s="78"/>
      <c r="S1" s="77" t="s">
        <v>372</v>
      </c>
      <c r="T1" s="77"/>
      <c r="U1" s="149"/>
      <c r="V1" s="78"/>
      <c r="W1" s="77" t="s">
        <v>373</v>
      </c>
      <c r="X1" s="77"/>
      <c r="Y1" s="149"/>
      <c r="Z1" s="78"/>
      <c r="AA1" s="77" t="s">
        <v>597</v>
      </c>
      <c r="AB1" s="77"/>
      <c r="AC1" s="149"/>
      <c r="AE1" s="77" t="s">
        <v>800</v>
      </c>
      <c r="AF1" s="77"/>
      <c r="AG1" s="149"/>
    </row>
    <row r="2" spans="1:33" ht="39.6" x14ac:dyDescent="0.25">
      <c r="A2" s="79"/>
      <c r="B2" s="79"/>
      <c r="C2" s="80" t="s">
        <v>374</v>
      </c>
      <c r="D2" s="81"/>
      <c r="E2" s="150"/>
      <c r="F2" s="82"/>
      <c r="G2" s="80" t="s">
        <v>374</v>
      </c>
      <c r="H2" s="81"/>
      <c r="I2" s="150"/>
      <c r="J2" s="82"/>
      <c r="K2" s="80" t="s">
        <v>374</v>
      </c>
      <c r="L2" s="81"/>
      <c r="M2" s="150"/>
      <c r="N2" s="82"/>
      <c r="O2" s="80" t="s">
        <v>374</v>
      </c>
      <c r="P2" s="81"/>
      <c r="Q2" s="150"/>
      <c r="R2" s="82"/>
      <c r="S2" s="80" t="s">
        <v>374</v>
      </c>
      <c r="T2" s="81"/>
      <c r="U2" s="150"/>
      <c r="V2" s="82"/>
      <c r="W2" s="80" t="s">
        <v>374</v>
      </c>
      <c r="X2" s="81"/>
      <c r="Y2" s="150"/>
      <c r="Z2" s="82"/>
      <c r="AA2" s="80" t="s">
        <v>374</v>
      </c>
      <c r="AB2" s="81"/>
      <c r="AC2" s="150"/>
      <c r="AE2" s="80" t="s">
        <v>374</v>
      </c>
      <c r="AF2" s="81"/>
      <c r="AG2" s="150"/>
    </row>
    <row r="3" spans="1:33" ht="26.4" x14ac:dyDescent="0.25">
      <c r="A3" s="79" t="s">
        <v>375</v>
      </c>
      <c r="B3" s="79"/>
      <c r="C3" s="83" t="s">
        <v>16</v>
      </c>
      <c r="D3" s="81" t="s">
        <v>15</v>
      </c>
      <c r="E3" s="150" t="s">
        <v>111</v>
      </c>
      <c r="F3" s="82"/>
      <c r="G3" s="83" t="s">
        <v>16</v>
      </c>
      <c r="H3" s="81" t="s">
        <v>15</v>
      </c>
      <c r="I3" s="150" t="s">
        <v>111</v>
      </c>
      <c r="J3" s="82"/>
      <c r="K3" s="83" t="s">
        <v>16</v>
      </c>
      <c r="L3" s="81" t="s">
        <v>15</v>
      </c>
      <c r="M3" s="150" t="s">
        <v>111</v>
      </c>
      <c r="N3" s="82"/>
      <c r="O3" s="83" t="s">
        <v>16</v>
      </c>
      <c r="P3" s="81" t="s">
        <v>15</v>
      </c>
      <c r="Q3" s="150" t="s">
        <v>111</v>
      </c>
      <c r="R3" s="82"/>
      <c r="S3" s="83" t="s">
        <v>16</v>
      </c>
      <c r="T3" s="81" t="s">
        <v>15</v>
      </c>
      <c r="U3" s="150" t="s">
        <v>111</v>
      </c>
      <c r="V3" s="82"/>
      <c r="W3" s="83" t="s">
        <v>16</v>
      </c>
      <c r="X3" s="81" t="s">
        <v>15</v>
      </c>
      <c r="Y3" s="150" t="s">
        <v>111</v>
      </c>
      <c r="Z3" s="82"/>
      <c r="AA3" s="83" t="s">
        <v>16</v>
      </c>
      <c r="AB3" s="81" t="s">
        <v>15</v>
      </c>
      <c r="AC3" s="150" t="s">
        <v>111</v>
      </c>
      <c r="AE3" s="83" t="s">
        <v>16</v>
      </c>
      <c r="AF3" s="81" t="s">
        <v>15</v>
      </c>
      <c r="AG3" s="150" t="s">
        <v>111</v>
      </c>
    </row>
    <row r="4" spans="1:33" x14ac:dyDescent="0.25">
      <c r="A4" s="84" t="s">
        <v>379</v>
      </c>
      <c r="B4" s="84">
        <v>1285687962</v>
      </c>
      <c r="C4" s="85">
        <v>3</v>
      </c>
      <c r="D4" s="85">
        <v>2016</v>
      </c>
      <c r="E4" s="151">
        <v>693189</v>
      </c>
      <c r="F4" s="86" t="s">
        <v>351</v>
      </c>
      <c r="G4" s="85">
        <v>3</v>
      </c>
      <c r="H4" s="85">
        <v>2017</v>
      </c>
      <c r="I4" s="151">
        <v>753948</v>
      </c>
      <c r="J4" s="86" t="s">
        <v>351</v>
      </c>
      <c r="K4" s="85">
        <v>3</v>
      </c>
      <c r="L4" s="85">
        <v>2018</v>
      </c>
      <c r="M4" s="151">
        <v>158468</v>
      </c>
      <c r="N4" s="86" t="s">
        <v>351</v>
      </c>
      <c r="O4" s="85">
        <v>3</v>
      </c>
      <c r="P4" s="85">
        <v>2019</v>
      </c>
      <c r="Q4" s="151">
        <v>142226</v>
      </c>
      <c r="R4" s="86" t="s">
        <v>351</v>
      </c>
      <c r="S4" s="85">
        <v>3</v>
      </c>
      <c r="T4" s="85">
        <v>2020</v>
      </c>
      <c r="U4" s="151">
        <v>418967</v>
      </c>
      <c r="V4" s="86" t="s">
        <v>351</v>
      </c>
      <c r="W4" s="85">
        <v>3</v>
      </c>
      <c r="X4" s="85">
        <v>2021</v>
      </c>
      <c r="Y4" s="151">
        <v>786974</v>
      </c>
      <c r="Z4" s="86" t="s">
        <v>351</v>
      </c>
      <c r="AA4" s="85">
        <v>3</v>
      </c>
      <c r="AB4" s="85">
        <v>2022</v>
      </c>
      <c r="AC4" s="151">
        <v>150078</v>
      </c>
      <c r="AD4" t="s">
        <v>351</v>
      </c>
      <c r="AE4" s="85">
        <v>3</v>
      </c>
      <c r="AF4" s="85">
        <v>2023</v>
      </c>
      <c r="AG4" s="151">
        <v>85143</v>
      </c>
    </row>
    <row r="5" spans="1:33" x14ac:dyDescent="0.25">
      <c r="A5" s="87" t="s">
        <v>384</v>
      </c>
      <c r="B5" s="84">
        <v>1245227578</v>
      </c>
      <c r="C5" s="85">
        <v>3</v>
      </c>
      <c r="D5" s="85">
        <v>2016</v>
      </c>
      <c r="E5" s="151">
        <v>89128</v>
      </c>
      <c r="F5" s="86" t="s">
        <v>351</v>
      </c>
      <c r="G5" s="85">
        <v>3</v>
      </c>
      <c r="H5" s="85">
        <v>2017</v>
      </c>
      <c r="I5" s="151">
        <v>85457.51</v>
      </c>
      <c r="J5" s="86" t="s">
        <v>351</v>
      </c>
      <c r="K5" s="85">
        <v>3</v>
      </c>
      <c r="L5" s="85">
        <v>2018</v>
      </c>
      <c r="M5" s="151">
        <v>136125</v>
      </c>
      <c r="N5" s="86" t="s">
        <v>351</v>
      </c>
      <c r="O5" s="85">
        <v>3</v>
      </c>
      <c r="P5" s="85">
        <v>2019</v>
      </c>
      <c r="Q5" s="151">
        <v>809057</v>
      </c>
      <c r="R5" s="86" t="s">
        <v>351</v>
      </c>
      <c r="S5" s="85">
        <v>3</v>
      </c>
      <c r="T5" s="85">
        <v>2020</v>
      </c>
      <c r="U5" s="151">
        <v>399690</v>
      </c>
      <c r="V5" s="86" t="s">
        <v>351</v>
      </c>
      <c r="W5" s="85">
        <v>3</v>
      </c>
      <c r="X5" s="85">
        <v>2021</v>
      </c>
      <c r="Y5" s="151">
        <v>1551371</v>
      </c>
      <c r="Z5" s="86" t="s">
        <v>351</v>
      </c>
      <c r="AA5" s="85">
        <v>3</v>
      </c>
      <c r="AB5" s="85">
        <v>2022</v>
      </c>
      <c r="AC5" s="151">
        <v>164516</v>
      </c>
      <c r="AD5" t="s">
        <v>351</v>
      </c>
      <c r="AE5" s="85">
        <v>3</v>
      </c>
      <c r="AF5" s="85">
        <v>2023</v>
      </c>
      <c r="AG5" s="151">
        <v>91341</v>
      </c>
    </row>
    <row r="6" spans="1:33" x14ac:dyDescent="0.25">
      <c r="A6" s="84" t="s">
        <v>715</v>
      </c>
      <c r="B6" s="84">
        <v>1427608959</v>
      </c>
      <c r="C6" s="85">
        <v>3</v>
      </c>
      <c r="D6" s="85">
        <v>2021</v>
      </c>
      <c r="E6" s="151">
        <v>151802</v>
      </c>
      <c r="F6" s="86" t="s">
        <v>351</v>
      </c>
      <c r="G6" s="85">
        <v>3</v>
      </c>
      <c r="H6" s="85">
        <v>2022</v>
      </c>
      <c r="I6" s="151">
        <v>1873375</v>
      </c>
      <c r="J6" s="86" t="s">
        <v>351</v>
      </c>
      <c r="K6" s="85">
        <v>3</v>
      </c>
      <c r="L6" s="85">
        <v>2023</v>
      </c>
      <c r="M6" s="151">
        <v>521797</v>
      </c>
      <c r="N6" s="86" t="s">
        <v>351</v>
      </c>
      <c r="O6" s="85"/>
      <c r="P6" s="85"/>
      <c r="Q6" s="151"/>
      <c r="R6" s="86" t="s">
        <v>351</v>
      </c>
      <c r="S6" s="85"/>
      <c r="T6" s="85"/>
      <c r="U6" s="151"/>
      <c r="V6" s="86" t="s">
        <v>351</v>
      </c>
      <c r="W6" s="85"/>
      <c r="X6" s="85"/>
      <c r="Y6" s="151"/>
      <c r="Z6" s="86" t="s">
        <v>351</v>
      </c>
      <c r="AA6" s="85"/>
      <c r="AB6" s="85"/>
      <c r="AC6" s="151"/>
      <c r="AD6" t="s">
        <v>351</v>
      </c>
      <c r="AE6" s="85"/>
      <c r="AF6" s="85"/>
      <c r="AG6" s="151"/>
    </row>
    <row r="7" spans="1:33" x14ac:dyDescent="0.25">
      <c r="A7" s="84" t="s">
        <v>376</v>
      </c>
      <c r="B7" s="84">
        <v>1063919652</v>
      </c>
      <c r="C7" s="85">
        <v>3</v>
      </c>
      <c r="D7" s="85">
        <v>2023</v>
      </c>
      <c r="E7" s="151">
        <v>34487</v>
      </c>
      <c r="F7" s="86" t="s">
        <v>351</v>
      </c>
      <c r="G7" s="85"/>
      <c r="H7" s="85"/>
      <c r="I7" s="151"/>
      <c r="J7" s="86" t="s">
        <v>351</v>
      </c>
      <c r="K7" s="85"/>
      <c r="L7" s="85"/>
      <c r="M7" s="151"/>
      <c r="N7" s="86" t="s">
        <v>351</v>
      </c>
      <c r="O7" s="85"/>
      <c r="P7" s="85"/>
      <c r="Q7" s="151"/>
      <c r="R7" s="86" t="s">
        <v>351</v>
      </c>
      <c r="S7" s="85"/>
      <c r="T7" s="85"/>
      <c r="U7" s="151"/>
      <c r="V7" s="86" t="s">
        <v>351</v>
      </c>
      <c r="W7" s="85"/>
      <c r="X7" s="85"/>
      <c r="Y7" s="151"/>
      <c r="Z7" s="86" t="s">
        <v>351</v>
      </c>
      <c r="AA7" s="85"/>
      <c r="AB7" s="85"/>
      <c r="AC7" s="151"/>
      <c r="AD7" t="s">
        <v>351</v>
      </c>
      <c r="AE7" s="85"/>
      <c r="AF7" s="85"/>
      <c r="AG7" s="151"/>
    </row>
    <row r="8" spans="1:33" x14ac:dyDescent="0.25">
      <c r="A8" s="87" t="s">
        <v>120</v>
      </c>
      <c r="B8" s="84">
        <v>1518435650</v>
      </c>
      <c r="C8" s="85">
        <v>2</v>
      </c>
      <c r="D8" s="85">
        <v>2017</v>
      </c>
      <c r="E8" s="151">
        <v>96</v>
      </c>
      <c r="F8" s="86" t="s">
        <v>351</v>
      </c>
      <c r="G8" s="85">
        <v>2</v>
      </c>
      <c r="H8" s="85">
        <v>2019</v>
      </c>
      <c r="I8" s="151">
        <v>78</v>
      </c>
      <c r="J8" s="86" t="s">
        <v>351</v>
      </c>
      <c r="K8" s="85">
        <v>3</v>
      </c>
      <c r="L8" s="85">
        <v>2019</v>
      </c>
      <c r="M8" s="151">
        <v>120547</v>
      </c>
      <c r="N8" s="86" t="s">
        <v>351</v>
      </c>
      <c r="O8" s="85">
        <v>3</v>
      </c>
      <c r="P8" s="85">
        <v>2021</v>
      </c>
      <c r="Q8" s="151">
        <v>300845</v>
      </c>
      <c r="R8" s="86" t="s">
        <v>351</v>
      </c>
      <c r="S8" s="85">
        <v>3</v>
      </c>
      <c r="T8" s="85">
        <v>2022</v>
      </c>
      <c r="U8" s="151">
        <v>153696</v>
      </c>
      <c r="V8" s="86" t="s">
        <v>351</v>
      </c>
      <c r="W8" s="85">
        <v>3</v>
      </c>
      <c r="X8" s="85">
        <v>2023</v>
      </c>
      <c r="Y8" s="151">
        <v>197107</v>
      </c>
      <c r="Z8" s="86" t="s">
        <v>351</v>
      </c>
      <c r="AA8" s="85"/>
      <c r="AB8" s="85"/>
      <c r="AC8" s="151"/>
      <c r="AD8" t="s">
        <v>351</v>
      </c>
      <c r="AE8" s="85"/>
      <c r="AF8" s="85"/>
      <c r="AG8" s="151"/>
    </row>
    <row r="9" spans="1:33" x14ac:dyDescent="0.25">
      <c r="A9" s="87" t="s">
        <v>121</v>
      </c>
      <c r="B9" s="84">
        <v>1669991865</v>
      </c>
      <c r="C9" s="85">
        <v>3</v>
      </c>
      <c r="D9" s="85">
        <v>2020</v>
      </c>
      <c r="E9" s="151">
        <v>178898</v>
      </c>
      <c r="F9" s="86" t="s">
        <v>351</v>
      </c>
      <c r="G9" s="85">
        <v>3</v>
      </c>
      <c r="H9" s="85">
        <v>2021</v>
      </c>
      <c r="I9" s="151">
        <v>150104</v>
      </c>
      <c r="J9" s="86" t="s">
        <v>351</v>
      </c>
      <c r="K9" s="85">
        <v>3</v>
      </c>
      <c r="L9" s="85">
        <v>2022</v>
      </c>
      <c r="M9" s="151">
        <v>510216</v>
      </c>
      <c r="N9" s="86" t="s">
        <v>351</v>
      </c>
      <c r="O9" s="85">
        <v>3</v>
      </c>
      <c r="P9" s="85">
        <v>2023</v>
      </c>
      <c r="Q9" s="151">
        <v>175381</v>
      </c>
      <c r="R9" s="86" t="s">
        <v>351</v>
      </c>
      <c r="S9" s="85"/>
      <c r="T9" s="85"/>
      <c r="U9" s="151"/>
      <c r="V9" s="86" t="s">
        <v>351</v>
      </c>
      <c r="W9" s="85"/>
      <c r="X9" s="85"/>
      <c r="Y9" s="151"/>
      <c r="Z9" s="86" t="s">
        <v>351</v>
      </c>
      <c r="AA9" s="85"/>
      <c r="AB9" s="85"/>
      <c r="AC9" s="151"/>
      <c r="AD9" t="s">
        <v>351</v>
      </c>
      <c r="AE9" s="85"/>
      <c r="AF9" s="85"/>
      <c r="AG9" s="151"/>
    </row>
    <row r="10" spans="1:33" x14ac:dyDescent="0.25">
      <c r="A10" s="84" t="s">
        <v>377</v>
      </c>
      <c r="B10" s="84">
        <v>1871143305</v>
      </c>
      <c r="C10" s="85">
        <v>3</v>
      </c>
      <c r="D10" s="85">
        <v>2016</v>
      </c>
      <c r="E10" s="151">
        <v>102564</v>
      </c>
      <c r="F10" s="86" t="s">
        <v>351</v>
      </c>
      <c r="G10" s="85">
        <v>3</v>
      </c>
      <c r="H10" s="85">
        <v>2017</v>
      </c>
      <c r="I10" s="151">
        <v>146951.57999999999</v>
      </c>
      <c r="J10" s="86" t="s">
        <v>351</v>
      </c>
      <c r="K10" s="85">
        <v>3</v>
      </c>
      <c r="L10" s="85">
        <v>2018</v>
      </c>
      <c r="M10" s="151">
        <v>90336</v>
      </c>
      <c r="N10" s="86" t="s">
        <v>351</v>
      </c>
      <c r="O10" s="85">
        <v>3</v>
      </c>
      <c r="P10" s="85">
        <v>2019</v>
      </c>
      <c r="Q10" s="151">
        <v>535380</v>
      </c>
      <c r="R10" s="86" t="s">
        <v>351</v>
      </c>
      <c r="S10" s="85">
        <v>3</v>
      </c>
      <c r="T10" s="85">
        <v>2020</v>
      </c>
      <c r="U10" s="151">
        <v>154670</v>
      </c>
      <c r="V10" s="86" t="s">
        <v>351</v>
      </c>
      <c r="W10" s="85">
        <v>3</v>
      </c>
      <c r="X10" s="85">
        <v>2021</v>
      </c>
      <c r="Y10" s="151">
        <v>681876</v>
      </c>
      <c r="Z10" s="86" t="s">
        <v>351</v>
      </c>
      <c r="AA10" s="85">
        <v>3</v>
      </c>
      <c r="AB10" s="85">
        <v>2022</v>
      </c>
      <c r="AC10" s="151">
        <v>113922</v>
      </c>
      <c r="AD10" t="s">
        <v>351</v>
      </c>
      <c r="AE10" s="85">
        <v>3</v>
      </c>
      <c r="AF10" s="85">
        <v>2023</v>
      </c>
      <c r="AG10" s="151">
        <v>132073</v>
      </c>
    </row>
    <row r="11" spans="1:33" x14ac:dyDescent="0.25">
      <c r="A11" s="87" t="s">
        <v>122</v>
      </c>
      <c r="B11" s="84">
        <v>1992242119</v>
      </c>
      <c r="C11" s="85">
        <v>3</v>
      </c>
      <c r="D11" s="85">
        <v>2016</v>
      </c>
      <c r="E11" s="151">
        <v>78591</v>
      </c>
      <c r="F11" s="86" t="s">
        <v>351</v>
      </c>
      <c r="G11" s="85">
        <v>3</v>
      </c>
      <c r="H11" s="85">
        <v>2017</v>
      </c>
      <c r="I11" s="151">
        <v>104699.96</v>
      </c>
      <c r="J11" s="86" t="s">
        <v>351</v>
      </c>
      <c r="K11" s="85">
        <v>3</v>
      </c>
      <c r="L11" s="85">
        <v>2019</v>
      </c>
      <c r="M11" s="151">
        <v>172175</v>
      </c>
      <c r="N11" s="86" t="s">
        <v>351</v>
      </c>
      <c r="O11" s="85">
        <v>3</v>
      </c>
      <c r="P11" s="85">
        <v>2020</v>
      </c>
      <c r="Q11" s="151">
        <v>275202</v>
      </c>
      <c r="R11" s="86" t="s">
        <v>351</v>
      </c>
      <c r="S11" s="85">
        <v>3</v>
      </c>
      <c r="T11" s="85">
        <v>2021</v>
      </c>
      <c r="U11" s="151">
        <v>949895</v>
      </c>
      <c r="V11" s="86" t="s">
        <v>351</v>
      </c>
      <c r="W11" s="85">
        <v>3</v>
      </c>
      <c r="X11" s="85">
        <v>2022</v>
      </c>
      <c r="Y11" s="151">
        <v>891342</v>
      </c>
      <c r="Z11" s="86" t="s">
        <v>351</v>
      </c>
      <c r="AA11" s="85">
        <v>3</v>
      </c>
      <c r="AB11" s="85">
        <v>2023</v>
      </c>
      <c r="AC11" s="151">
        <v>185769</v>
      </c>
      <c r="AD11" t="s">
        <v>351</v>
      </c>
      <c r="AE11" s="85"/>
      <c r="AF11" s="85"/>
      <c r="AG11" s="151"/>
    </row>
    <row r="12" spans="1:33" x14ac:dyDescent="0.25">
      <c r="A12" s="87" t="s">
        <v>378</v>
      </c>
      <c r="B12" s="84">
        <v>1043703945</v>
      </c>
      <c r="C12" s="85">
        <v>3</v>
      </c>
      <c r="D12" s="85">
        <v>2016</v>
      </c>
      <c r="E12" s="151">
        <v>153270</v>
      </c>
      <c r="F12" s="86" t="s">
        <v>351</v>
      </c>
      <c r="G12" s="85">
        <v>3</v>
      </c>
      <c r="H12" s="85">
        <v>2018</v>
      </c>
      <c r="I12" s="151">
        <v>138865</v>
      </c>
      <c r="J12" s="86" t="s">
        <v>351</v>
      </c>
      <c r="K12" s="85">
        <v>3</v>
      </c>
      <c r="L12" s="85">
        <v>2019</v>
      </c>
      <c r="M12" s="151">
        <v>105032</v>
      </c>
      <c r="N12" s="86" t="s">
        <v>351</v>
      </c>
      <c r="O12" s="85">
        <v>3</v>
      </c>
      <c r="P12" s="85">
        <v>2020</v>
      </c>
      <c r="Q12" s="151">
        <v>192756</v>
      </c>
      <c r="R12" s="86" t="s">
        <v>351</v>
      </c>
      <c r="S12" s="85">
        <v>3</v>
      </c>
      <c r="T12" s="85">
        <v>2021</v>
      </c>
      <c r="U12" s="151">
        <v>91148</v>
      </c>
      <c r="V12" s="86" t="s">
        <v>351</v>
      </c>
      <c r="W12" s="85">
        <v>3</v>
      </c>
      <c r="X12" s="85">
        <v>2022</v>
      </c>
      <c r="Y12" s="151">
        <v>1593379</v>
      </c>
      <c r="Z12" s="86" t="s">
        <v>351</v>
      </c>
      <c r="AA12" s="85">
        <v>3</v>
      </c>
      <c r="AB12" s="85">
        <v>2023</v>
      </c>
      <c r="AC12" s="151">
        <v>416232</v>
      </c>
      <c r="AD12" t="s">
        <v>351</v>
      </c>
      <c r="AE12" s="85"/>
      <c r="AF12" s="85"/>
      <c r="AG12" s="151"/>
    </row>
    <row r="13" spans="1:33" x14ac:dyDescent="0.25">
      <c r="A13" s="87" t="s">
        <v>123</v>
      </c>
      <c r="B13" s="84">
        <v>1831649268</v>
      </c>
      <c r="C13" s="85">
        <v>3</v>
      </c>
      <c r="D13" s="85">
        <v>2020</v>
      </c>
      <c r="E13" s="151">
        <v>176312</v>
      </c>
      <c r="F13" s="86" t="s">
        <v>351</v>
      </c>
      <c r="G13" s="85">
        <v>3</v>
      </c>
      <c r="H13" s="85">
        <v>2021</v>
      </c>
      <c r="I13" s="151">
        <v>405785</v>
      </c>
      <c r="J13" s="86" t="s">
        <v>351</v>
      </c>
      <c r="K13" s="85">
        <v>3</v>
      </c>
      <c r="L13" s="85">
        <v>2022</v>
      </c>
      <c r="M13" s="151">
        <v>799958</v>
      </c>
      <c r="N13" s="86" t="s">
        <v>351</v>
      </c>
      <c r="O13" s="85">
        <v>3</v>
      </c>
      <c r="P13" s="85">
        <v>2023</v>
      </c>
      <c r="Q13" s="151">
        <v>296944</v>
      </c>
      <c r="R13" s="86" t="s">
        <v>351</v>
      </c>
      <c r="S13" s="85"/>
      <c r="T13" s="85"/>
      <c r="U13" s="151"/>
      <c r="V13" s="86" t="s">
        <v>351</v>
      </c>
      <c r="W13" s="85"/>
      <c r="X13" s="85"/>
      <c r="Y13" s="151"/>
      <c r="Z13" s="86" t="s">
        <v>351</v>
      </c>
      <c r="AA13" s="85"/>
      <c r="AB13" s="85"/>
      <c r="AC13" s="151"/>
      <c r="AD13" t="s">
        <v>351</v>
      </c>
      <c r="AE13" s="85"/>
      <c r="AF13" s="85"/>
      <c r="AG13" s="151"/>
    </row>
    <row r="14" spans="1:33" x14ac:dyDescent="0.25">
      <c r="A14" s="87" t="s">
        <v>380</v>
      </c>
      <c r="B14" s="84">
        <v>1689147035</v>
      </c>
      <c r="C14" s="85">
        <v>3</v>
      </c>
      <c r="D14" s="85">
        <v>2016</v>
      </c>
      <c r="E14" s="151">
        <v>633652</v>
      </c>
      <c r="F14" s="86" t="s">
        <v>351</v>
      </c>
      <c r="G14" s="85">
        <v>3</v>
      </c>
      <c r="H14" s="85">
        <v>2018</v>
      </c>
      <c r="I14" s="151">
        <v>78972</v>
      </c>
      <c r="J14" s="86" t="s">
        <v>351</v>
      </c>
      <c r="K14" s="85">
        <v>3</v>
      </c>
      <c r="L14" s="85">
        <v>2019</v>
      </c>
      <c r="M14" s="151">
        <v>548406</v>
      </c>
      <c r="N14" s="86" t="s">
        <v>351</v>
      </c>
      <c r="O14" s="85">
        <v>3</v>
      </c>
      <c r="P14" s="85">
        <v>2020</v>
      </c>
      <c r="Q14" s="151">
        <v>584611</v>
      </c>
      <c r="R14" s="86" t="s">
        <v>351</v>
      </c>
      <c r="S14" s="85">
        <v>3</v>
      </c>
      <c r="T14" s="85">
        <v>2021</v>
      </c>
      <c r="U14" s="151">
        <v>566239</v>
      </c>
      <c r="V14" s="86" t="s">
        <v>351</v>
      </c>
      <c r="W14" s="85"/>
      <c r="X14" s="85"/>
      <c r="Y14" s="151"/>
      <c r="Z14" s="86" t="s">
        <v>351</v>
      </c>
      <c r="AA14" s="85"/>
      <c r="AB14" s="85"/>
      <c r="AC14" s="151"/>
      <c r="AD14" t="s">
        <v>351</v>
      </c>
      <c r="AE14" s="85"/>
      <c r="AF14" s="85"/>
      <c r="AG14" s="151"/>
    </row>
    <row r="15" spans="1:33" x14ac:dyDescent="0.25">
      <c r="A15" s="87" t="s">
        <v>124</v>
      </c>
      <c r="B15" s="84">
        <v>1295391795</v>
      </c>
      <c r="C15" s="85">
        <v>3</v>
      </c>
      <c r="D15" s="85">
        <v>2017</v>
      </c>
      <c r="E15" s="151">
        <v>361829</v>
      </c>
      <c r="F15" s="86" t="s">
        <v>351</v>
      </c>
      <c r="G15" s="85">
        <v>3</v>
      </c>
      <c r="H15" s="85">
        <v>2018</v>
      </c>
      <c r="I15" s="151">
        <v>172880</v>
      </c>
      <c r="J15" s="86" t="s">
        <v>351</v>
      </c>
      <c r="K15" s="85">
        <v>3</v>
      </c>
      <c r="L15" s="85">
        <v>2019</v>
      </c>
      <c r="M15" s="151">
        <v>89920</v>
      </c>
      <c r="N15" s="86" t="s">
        <v>351</v>
      </c>
      <c r="O15" s="85">
        <v>3</v>
      </c>
      <c r="P15" s="85">
        <v>2020</v>
      </c>
      <c r="Q15" s="151">
        <v>234039</v>
      </c>
      <c r="R15" s="86" t="s">
        <v>351</v>
      </c>
      <c r="S15" s="85">
        <v>3</v>
      </c>
      <c r="T15" s="85">
        <v>2021</v>
      </c>
      <c r="U15" s="151">
        <v>109816</v>
      </c>
      <c r="V15" s="86" t="s">
        <v>351</v>
      </c>
      <c r="W15" s="85">
        <v>3</v>
      </c>
      <c r="X15" s="85">
        <v>2022</v>
      </c>
      <c r="Y15" s="151">
        <v>79875</v>
      </c>
      <c r="Z15" s="86" t="s">
        <v>351</v>
      </c>
      <c r="AA15" s="85">
        <v>3</v>
      </c>
      <c r="AB15" s="85">
        <v>2023</v>
      </c>
      <c r="AC15" s="151">
        <v>92724</v>
      </c>
      <c r="AD15" t="s">
        <v>351</v>
      </c>
      <c r="AE15" s="85"/>
      <c r="AF15" s="85"/>
      <c r="AG15" s="151" t="s">
        <v>596</v>
      </c>
    </row>
    <row r="16" spans="1:33" x14ac:dyDescent="0.25">
      <c r="A16" s="87" t="s">
        <v>125</v>
      </c>
      <c r="B16" s="84">
        <v>1598262198</v>
      </c>
      <c r="C16" s="85">
        <v>3</v>
      </c>
      <c r="D16" s="85">
        <v>2017</v>
      </c>
      <c r="E16" s="151">
        <v>87224.7</v>
      </c>
      <c r="F16" s="86" t="s">
        <v>351</v>
      </c>
      <c r="G16" s="85">
        <v>3</v>
      </c>
      <c r="H16" s="85">
        <v>2019</v>
      </c>
      <c r="I16" s="151">
        <v>140606</v>
      </c>
      <c r="J16" s="86" t="s">
        <v>351</v>
      </c>
      <c r="K16" s="85">
        <v>3</v>
      </c>
      <c r="L16" s="85">
        <v>2020</v>
      </c>
      <c r="M16" s="151">
        <v>381647</v>
      </c>
      <c r="N16" s="86" t="s">
        <v>351</v>
      </c>
      <c r="O16" s="85">
        <v>3</v>
      </c>
      <c r="P16" s="85">
        <v>2022</v>
      </c>
      <c r="Q16" s="151">
        <v>59050</v>
      </c>
      <c r="R16" s="86" t="s">
        <v>351</v>
      </c>
      <c r="S16" s="85">
        <v>3</v>
      </c>
      <c r="T16" s="85">
        <v>2023</v>
      </c>
      <c r="U16" s="151">
        <v>114207</v>
      </c>
      <c r="V16" s="86" t="s">
        <v>351</v>
      </c>
      <c r="W16" s="85"/>
      <c r="X16" s="85"/>
      <c r="Y16" s="151"/>
      <c r="Z16" s="86" t="s">
        <v>351</v>
      </c>
      <c r="AA16" s="85"/>
      <c r="AB16" s="85"/>
      <c r="AC16" s="151"/>
      <c r="AD16" t="s">
        <v>351</v>
      </c>
      <c r="AE16" s="85"/>
      <c r="AF16" s="85"/>
      <c r="AG16" s="151"/>
    </row>
    <row r="17" spans="1:33" x14ac:dyDescent="0.25">
      <c r="A17" s="87" t="s">
        <v>126</v>
      </c>
      <c r="B17" s="84">
        <v>1437627593</v>
      </c>
      <c r="C17" s="85">
        <v>3</v>
      </c>
      <c r="D17" s="85">
        <v>2019</v>
      </c>
      <c r="E17" s="151">
        <v>187909</v>
      </c>
      <c r="F17" s="86" t="s">
        <v>351</v>
      </c>
      <c r="G17" s="85">
        <v>3</v>
      </c>
      <c r="H17" s="85">
        <v>2020</v>
      </c>
      <c r="I17" s="151">
        <v>252674</v>
      </c>
      <c r="J17" s="86" t="s">
        <v>351</v>
      </c>
      <c r="K17" s="85">
        <v>3</v>
      </c>
      <c r="L17" s="85">
        <v>2021</v>
      </c>
      <c r="M17" s="151">
        <v>1057941</v>
      </c>
      <c r="N17" s="86" t="s">
        <v>351</v>
      </c>
      <c r="O17" s="85">
        <v>3</v>
      </c>
      <c r="P17" s="85">
        <v>2022</v>
      </c>
      <c r="Q17" s="151">
        <v>181215</v>
      </c>
      <c r="R17" s="86" t="s">
        <v>351</v>
      </c>
      <c r="S17" s="85">
        <v>3</v>
      </c>
      <c r="T17" s="85">
        <v>2023</v>
      </c>
      <c r="U17" s="151">
        <v>118041</v>
      </c>
      <c r="V17" s="86" t="s">
        <v>351</v>
      </c>
      <c r="W17" s="85"/>
      <c r="X17" s="85"/>
      <c r="Y17" s="151"/>
      <c r="Z17" s="86" t="s">
        <v>351</v>
      </c>
      <c r="AA17" s="85"/>
      <c r="AB17" s="85"/>
      <c r="AC17" s="151"/>
      <c r="AD17" t="s">
        <v>351</v>
      </c>
      <c r="AE17" s="85"/>
      <c r="AF17" s="85"/>
      <c r="AG17" s="151"/>
    </row>
    <row r="18" spans="1:33" x14ac:dyDescent="0.25">
      <c r="A18" s="87" t="s">
        <v>381</v>
      </c>
      <c r="B18" s="84">
        <v>1598233645</v>
      </c>
      <c r="C18" s="85">
        <v>3</v>
      </c>
      <c r="D18" s="85">
        <v>2017</v>
      </c>
      <c r="E18" s="151">
        <v>77358.929999999993</v>
      </c>
      <c r="F18" s="86" t="s">
        <v>351</v>
      </c>
      <c r="G18" s="85">
        <v>3</v>
      </c>
      <c r="H18" s="85">
        <v>2018</v>
      </c>
      <c r="I18" s="151">
        <v>101071</v>
      </c>
      <c r="J18" s="86" t="s">
        <v>351</v>
      </c>
      <c r="K18" s="85">
        <v>3</v>
      </c>
      <c r="L18" s="85">
        <v>2019</v>
      </c>
      <c r="M18" s="151">
        <v>352500</v>
      </c>
      <c r="N18" s="86" t="s">
        <v>351</v>
      </c>
      <c r="O18" s="85">
        <v>3</v>
      </c>
      <c r="P18" s="85">
        <v>2020</v>
      </c>
      <c r="Q18" s="151">
        <v>257580</v>
      </c>
      <c r="R18" s="86" t="s">
        <v>351</v>
      </c>
      <c r="S18" s="85">
        <v>3</v>
      </c>
      <c r="T18" s="85">
        <v>2021</v>
      </c>
      <c r="U18" s="151">
        <v>66573</v>
      </c>
      <c r="V18" s="86" t="s">
        <v>351</v>
      </c>
      <c r="W18" s="85">
        <v>3</v>
      </c>
      <c r="X18" s="85">
        <v>2023</v>
      </c>
      <c r="Y18" s="151">
        <v>90417</v>
      </c>
      <c r="Z18" s="86" t="s">
        <v>351</v>
      </c>
      <c r="AA18" s="85"/>
      <c r="AB18" s="85"/>
      <c r="AC18" s="151"/>
      <c r="AD18" t="s">
        <v>351</v>
      </c>
      <c r="AE18" s="85"/>
      <c r="AF18" s="85"/>
      <c r="AG18" s="151" t="s">
        <v>596</v>
      </c>
    </row>
    <row r="19" spans="1:33" x14ac:dyDescent="0.25">
      <c r="A19" s="87" t="s">
        <v>127</v>
      </c>
      <c r="B19" s="84">
        <v>1659849701</v>
      </c>
      <c r="C19" s="85">
        <v>3</v>
      </c>
      <c r="D19" s="85">
        <v>2016</v>
      </c>
      <c r="E19" s="151">
        <v>93526</v>
      </c>
      <c r="F19" s="86" t="s">
        <v>351</v>
      </c>
      <c r="G19" s="85">
        <v>3</v>
      </c>
      <c r="H19" s="85">
        <v>2019</v>
      </c>
      <c r="I19" s="151">
        <v>154581</v>
      </c>
      <c r="J19" s="86" t="s">
        <v>351</v>
      </c>
      <c r="K19" s="85">
        <v>3</v>
      </c>
      <c r="L19" s="85">
        <v>2020</v>
      </c>
      <c r="M19" s="151">
        <v>461468</v>
      </c>
      <c r="N19" s="86" t="s">
        <v>351</v>
      </c>
      <c r="O19" s="85">
        <v>3</v>
      </c>
      <c r="P19" s="85">
        <v>2021</v>
      </c>
      <c r="Q19" s="151">
        <v>161121</v>
      </c>
      <c r="R19" s="86" t="s">
        <v>351</v>
      </c>
      <c r="S19" s="85">
        <v>3</v>
      </c>
      <c r="T19" s="85">
        <v>2022</v>
      </c>
      <c r="U19" s="151">
        <v>64500</v>
      </c>
      <c r="V19" s="86" t="s">
        <v>351</v>
      </c>
      <c r="W19" s="85">
        <v>3</v>
      </c>
      <c r="X19" s="85">
        <v>2023</v>
      </c>
      <c r="Y19" s="151">
        <v>145003</v>
      </c>
      <c r="Z19" s="86" t="s">
        <v>351</v>
      </c>
      <c r="AA19" s="85"/>
      <c r="AB19" s="85"/>
      <c r="AC19" s="151"/>
      <c r="AD19" t="s">
        <v>351</v>
      </c>
      <c r="AE19" s="85"/>
      <c r="AF19" s="85"/>
      <c r="AG19" s="151" t="s">
        <v>596</v>
      </c>
    </row>
    <row r="20" spans="1:33" x14ac:dyDescent="0.25">
      <c r="A20" s="87" t="s">
        <v>128</v>
      </c>
      <c r="B20" s="84">
        <v>1770149270</v>
      </c>
      <c r="C20" s="85">
        <v>3</v>
      </c>
      <c r="D20" s="85">
        <v>2016</v>
      </c>
      <c r="E20" s="151">
        <v>75833</v>
      </c>
      <c r="F20" s="86" t="s">
        <v>351</v>
      </c>
      <c r="G20" s="85">
        <v>3</v>
      </c>
      <c r="H20" s="85">
        <v>2017</v>
      </c>
      <c r="I20" s="151">
        <v>41699.5</v>
      </c>
      <c r="J20" s="86" t="s">
        <v>351</v>
      </c>
      <c r="K20" s="85">
        <v>3</v>
      </c>
      <c r="L20" s="85">
        <v>2019</v>
      </c>
      <c r="M20" s="151">
        <v>141317</v>
      </c>
      <c r="N20" s="86" t="s">
        <v>351</v>
      </c>
      <c r="O20" s="85">
        <v>3</v>
      </c>
      <c r="P20" s="85">
        <v>2020</v>
      </c>
      <c r="Q20" s="151">
        <v>429326</v>
      </c>
      <c r="R20" s="86" t="s">
        <v>351</v>
      </c>
      <c r="S20" s="85">
        <v>3</v>
      </c>
      <c r="T20" s="85">
        <v>2021</v>
      </c>
      <c r="U20" s="151">
        <v>73943</v>
      </c>
      <c r="V20" s="86" t="s">
        <v>351</v>
      </c>
      <c r="W20" s="85">
        <v>3</v>
      </c>
      <c r="X20" s="85">
        <v>2023</v>
      </c>
      <c r="Y20" s="151">
        <v>120820</v>
      </c>
      <c r="Z20" s="86" t="s">
        <v>351</v>
      </c>
      <c r="AA20" s="85"/>
      <c r="AB20" s="85"/>
      <c r="AC20" s="151"/>
      <c r="AD20" t="s">
        <v>351</v>
      </c>
      <c r="AE20" s="85"/>
      <c r="AF20" s="85"/>
      <c r="AG20" s="151" t="s">
        <v>596</v>
      </c>
    </row>
    <row r="21" spans="1:33" x14ac:dyDescent="0.25">
      <c r="A21" s="87" t="s">
        <v>129</v>
      </c>
      <c r="B21" s="84">
        <v>1699310839</v>
      </c>
      <c r="C21" s="85">
        <v>3</v>
      </c>
      <c r="D21" s="85">
        <v>2016</v>
      </c>
      <c r="E21" s="151">
        <v>71266</v>
      </c>
      <c r="F21" s="86" t="s">
        <v>351</v>
      </c>
      <c r="G21" s="85">
        <v>3</v>
      </c>
      <c r="H21" s="85">
        <v>2017</v>
      </c>
      <c r="I21" s="151">
        <v>104838.39</v>
      </c>
      <c r="J21" s="86" t="s">
        <v>351</v>
      </c>
      <c r="K21" s="85">
        <v>3</v>
      </c>
      <c r="L21" s="85">
        <v>2019</v>
      </c>
      <c r="M21" s="151">
        <v>162370</v>
      </c>
      <c r="N21" s="86" t="s">
        <v>351</v>
      </c>
      <c r="O21" s="85">
        <v>3</v>
      </c>
      <c r="P21" s="85">
        <v>2020</v>
      </c>
      <c r="Q21" s="151">
        <v>466161</v>
      </c>
      <c r="R21" s="86" t="s">
        <v>351</v>
      </c>
      <c r="S21" s="85">
        <v>3</v>
      </c>
      <c r="T21" s="85">
        <v>2021</v>
      </c>
      <c r="U21" s="151">
        <v>543486</v>
      </c>
      <c r="V21" s="86" t="s">
        <v>351</v>
      </c>
      <c r="W21" s="85">
        <v>3</v>
      </c>
      <c r="X21" s="85">
        <v>2022</v>
      </c>
      <c r="Y21" s="151">
        <v>148527</v>
      </c>
      <c r="Z21" s="86" t="s">
        <v>351</v>
      </c>
      <c r="AA21" s="85">
        <v>3</v>
      </c>
      <c r="AB21" s="85">
        <v>2023</v>
      </c>
      <c r="AC21" s="151">
        <v>314877</v>
      </c>
      <c r="AD21" t="s">
        <v>351</v>
      </c>
      <c r="AE21" s="85"/>
      <c r="AF21" s="85"/>
      <c r="AG21" s="151" t="s">
        <v>596</v>
      </c>
    </row>
    <row r="22" spans="1:33" x14ac:dyDescent="0.25">
      <c r="A22" s="87" t="s">
        <v>130</v>
      </c>
      <c r="B22" s="84">
        <v>1932606530</v>
      </c>
      <c r="C22" s="85">
        <v>3</v>
      </c>
      <c r="D22" s="85">
        <v>2019</v>
      </c>
      <c r="E22" s="151">
        <v>134210</v>
      </c>
      <c r="F22" s="86" t="s">
        <v>351</v>
      </c>
      <c r="G22" s="85">
        <v>3</v>
      </c>
      <c r="H22" s="85">
        <v>2020</v>
      </c>
      <c r="I22" s="151">
        <v>126779</v>
      </c>
      <c r="J22" s="86" t="s">
        <v>351</v>
      </c>
      <c r="K22" s="85">
        <v>3</v>
      </c>
      <c r="L22" s="85">
        <v>2021</v>
      </c>
      <c r="M22" s="151">
        <v>455216</v>
      </c>
      <c r="N22" s="86" t="s">
        <v>351</v>
      </c>
      <c r="O22" s="85">
        <v>3</v>
      </c>
      <c r="P22" s="85">
        <v>2022</v>
      </c>
      <c r="Q22" s="151">
        <v>244721</v>
      </c>
      <c r="R22" s="86" t="s">
        <v>351</v>
      </c>
      <c r="S22" s="85">
        <v>3</v>
      </c>
      <c r="T22" s="85">
        <v>2023</v>
      </c>
      <c r="U22" s="151">
        <v>85836</v>
      </c>
      <c r="V22" s="86" t="s">
        <v>351</v>
      </c>
      <c r="W22" s="85"/>
      <c r="X22" s="85"/>
      <c r="Y22" s="151"/>
      <c r="Z22" s="86" t="s">
        <v>351</v>
      </c>
      <c r="AA22" s="85"/>
      <c r="AB22" s="85"/>
      <c r="AC22" s="151"/>
      <c r="AD22" t="s">
        <v>351</v>
      </c>
      <c r="AE22" s="85"/>
      <c r="AF22" s="85"/>
      <c r="AG22" s="151" t="s">
        <v>596</v>
      </c>
    </row>
    <row r="23" spans="1:33" x14ac:dyDescent="0.25">
      <c r="A23" s="87" t="s">
        <v>131</v>
      </c>
      <c r="B23" s="84">
        <v>1528505757</v>
      </c>
      <c r="C23" s="85">
        <v>3</v>
      </c>
      <c r="D23" s="85">
        <v>2016</v>
      </c>
      <c r="E23" s="151">
        <v>50007</v>
      </c>
      <c r="F23" s="89" t="s">
        <v>351</v>
      </c>
      <c r="G23" s="85">
        <v>3</v>
      </c>
      <c r="H23" s="85">
        <v>2017</v>
      </c>
      <c r="I23" s="151">
        <v>95997</v>
      </c>
      <c r="J23" s="86" t="s">
        <v>351</v>
      </c>
      <c r="K23" s="85">
        <v>3</v>
      </c>
      <c r="L23" s="85">
        <v>2018</v>
      </c>
      <c r="M23" s="151">
        <v>51312</v>
      </c>
      <c r="N23" s="86" t="s">
        <v>351</v>
      </c>
      <c r="O23" s="88">
        <v>3</v>
      </c>
      <c r="P23" s="88">
        <v>2019</v>
      </c>
      <c r="Q23" s="153">
        <v>43134</v>
      </c>
      <c r="R23" s="86" t="s">
        <v>351</v>
      </c>
      <c r="S23" s="90">
        <v>3</v>
      </c>
      <c r="T23" s="90">
        <v>2020</v>
      </c>
      <c r="U23" s="154">
        <v>108761</v>
      </c>
      <c r="V23" s="86" t="s">
        <v>351</v>
      </c>
      <c r="W23" s="90"/>
      <c r="X23" s="90"/>
      <c r="Y23" s="154"/>
      <c r="Z23" s="86" t="s">
        <v>351</v>
      </c>
      <c r="AA23" s="90"/>
      <c r="AB23" s="90"/>
      <c r="AC23" s="154"/>
      <c r="AD23" t="s">
        <v>351</v>
      </c>
      <c r="AE23" s="90"/>
      <c r="AF23" s="90"/>
      <c r="AG23" s="154" t="s">
        <v>596</v>
      </c>
    </row>
    <row r="24" spans="1:33" x14ac:dyDescent="0.25">
      <c r="A24" s="87" t="s">
        <v>382</v>
      </c>
      <c r="B24" s="84">
        <v>1972071033</v>
      </c>
      <c r="C24" s="85">
        <v>3</v>
      </c>
      <c r="D24" s="85">
        <v>2016</v>
      </c>
      <c r="E24" s="151">
        <v>153165</v>
      </c>
      <c r="F24" s="86" t="s">
        <v>351</v>
      </c>
      <c r="G24" s="85">
        <v>3</v>
      </c>
      <c r="H24" s="85">
        <v>2017</v>
      </c>
      <c r="I24" s="151">
        <v>120286.43</v>
      </c>
      <c r="J24" s="86" t="s">
        <v>351</v>
      </c>
      <c r="K24" s="85">
        <v>3</v>
      </c>
      <c r="L24" s="85">
        <v>2018</v>
      </c>
      <c r="M24" s="151">
        <v>132573</v>
      </c>
      <c r="N24" s="86" t="s">
        <v>351</v>
      </c>
      <c r="O24" s="85">
        <v>3</v>
      </c>
      <c r="P24" s="85">
        <v>2019</v>
      </c>
      <c r="Q24" s="151">
        <v>611219</v>
      </c>
      <c r="R24" s="86" t="s">
        <v>351</v>
      </c>
      <c r="S24" s="85">
        <v>3</v>
      </c>
      <c r="T24" s="85">
        <v>2020</v>
      </c>
      <c r="U24" s="151">
        <v>501168</v>
      </c>
      <c r="V24" s="86" t="s">
        <v>351</v>
      </c>
      <c r="W24" s="85">
        <v>3</v>
      </c>
      <c r="X24" s="85">
        <v>2021</v>
      </c>
      <c r="Y24" s="151">
        <v>64676</v>
      </c>
      <c r="Z24" s="86" t="s">
        <v>351</v>
      </c>
      <c r="AA24" s="85">
        <v>3</v>
      </c>
      <c r="AB24" s="85">
        <v>2023</v>
      </c>
      <c r="AC24" s="151">
        <v>161331</v>
      </c>
      <c r="AD24" t="s">
        <v>351</v>
      </c>
      <c r="AE24" s="85"/>
      <c r="AF24" s="85"/>
      <c r="AG24" s="151" t="s">
        <v>596</v>
      </c>
    </row>
    <row r="25" spans="1:33" x14ac:dyDescent="0.25">
      <c r="A25" s="84" t="s">
        <v>383</v>
      </c>
      <c r="B25" s="84">
        <v>1841840378</v>
      </c>
      <c r="C25" s="85">
        <v>3</v>
      </c>
      <c r="D25" s="85">
        <v>2018</v>
      </c>
      <c r="E25" s="151">
        <v>81507</v>
      </c>
      <c r="F25" s="86" t="s">
        <v>351</v>
      </c>
      <c r="G25" s="85">
        <v>3</v>
      </c>
      <c r="H25" s="85">
        <v>2019</v>
      </c>
      <c r="I25" s="151">
        <v>55410</v>
      </c>
      <c r="J25" s="86" t="s">
        <v>351</v>
      </c>
      <c r="K25" s="85">
        <v>3</v>
      </c>
      <c r="L25" s="85">
        <v>2020</v>
      </c>
      <c r="M25" s="151">
        <v>63984</v>
      </c>
      <c r="N25" s="86" t="s">
        <v>351</v>
      </c>
      <c r="O25" s="85">
        <v>3</v>
      </c>
      <c r="P25" s="85">
        <v>2021</v>
      </c>
      <c r="Q25" s="151">
        <v>37479</v>
      </c>
      <c r="R25" s="86" t="s">
        <v>351</v>
      </c>
      <c r="S25" s="85">
        <v>3</v>
      </c>
      <c r="T25" s="85">
        <v>2023</v>
      </c>
      <c r="U25" s="151">
        <v>60341</v>
      </c>
      <c r="V25" s="86" t="s">
        <v>351</v>
      </c>
      <c r="W25" s="85"/>
      <c r="X25" s="85"/>
      <c r="Y25" s="151"/>
      <c r="Z25" s="86" t="s">
        <v>351</v>
      </c>
      <c r="AA25" s="85"/>
      <c r="AB25" s="85"/>
      <c r="AC25" s="151"/>
      <c r="AD25" t="s">
        <v>351</v>
      </c>
      <c r="AE25" s="85"/>
      <c r="AF25" s="85"/>
      <c r="AG25" s="151" t="s">
        <v>596</v>
      </c>
    </row>
    <row r="26" spans="1:33" x14ac:dyDescent="0.25">
      <c r="A26" s="87" t="s">
        <v>132</v>
      </c>
      <c r="B26" s="84">
        <v>1245737840</v>
      </c>
      <c r="C26" s="85">
        <v>3</v>
      </c>
      <c r="D26" s="85">
        <v>2016</v>
      </c>
      <c r="E26" s="151">
        <v>88007</v>
      </c>
      <c r="F26" s="86" t="s">
        <v>351</v>
      </c>
      <c r="G26" s="85">
        <v>3</v>
      </c>
      <c r="H26" s="85">
        <v>2019</v>
      </c>
      <c r="I26" s="151">
        <v>136181</v>
      </c>
      <c r="J26" s="86" t="s">
        <v>351</v>
      </c>
      <c r="K26" s="85">
        <v>3</v>
      </c>
      <c r="L26" s="85">
        <v>2020</v>
      </c>
      <c r="M26" s="151">
        <v>458634</v>
      </c>
      <c r="N26" s="86" t="s">
        <v>351</v>
      </c>
      <c r="O26" s="85">
        <v>3</v>
      </c>
      <c r="P26" s="85">
        <v>2021</v>
      </c>
      <c r="Q26" s="151">
        <v>645975</v>
      </c>
      <c r="R26" s="86" t="s">
        <v>351</v>
      </c>
      <c r="S26" s="85">
        <v>3</v>
      </c>
      <c r="T26" s="85">
        <v>2022</v>
      </c>
      <c r="U26" s="151">
        <v>461321</v>
      </c>
      <c r="V26" s="86" t="s">
        <v>351</v>
      </c>
      <c r="W26" s="85"/>
      <c r="X26" s="85"/>
      <c r="Y26" s="151"/>
      <c r="Z26" s="86" t="s">
        <v>351</v>
      </c>
      <c r="AA26" s="85"/>
      <c r="AB26" s="85"/>
      <c r="AC26" s="151"/>
      <c r="AD26" t="s">
        <v>351</v>
      </c>
      <c r="AE26" s="85"/>
      <c r="AF26" s="85"/>
      <c r="AG26" s="151"/>
    </row>
    <row r="27" spans="1:33" x14ac:dyDescent="0.25">
      <c r="A27" s="84" t="s">
        <v>133</v>
      </c>
      <c r="B27" s="84">
        <v>1760032296</v>
      </c>
      <c r="C27" s="85">
        <v>3</v>
      </c>
      <c r="D27" s="85">
        <v>2020</v>
      </c>
      <c r="E27" s="151">
        <v>133403</v>
      </c>
      <c r="F27" s="86" t="s">
        <v>351</v>
      </c>
      <c r="G27" s="85">
        <v>3</v>
      </c>
      <c r="H27" s="85">
        <v>2021</v>
      </c>
      <c r="I27" s="151">
        <v>745472</v>
      </c>
      <c r="J27" s="86" t="s">
        <v>351</v>
      </c>
      <c r="K27" s="85">
        <v>3</v>
      </c>
      <c r="L27" s="85">
        <v>2022</v>
      </c>
      <c r="M27" s="151">
        <v>386498</v>
      </c>
      <c r="N27" s="86" t="s">
        <v>351</v>
      </c>
      <c r="O27" s="85">
        <v>3</v>
      </c>
      <c r="P27" s="85">
        <v>2023</v>
      </c>
      <c r="Q27" s="151">
        <v>313583</v>
      </c>
      <c r="R27" s="86" t="s">
        <v>351</v>
      </c>
      <c r="S27" s="85"/>
      <c r="T27" s="85"/>
      <c r="U27" s="151"/>
      <c r="V27" s="86" t="s">
        <v>351</v>
      </c>
      <c r="W27" s="85"/>
      <c r="X27" s="85"/>
      <c r="Y27" s="151"/>
      <c r="Z27" s="86" t="s">
        <v>351</v>
      </c>
      <c r="AA27" s="85"/>
      <c r="AB27" s="85"/>
      <c r="AC27" s="151"/>
      <c r="AD27" t="s">
        <v>351</v>
      </c>
      <c r="AE27" s="85"/>
      <c r="AF27" s="85"/>
      <c r="AG27" s="151" t="s">
        <v>596</v>
      </c>
    </row>
    <row r="28" spans="1:33" x14ac:dyDescent="0.25">
      <c r="A28" s="87" t="s">
        <v>134</v>
      </c>
      <c r="B28" s="84">
        <v>1205357878</v>
      </c>
      <c r="C28" s="85">
        <v>3</v>
      </c>
      <c r="D28" s="85">
        <v>2020</v>
      </c>
      <c r="E28" s="151">
        <v>145462</v>
      </c>
      <c r="F28" s="86" t="s">
        <v>351</v>
      </c>
      <c r="G28" s="85">
        <v>3</v>
      </c>
      <c r="H28" s="85">
        <v>2021</v>
      </c>
      <c r="I28" s="151">
        <v>73207</v>
      </c>
      <c r="J28" s="86" t="s">
        <v>351</v>
      </c>
      <c r="K28" s="85">
        <v>3</v>
      </c>
      <c r="L28" s="85">
        <v>2022</v>
      </c>
      <c r="M28" s="151">
        <v>92170</v>
      </c>
      <c r="N28" s="86" t="s">
        <v>351</v>
      </c>
      <c r="O28" s="85">
        <v>3</v>
      </c>
      <c r="P28" s="85">
        <v>2023</v>
      </c>
      <c r="Q28" s="151">
        <v>171910</v>
      </c>
      <c r="R28" s="86" t="s">
        <v>351</v>
      </c>
      <c r="S28" s="85"/>
      <c r="T28" s="85"/>
      <c r="U28" s="151"/>
      <c r="V28" s="86" t="s">
        <v>351</v>
      </c>
      <c r="W28" s="85"/>
      <c r="X28" s="85"/>
      <c r="Y28" s="151"/>
      <c r="Z28" s="86" t="s">
        <v>351</v>
      </c>
      <c r="AA28" s="85"/>
      <c r="AB28" s="85"/>
      <c r="AC28" s="151"/>
      <c r="AD28" t="s">
        <v>351</v>
      </c>
      <c r="AE28" s="85"/>
      <c r="AF28" s="85"/>
      <c r="AG28" s="151" t="s">
        <v>596</v>
      </c>
    </row>
    <row r="29" spans="1:33" x14ac:dyDescent="0.25">
      <c r="A29" s="84" t="s">
        <v>385</v>
      </c>
      <c r="B29" s="84">
        <v>1578059085</v>
      </c>
      <c r="C29" s="85">
        <v>3</v>
      </c>
      <c r="D29" s="85">
        <v>2016</v>
      </c>
      <c r="E29" s="151">
        <v>62373</v>
      </c>
      <c r="F29" s="86" t="s">
        <v>351</v>
      </c>
      <c r="G29" s="85">
        <v>3</v>
      </c>
      <c r="H29" s="85">
        <v>2017</v>
      </c>
      <c r="I29" s="151">
        <v>47940.05</v>
      </c>
      <c r="J29" s="86" t="s">
        <v>351</v>
      </c>
      <c r="K29" s="85">
        <v>3</v>
      </c>
      <c r="L29" s="85">
        <v>2018</v>
      </c>
      <c r="M29" s="151">
        <v>57359</v>
      </c>
      <c r="N29" s="86" t="s">
        <v>351</v>
      </c>
      <c r="O29" s="85">
        <v>3</v>
      </c>
      <c r="P29" s="85">
        <v>2019</v>
      </c>
      <c r="Q29" s="151">
        <v>374060</v>
      </c>
      <c r="R29" s="86" t="s">
        <v>351</v>
      </c>
      <c r="S29" s="85">
        <v>3</v>
      </c>
      <c r="T29" s="85">
        <v>2020</v>
      </c>
      <c r="U29" s="151">
        <v>405365</v>
      </c>
      <c r="V29" s="86" t="s">
        <v>351</v>
      </c>
      <c r="W29" s="85">
        <v>3</v>
      </c>
      <c r="X29" s="85">
        <v>2021</v>
      </c>
      <c r="Y29" s="151">
        <v>754596</v>
      </c>
      <c r="Z29" s="86" t="s">
        <v>351</v>
      </c>
      <c r="AA29" s="85">
        <v>3</v>
      </c>
      <c r="AB29" s="85">
        <v>2022</v>
      </c>
      <c r="AC29" s="151">
        <v>136136</v>
      </c>
      <c r="AD29" t="s">
        <v>351</v>
      </c>
      <c r="AE29" s="85">
        <v>3</v>
      </c>
      <c r="AF29" s="85">
        <v>2023</v>
      </c>
      <c r="AG29" s="151">
        <v>271674</v>
      </c>
    </row>
    <row r="30" spans="1:33" x14ac:dyDescent="0.25">
      <c r="A30" s="87" t="s">
        <v>386</v>
      </c>
      <c r="B30" s="84">
        <v>1366552739</v>
      </c>
      <c r="C30" s="85">
        <v>3</v>
      </c>
      <c r="D30" s="85">
        <v>2018</v>
      </c>
      <c r="E30" s="151">
        <v>70312</v>
      </c>
      <c r="F30" s="86" t="s">
        <v>351</v>
      </c>
      <c r="G30" s="85">
        <v>3</v>
      </c>
      <c r="H30" s="85">
        <v>2019</v>
      </c>
      <c r="I30" s="151">
        <v>148548</v>
      </c>
      <c r="J30" s="86" t="s">
        <v>351</v>
      </c>
      <c r="K30" s="85">
        <v>3</v>
      </c>
      <c r="L30" s="85">
        <v>2020</v>
      </c>
      <c r="M30" s="151">
        <v>157863</v>
      </c>
      <c r="N30" s="86" t="s">
        <v>351</v>
      </c>
      <c r="O30" s="85">
        <v>3</v>
      </c>
      <c r="P30" s="85">
        <v>2021</v>
      </c>
      <c r="Q30" s="151">
        <v>49706</v>
      </c>
      <c r="R30" s="86" t="s">
        <v>351</v>
      </c>
      <c r="S30" s="85">
        <v>3</v>
      </c>
      <c r="T30" s="85">
        <v>2022</v>
      </c>
      <c r="U30" s="151">
        <v>136727</v>
      </c>
      <c r="V30" s="86" t="s">
        <v>351</v>
      </c>
      <c r="W30" s="85">
        <v>3</v>
      </c>
      <c r="X30" s="85">
        <v>2023</v>
      </c>
      <c r="Y30" s="151">
        <v>158465</v>
      </c>
      <c r="Z30" s="86" t="s">
        <v>351</v>
      </c>
      <c r="AA30" s="85"/>
      <c r="AB30" s="85"/>
      <c r="AC30" s="151"/>
      <c r="AD30" t="s">
        <v>351</v>
      </c>
      <c r="AE30" s="85"/>
      <c r="AF30" s="85"/>
      <c r="AG30" s="151"/>
    </row>
    <row r="31" spans="1:33" x14ac:dyDescent="0.25">
      <c r="A31" s="87" t="s">
        <v>387</v>
      </c>
      <c r="B31" s="84">
        <v>1114501442</v>
      </c>
      <c r="C31" s="85">
        <v>3</v>
      </c>
      <c r="D31" s="85">
        <v>2021</v>
      </c>
      <c r="E31" s="151">
        <v>77785</v>
      </c>
      <c r="F31" s="86" t="s">
        <v>351</v>
      </c>
      <c r="G31" s="85">
        <v>3</v>
      </c>
      <c r="H31" s="85">
        <v>2022</v>
      </c>
      <c r="I31" s="151">
        <v>173208</v>
      </c>
      <c r="J31" s="86" t="s">
        <v>351</v>
      </c>
      <c r="K31" s="85"/>
      <c r="L31" s="85"/>
      <c r="M31" s="151"/>
      <c r="N31" s="86" t="s">
        <v>351</v>
      </c>
      <c r="O31" s="85"/>
      <c r="P31" s="85"/>
      <c r="Q31" s="151"/>
      <c r="R31" s="86" t="s">
        <v>351</v>
      </c>
      <c r="S31" s="85"/>
      <c r="T31" s="85"/>
      <c r="U31" s="151"/>
      <c r="V31" s="86" t="s">
        <v>351</v>
      </c>
      <c r="W31" s="85"/>
      <c r="X31" s="85"/>
      <c r="Y31" s="151"/>
      <c r="Z31" s="86" t="s">
        <v>351</v>
      </c>
      <c r="AA31" s="85"/>
      <c r="AB31" s="85"/>
      <c r="AC31" s="151"/>
      <c r="AD31" t="s">
        <v>351</v>
      </c>
      <c r="AE31" s="85"/>
      <c r="AF31" s="85"/>
      <c r="AG31" s="151"/>
    </row>
    <row r="32" spans="1:33" x14ac:dyDescent="0.25">
      <c r="A32" s="84" t="s">
        <v>135</v>
      </c>
      <c r="B32" s="84">
        <v>1245337880</v>
      </c>
      <c r="C32" s="85">
        <v>3</v>
      </c>
      <c r="D32" s="85">
        <v>2017</v>
      </c>
      <c r="E32" s="151">
        <v>712842</v>
      </c>
      <c r="F32" s="86" t="s">
        <v>351</v>
      </c>
      <c r="G32" s="85">
        <v>3</v>
      </c>
      <c r="H32" s="85">
        <v>2018</v>
      </c>
      <c r="I32" s="151">
        <v>104599</v>
      </c>
      <c r="J32" s="86" t="s">
        <v>351</v>
      </c>
      <c r="K32" s="85">
        <v>3</v>
      </c>
      <c r="L32" s="85">
        <v>2019</v>
      </c>
      <c r="M32" s="151">
        <v>188123</v>
      </c>
      <c r="N32" s="86" t="s">
        <v>351</v>
      </c>
      <c r="O32" s="85">
        <v>3</v>
      </c>
      <c r="P32" s="85">
        <v>2020</v>
      </c>
      <c r="Q32" s="151">
        <v>127397</v>
      </c>
      <c r="R32" s="86" t="s">
        <v>351</v>
      </c>
      <c r="S32" s="85">
        <v>3</v>
      </c>
      <c r="T32" s="85">
        <v>2023</v>
      </c>
      <c r="U32" s="151">
        <v>102576</v>
      </c>
      <c r="V32" s="86" t="s">
        <v>351</v>
      </c>
      <c r="W32" s="85"/>
      <c r="X32" s="85"/>
      <c r="Y32" s="151"/>
      <c r="Z32" s="86" t="s">
        <v>351</v>
      </c>
      <c r="AA32" s="85"/>
      <c r="AB32" s="85"/>
      <c r="AC32" s="151"/>
      <c r="AD32" t="s">
        <v>351</v>
      </c>
      <c r="AE32" s="85"/>
      <c r="AF32" s="85"/>
      <c r="AG32" s="151" t="s">
        <v>596</v>
      </c>
    </row>
    <row r="33" spans="1:33" x14ac:dyDescent="0.25">
      <c r="A33" s="84" t="s">
        <v>647</v>
      </c>
      <c r="B33" s="84">
        <v>1639122328</v>
      </c>
      <c r="C33" s="85">
        <v>3</v>
      </c>
      <c r="D33" s="85">
        <v>2016</v>
      </c>
      <c r="E33" s="151">
        <v>35414</v>
      </c>
      <c r="F33" s="86" t="s">
        <v>351</v>
      </c>
      <c r="G33" s="85">
        <v>3</v>
      </c>
      <c r="H33" s="85">
        <v>2017</v>
      </c>
      <c r="I33" s="151">
        <v>37342</v>
      </c>
      <c r="J33" s="86" t="s">
        <v>351</v>
      </c>
      <c r="K33" s="85">
        <v>3</v>
      </c>
      <c r="L33" s="85">
        <v>2018</v>
      </c>
      <c r="M33" s="151">
        <v>95628</v>
      </c>
      <c r="N33" s="86" t="s">
        <v>351</v>
      </c>
      <c r="O33" s="85">
        <v>3</v>
      </c>
      <c r="P33" s="85">
        <v>2022</v>
      </c>
      <c r="Q33" s="151">
        <v>48718</v>
      </c>
      <c r="R33" s="86" t="s">
        <v>351</v>
      </c>
      <c r="S33" s="85">
        <v>3</v>
      </c>
      <c r="T33" s="85">
        <v>2023</v>
      </c>
      <c r="U33" s="151">
        <v>108286</v>
      </c>
      <c r="V33" s="86" t="s">
        <v>351</v>
      </c>
      <c r="W33" s="85"/>
      <c r="X33" s="85"/>
      <c r="Y33" s="151"/>
      <c r="Z33" s="86" t="s">
        <v>351</v>
      </c>
      <c r="AA33" s="85"/>
      <c r="AB33" s="85"/>
      <c r="AC33" s="151"/>
      <c r="AD33" t="s">
        <v>351</v>
      </c>
      <c r="AE33" s="85"/>
      <c r="AF33" s="85"/>
      <c r="AG33" s="151" t="s">
        <v>596</v>
      </c>
    </row>
    <row r="34" spans="1:33" x14ac:dyDescent="0.25">
      <c r="A34" s="84" t="s">
        <v>663</v>
      </c>
      <c r="B34" s="84">
        <v>1023671765</v>
      </c>
      <c r="C34" s="85">
        <v>3</v>
      </c>
      <c r="D34" s="85">
        <v>2017</v>
      </c>
      <c r="E34" s="151">
        <v>131963</v>
      </c>
      <c r="F34" s="86" t="s">
        <v>351</v>
      </c>
      <c r="G34" s="85">
        <v>3</v>
      </c>
      <c r="H34" s="85">
        <v>2020</v>
      </c>
      <c r="I34" s="151">
        <v>192586</v>
      </c>
      <c r="J34" s="86" t="s">
        <v>351</v>
      </c>
      <c r="K34" s="85">
        <v>3</v>
      </c>
      <c r="L34" s="85">
        <v>2021</v>
      </c>
      <c r="M34" s="151">
        <v>97432</v>
      </c>
      <c r="N34" s="86" t="s">
        <v>351</v>
      </c>
      <c r="O34" s="85">
        <v>3</v>
      </c>
      <c r="P34" s="85">
        <v>2023</v>
      </c>
      <c r="Q34" s="151">
        <v>179630</v>
      </c>
      <c r="R34" s="86" t="s">
        <v>351</v>
      </c>
      <c r="S34" s="85"/>
      <c r="T34" s="85"/>
      <c r="U34" s="151"/>
      <c r="V34" s="86" t="s">
        <v>351</v>
      </c>
      <c r="W34" s="85"/>
      <c r="X34" s="85"/>
      <c r="Y34" s="151"/>
      <c r="Z34" s="86" t="s">
        <v>351</v>
      </c>
      <c r="AA34" s="85"/>
      <c r="AB34" s="85"/>
      <c r="AC34" s="151"/>
      <c r="AD34" t="s">
        <v>351</v>
      </c>
      <c r="AE34" s="85"/>
      <c r="AF34" s="85"/>
      <c r="AG34" s="151" t="s">
        <v>596</v>
      </c>
    </row>
    <row r="35" spans="1:33" x14ac:dyDescent="0.25">
      <c r="A35" s="87" t="s">
        <v>136</v>
      </c>
      <c r="B35" s="84">
        <v>1962509505</v>
      </c>
      <c r="C35" s="85">
        <v>3</v>
      </c>
      <c r="D35" s="85">
        <v>2021</v>
      </c>
      <c r="E35" s="151">
        <v>476954</v>
      </c>
      <c r="F35" s="86" t="s">
        <v>351</v>
      </c>
      <c r="G35" s="85"/>
      <c r="H35" s="85"/>
      <c r="I35" s="151"/>
      <c r="J35" s="86" t="s">
        <v>351</v>
      </c>
      <c r="K35" s="85"/>
      <c r="L35" s="85"/>
      <c r="M35" s="151"/>
      <c r="N35" s="86" t="s">
        <v>351</v>
      </c>
      <c r="O35" s="85"/>
      <c r="P35" s="85"/>
      <c r="Q35" s="151"/>
      <c r="R35" s="86" t="s">
        <v>351</v>
      </c>
      <c r="S35" s="85"/>
      <c r="T35" s="85"/>
      <c r="U35" s="151"/>
      <c r="V35" s="86" t="s">
        <v>351</v>
      </c>
      <c r="W35" s="85"/>
      <c r="X35" s="85"/>
      <c r="Y35" s="151"/>
      <c r="Z35" s="86" t="s">
        <v>351</v>
      </c>
      <c r="AA35" s="85"/>
      <c r="AB35" s="85"/>
      <c r="AC35" s="151"/>
      <c r="AD35" t="s">
        <v>351</v>
      </c>
      <c r="AE35" s="85"/>
      <c r="AF35" s="85"/>
      <c r="AG35" s="151"/>
    </row>
    <row r="36" spans="1:33" x14ac:dyDescent="0.25">
      <c r="A36" s="87" t="s">
        <v>640</v>
      </c>
      <c r="B36" s="84">
        <v>1487060893</v>
      </c>
      <c r="C36" s="85">
        <v>3</v>
      </c>
      <c r="D36" s="85">
        <v>2017</v>
      </c>
      <c r="E36" s="151">
        <v>110234</v>
      </c>
      <c r="F36" s="86" t="s">
        <v>351</v>
      </c>
      <c r="G36" s="85">
        <v>3</v>
      </c>
      <c r="H36" s="85">
        <v>2019</v>
      </c>
      <c r="I36" s="151">
        <v>52500</v>
      </c>
      <c r="J36" s="86" t="s">
        <v>351</v>
      </c>
      <c r="K36" s="85">
        <v>3</v>
      </c>
      <c r="L36" s="85">
        <v>2023</v>
      </c>
      <c r="M36" s="151">
        <v>73811</v>
      </c>
      <c r="N36" s="86" t="s">
        <v>351</v>
      </c>
      <c r="O36" s="85"/>
      <c r="P36" s="85"/>
      <c r="Q36" s="151"/>
      <c r="R36" s="86" t="s">
        <v>351</v>
      </c>
      <c r="S36" s="85"/>
      <c r="T36" s="85"/>
      <c r="U36" s="151"/>
      <c r="V36" s="86" t="s">
        <v>351</v>
      </c>
      <c r="W36" s="85"/>
      <c r="X36" s="85"/>
      <c r="Y36" s="151"/>
      <c r="Z36" s="86" t="s">
        <v>351</v>
      </c>
      <c r="AA36" s="85"/>
      <c r="AB36" s="85"/>
      <c r="AC36" s="151"/>
      <c r="AD36" t="s">
        <v>351</v>
      </c>
      <c r="AE36" s="85"/>
      <c r="AF36" s="85"/>
      <c r="AG36" s="151" t="s">
        <v>596</v>
      </c>
    </row>
    <row r="37" spans="1:33" x14ac:dyDescent="0.25">
      <c r="A37" s="87" t="s">
        <v>388</v>
      </c>
      <c r="B37" s="84">
        <v>1992998504</v>
      </c>
      <c r="C37" s="85">
        <v>3</v>
      </c>
      <c r="D37" s="85">
        <v>2016</v>
      </c>
      <c r="E37" s="151">
        <v>569351</v>
      </c>
      <c r="F37" s="91" t="s">
        <v>351</v>
      </c>
      <c r="G37" s="85">
        <v>3</v>
      </c>
      <c r="H37" s="85">
        <v>2017</v>
      </c>
      <c r="I37" s="151">
        <v>110453</v>
      </c>
      <c r="J37" s="91" t="s">
        <v>351</v>
      </c>
      <c r="K37" s="85">
        <v>3</v>
      </c>
      <c r="L37" s="85">
        <v>2019</v>
      </c>
      <c r="M37" s="151">
        <v>75148</v>
      </c>
      <c r="N37" s="91" t="s">
        <v>351</v>
      </c>
      <c r="O37" s="85">
        <v>3</v>
      </c>
      <c r="P37" s="85">
        <v>2021</v>
      </c>
      <c r="Q37" s="151">
        <v>47500</v>
      </c>
      <c r="R37" s="91" t="s">
        <v>351</v>
      </c>
      <c r="S37" s="85">
        <v>3</v>
      </c>
      <c r="T37" s="85">
        <v>2022</v>
      </c>
      <c r="U37" s="151">
        <v>373178</v>
      </c>
      <c r="V37" s="86" t="s">
        <v>351</v>
      </c>
      <c r="W37" s="85">
        <v>3</v>
      </c>
      <c r="X37" s="85">
        <v>2023</v>
      </c>
      <c r="Y37" s="151">
        <v>61320</v>
      </c>
      <c r="Z37" s="86" t="s">
        <v>351</v>
      </c>
      <c r="AA37" s="85"/>
      <c r="AB37" s="85"/>
      <c r="AC37" s="151"/>
      <c r="AD37" t="s">
        <v>351</v>
      </c>
      <c r="AE37" s="85"/>
      <c r="AF37" s="85"/>
      <c r="AG37" s="151" t="s">
        <v>596</v>
      </c>
    </row>
    <row r="38" spans="1:33" x14ac:dyDescent="0.25">
      <c r="A38" s="87" t="s">
        <v>389</v>
      </c>
      <c r="B38" s="84">
        <v>1982130811</v>
      </c>
      <c r="C38" s="85"/>
      <c r="D38" s="85"/>
      <c r="E38" s="151"/>
      <c r="F38" s="86" t="s">
        <v>351</v>
      </c>
      <c r="G38" s="85"/>
      <c r="H38" s="85"/>
      <c r="I38" s="151"/>
      <c r="J38" s="86" t="s">
        <v>351</v>
      </c>
      <c r="K38" s="85"/>
      <c r="L38" s="85"/>
      <c r="M38" s="151"/>
      <c r="N38" s="86" t="s">
        <v>351</v>
      </c>
      <c r="O38" s="85"/>
      <c r="P38" s="85"/>
      <c r="Q38" s="151"/>
      <c r="R38" s="86" t="s">
        <v>351</v>
      </c>
      <c r="S38" s="85"/>
      <c r="T38" s="85"/>
      <c r="U38" s="151"/>
      <c r="V38" s="86" t="s">
        <v>351</v>
      </c>
      <c r="W38" s="85"/>
      <c r="X38" s="85"/>
      <c r="Y38" s="151"/>
      <c r="Z38" s="86" t="s">
        <v>351</v>
      </c>
      <c r="AA38" s="85"/>
      <c r="AB38" s="85"/>
      <c r="AC38" s="151"/>
      <c r="AD38" t="s">
        <v>351</v>
      </c>
      <c r="AE38" s="85"/>
      <c r="AF38" s="85"/>
      <c r="AG38" s="151"/>
    </row>
    <row r="39" spans="1:33" x14ac:dyDescent="0.25">
      <c r="A39" s="87" t="s">
        <v>390</v>
      </c>
      <c r="B39" s="84">
        <v>1194722629</v>
      </c>
      <c r="C39" s="85">
        <v>3</v>
      </c>
      <c r="D39" s="85">
        <v>2023</v>
      </c>
      <c r="E39" s="151">
        <v>72281</v>
      </c>
      <c r="F39" s="86" t="s">
        <v>351</v>
      </c>
      <c r="G39" s="85"/>
      <c r="H39" s="85"/>
      <c r="I39" s="151"/>
      <c r="J39" s="86" t="s">
        <v>351</v>
      </c>
      <c r="K39" s="85"/>
      <c r="L39" s="85"/>
      <c r="M39" s="151"/>
      <c r="N39" s="86" t="s">
        <v>351</v>
      </c>
      <c r="O39" s="85"/>
      <c r="P39" s="85"/>
      <c r="Q39" s="151"/>
      <c r="R39" s="86" t="s">
        <v>351</v>
      </c>
      <c r="S39" s="85"/>
      <c r="T39" s="85"/>
      <c r="U39" s="151"/>
      <c r="V39" s="86" t="s">
        <v>351</v>
      </c>
      <c r="W39" s="85"/>
      <c r="X39" s="85"/>
      <c r="Y39" s="151"/>
      <c r="Z39" s="86" t="s">
        <v>351</v>
      </c>
      <c r="AA39" s="85"/>
      <c r="AB39" s="85"/>
      <c r="AC39" s="151"/>
      <c r="AD39" t="s">
        <v>351</v>
      </c>
      <c r="AE39" s="85"/>
      <c r="AF39" s="85"/>
      <c r="AG39" s="151" t="s">
        <v>596</v>
      </c>
    </row>
    <row r="40" spans="1:33" x14ac:dyDescent="0.25">
      <c r="A40" s="84" t="s">
        <v>137</v>
      </c>
      <c r="B40" s="84">
        <v>1255878245</v>
      </c>
      <c r="C40" s="85">
        <v>3</v>
      </c>
      <c r="D40" s="85">
        <v>2018</v>
      </c>
      <c r="E40" s="151">
        <v>186231</v>
      </c>
      <c r="F40" s="86" t="s">
        <v>351</v>
      </c>
      <c r="G40" s="85">
        <v>3</v>
      </c>
      <c r="H40" s="85">
        <v>2019</v>
      </c>
      <c r="I40" s="151">
        <v>257515</v>
      </c>
      <c r="J40" s="86" t="s">
        <v>351</v>
      </c>
      <c r="K40" s="85">
        <v>3</v>
      </c>
      <c r="L40" s="85">
        <v>2021</v>
      </c>
      <c r="M40" s="151">
        <v>162836</v>
      </c>
      <c r="N40" s="86" t="s">
        <v>351</v>
      </c>
      <c r="O40" s="85"/>
      <c r="P40" s="85"/>
      <c r="Q40" s="151"/>
      <c r="R40" s="86" t="s">
        <v>351</v>
      </c>
      <c r="S40" s="85"/>
      <c r="T40" s="85"/>
      <c r="U40" s="151"/>
      <c r="V40" s="86" t="s">
        <v>351</v>
      </c>
      <c r="W40" s="85"/>
      <c r="X40" s="85"/>
      <c r="Y40" s="151"/>
      <c r="Z40" s="86" t="s">
        <v>351</v>
      </c>
      <c r="AA40" s="85"/>
      <c r="AB40" s="85"/>
      <c r="AC40" s="151"/>
      <c r="AD40" t="s">
        <v>351</v>
      </c>
      <c r="AE40" s="85"/>
      <c r="AF40" s="85"/>
      <c r="AG40" s="151" t="s">
        <v>596</v>
      </c>
    </row>
    <row r="41" spans="1:33" x14ac:dyDescent="0.25">
      <c r="A41" s="87" t="s">
        <v>138</v>
      </c>
      <c r="B41" s="84">
        <v>1376932889</v>
      </c>
      <c r="C41" s="85">
        <v>3</v>
      </c>
      <c r="D41" s="85">
        <v>2023</v>
      </c>
      <c r="E41" s="151">
        <v>138669</v>
      </c>
      <c r="F41" s="91" t="s">
        <v>351</v>
      </c>
      <c r="G41" s="85"/>
      <c r="H41" s="85"/>
      <c r="I41" s="151"/>
      <c r="J41" s="91" t="s">
        <v>351</v>
      </c>
      <c r="K41" s="85"/>
      <c r="L41" s="85"/>
      <c r="M41" s="151"/>
      <c r="N41" s="91" t="s">
        <v>351</v>
      </c>
      <c r="O41" s="85"/>
      <c r="P41" s="85"/>
      <c r="Q41" s="151"/>
      <c r="R41" s="91" t="s">
        <v>351</v>
      </c>
      <c r="S41" s="85"/>
      <c r="T41" s="85"/>
      <c r="U41" s="151"/>
      <c r="V41" s="86" t="s">
        <v>351</v>
      </c>
      <c r="W41" s="85"/>
      <c r="X41" s="85"/>
      <c r="Y41" s="151"/>
      <c r="Z41" s="86" t="s">
        <v>351</v>
      </c>
      <c r="AA41" s="85"/>
      <c r="AB41" s="85"/>
      <c r="AC41" s="151"/>
      <c r="AD41" t="s">
        <v>351</v>
      </c>
      <c r="AE41" s="85"/>
      <c r="AF41" s="85"/>
      <c r="AG41" s="151" t="s">
        <v>596</v>
      </c>
    </row>
    <row r="42" spans="1:33" x14ac:dyDescent="0.25">
      <c r="A42" s="84" t="s">
        <v>391</v>
      </c>
      <c r="B42" s="84">
        <v>1275519506</v>
      </c>
      <c r="C42" s="85">
        <v>3</v>
      </c>
      <c r="D42" s="85">
        <v>2018</v>
      </c>
      <c r="E42" s="151">
        <v>85530</v>
      </c>
      <c r="F42" s="86" t="s">
        <v>351</v>
      </c>
      <c r="G42" s="85">
        <v>3</v>
      </c>
      <c r="H42" s="85">
        <v>2019</v>
      </c>
      <c r="I42" s="151">
        <v>85530</v>
      </c>
      <c r="J42" s="86" t="s">
        <v>351</v>
      </c>
      <c r="K42" s="85">
        <v>3</v>
      </c>
      <c r="L42" s="85">
        <v>2021</v>
      </c>
      <c r="M42" s="151">
        <v>70471</v>
      </c>
      <c r="N42" s="86" t="s">
        <v>351</v>
      </c>
      <c r="O42" s="85">
        <v>3</v>
      </c>
      <c r="P42" s="85">
        <v>2022</v>
      </c>
      <c r="Q42" s="151">
        <v>55393</v>
      </c>
      <c r="R42" s="86" t="s">
        <v>351</v>
      </c>
      <c r="S42" s="85"/>
      <c r="T42" s="85"/>
      <c r="U42" s="151"/>
      <c r="V42" s="86" t="s">
        <v>351</v>
      </c>
      <c r="W42" s="85"/>
      <c r="X42" s="85"/>
      <c r="Y42" s="151"/>
      <c r="Z42" s="86" t="s">
        <v>351</v>
      </c>
      <c r="AA42" s="85"/>
      <c r="AB42" s="85"/>
      <c r="AC42" s="151"/>
      <c r="AD42" t="s">
        <v>351</v>
      </c>
      <c r="AE42" s="85"/>
      <c r="AF42" s="85"/>
      <c r="AG42" s="151" t="s">
        <v>596</v>
      </c>
    </row>
    <row r="43" spans="1:33" x14ac:dyDescent="0.25">
      <c r="A43" s="87" t="s">
        <v>139</v>
      </c>
      <c r="B43" s="84">
        <v>1114463932</v>
      </c>
      <c r="C43" s="85">
        <v>3</v>
      </c>
      <c r="D43" s="85">
        <v>2018</v>
      </c>
      <c r="E43" s="151">
        <v>854447</v>
      </c>
      <c r="F43" s="86" t="s">
        <v>351</v>
      </c>
      <c r="G43" s="85">
        <v>3</v>
      </c>
      <c r="H43" s="85">
        <v>2020</v>
      </c>
      <c r="I43" s="151">
        <v>60304</v>
      </c>
      <c r="J43" s="86" t="s">
        <v>351</v>
      </c>
      <c r="K43" s="85">
        <v>3</v>
      </c>
      <c r="L43" s="85">
        <v>2022</v>
      </c>
      <c r="M43" s="151">
        <v>111452</v>
      </c>
      <c r="N43" s="86" t="s">
        <v>351</v>
      </c>
      <c r="O43" s="85">
        <v>3</v>
      </c>
      <c r="P43" s="85">
        <v>2023</v>
      </c>
      <c r="Q43" s="151">
        <v>66642</v>
      </c>
      <c r="R43" s="86" t="s">
        <v>351</v>
      </c>
      <c r="S43" s="85"/>
      <c r="T43" s="85"/>
      <c r="U43" s="151"/>
      <c r="V43" s="86" t="s">
        <v>351</v>
      </c>
      <c r="W43" s="85"/>
      <c r="X43" s="85"/>
      <c r="Y43" s="151"/>
      <c r="Z43" s="86" t="s">
        <v>351</v>
      </c>
      <c r="AA43" s="85"/>
      <c r="AB43" s="85"/>
      <c r="AC43" s="151"/>
      <c r="AD43" t="s">
        <v>351</v>
      </c>
      <c r="AE43" s="85"/>
      <c r="AF43" s="85"/>
      <c r="AG43" s="151" t="s">
        <v>596</v>
      </c>
    </row>
    <row r="44" spans="1:33" x14ac:dyDescent="0.25">
      <c r="A44" s="87" t="s">
        <v>392</v>
      </c>
      <c r="B44" s="84">
        <v>1609852375</v>
      </c>
      <c r="C44" s="85">
        <v>3</v>
      </c>
      <c r="D44" s="85">
        <v>2018</v>
      </c>
      <c r="E44" s="151">
        <v>82956</v>
      </c>
      <c r="F44" s="86" t="s">
        <v>351</v>
      </c>
      <c r="G44" s="85">
        <v>3</v>
      </c>
      <c r="H44" s="85">
        <v>2021</v>
      </c>
      <c r="I44" s="151">
        <v>78210</v>
      </c>
      <c r="J44" s="86" t="s">
        <v>351</v>
      </c>
      <c r="K44" s="85">
        <v>3</v>
      </c>
      <c r="L44" s="85">
        <v>2023</v>
      </c>
      <c r="M44" s="151">
        <v>95221</v>
      </c>
      <c r="N44" s="86" t="s">
        <v>351</v>
      </c>
      <c r="O44" s="85"/>
      <c r="P44" s="85"/>
      <c r="Q44" s="151"/>
      <c r="R44" s="86" t="s">
        <v>351</v>
      </c>
      <c r="S44" s="85"/>
      <c r="T44" s="85"/>
      <c r="U44" s="151"/>
      <c r="V44" s="86" t="s">
        <v>351</v>
      </c>
      <c r="W44" s="85"/>
      <c r="X44" s="85"/>
      <c r="Y44" s="151"/>
      <c r="Z44" s="86" t="s">
        <v>351</v>
      </c>
      <c r="AA44" s="85"/>
      <c r="AB44" s="85"/>
      <c r="AC44" s="151"/>
      <c r="AD44" t="s">
        <v>351</v>
      </c>
      <c r="AE44" s="85"/>
      <c r="AF44" s="85"/>
      <c r="AG44" s="151" t="s">
        <v>596</v>
      </c>
    </row>
    <row r="45" spans="1:33" x14ac:dyDescent="0.25">
      <c r="A45" s="84" t="s">
        <v>140</v>
      </c>
      <c r="B45" s="84">
        <v>1093791337</v>
      </c>
      <c r="C45" s="85">
        <v>3</v>
      </c>
      <c r="D45" s="85">
        <v>2018</v>
      </c>
      <c r="E45" s="151">
        <v>165953</v>
      </c>
      <c r="F45" s="86" t="s">
        <v>351</v>
      </c>
      <c r="G45" s="85">
        <v>3</v>
      </c>
      <c r="H45" s="85">
        <v>2019</v>
      </c>
      <c r="I45" s="151">
        <v>79546</v>
      </c>
      <c r="J45" s="86" t="s">
        <v>351</v>
      </c>
      <c r="K45" s="85">
        <v>3</v>
      </c>
      <c r="L45" s="85">
        <v>2021</v>
      </c>
      <c r="M45" s="151">
        <v>110808</v>
      </c>
      <c r="N45" s="86" t="s">
        <v>351</v>
      </c>
      <c r="O45" s="85">
        <v>3</v>
      </c>
      <c r="P45" s="85">
        <v>2022</v>
      </c>
      <c r="Q45" s="151">
        <v>100557</v>
      </c>
      <c r="R45" s="86" t="s">
        <v>351</v>
      </c>
      <c r="S45" s="85">
        <v>3</v>
      </c>
      <c r="T45" s="85">
        <v>2023</v>
      </c>
      <c r="U45" s="151">
        <v>158515</v>
      </c>
      <c r="V45" s="86" t="s">
        <v>351</v>
      </c>
      <c r="W45" s="85"/>
      <c r="X45" s="85"/>
      <c r="Y45" s="151"/>
      <c r="Z45" s="86" t="s">
        <v>351</v>
      </c>
      <c r="AA45" s="85"/>
      <c r="AB45" s="85"/>
      <c r="AC45" s="151"/>
      <c r="AD45" t="s">
        <v>351</v>
      </c>
      <c r="AE45" s="85"/>
      <c r="AF45" s="85"/>
      <c r="AG45" s="151" t="s">
        <v>596</v>
      </c>
    </row>
    <row r="46" spans="1:33" x14ac:dyDescent="0.25">
      <c r="A46" s="84" t="s">
        <v>141</v>
      </c>
      <c r="B46" s="84">
        <v>1073599635</v>
      </c>
      <c r="C46" s="85">
        <v>3</v>
      </c>
      <c r="D46" s="85">
        <v>2018</v>
      </c>
      <c r="E46" s="151">
        <v>501525</v>
      </c>
      <c r="F46" s="86" t="s">
        <v>351</v>
      </c>
      <c r="G46" s="85">
        <v>3</v>
      </c>
      <c r="H46" s="85">
        <v>2020</v>
      </c>
      <c r="I46" s="151">
        <v>71770</v>
      </c>
      <c r="J46" s="86" t="s">
        <v>351</v>
      </c>
      <c r="K46" s="85">
        <v>3</v>
      </c>
      <c r="L46" s="85">
        <v>2021</v>
      </c>
      <c r="M46" s="151">
        <v>76979</v>
      </c>
      <c r="N46" s="86" t="s">
        <v>351</v>
      </c>
      <c r="O46" s="85">
        <v>3</v>
      </c>
      <c r="P46" s="85">
        <v>2023</v>
      </c>
      <c r="Q46" s="151">
        <v>78680</v>
      </c>
      <c r="R46" s="86" t="s">
        <v>351</v>
      </c>
      <c r="S46" s="85"/>
      <c r="T46" s="85"/>
      <c r="U46" s="151"/>
      <c r="V46" s="86" t="s">
        <v>351</v>
      </c>
      <c r="W46" s="85"/>
      <c r="X46" s="85"/>
      <c r="Y46" s="151"/>
      <c r="Z46" s="86" t="s">
        <v>351</v>
      </c>
      <c r="AA46" s="85"/>
      <c r="AB46" s="85"/>
      <c r="AC46" s="151"/>
      <c r="AD46" t="s">
        <v>351</v>
      </c>
      <c r="AE46" s="85"/>
      <c r="AF46" s="85"/>
      <c r="AG46" s="151" t="s">
        <v>596</v>
      </c>
    </row>
    <row r="47" spans="1:33" x14ac:dyDescent="0.25">
      <c r="A47" s="87" t="s">
        <v>142</v>
      </c>
      <c r="B47" s="84">
        <v>1053396788</v>
      </c>
      <c r="C47" s="85">
        <v>3</v>
      </c>
      <c r="D47" s="85">
        <v>2017</v>
      </c>
      <c r="E47" s="151">
        <v>106450</v>
      </c>
      <c r="F47" s="86" t="s">
        <v>351</v>
      </c>
      <c r="G47" s="85">
        <v>3</v>
      </c>
      <c r="H47" s="85">
        <v>2018</v>
      </c>
      <c r="I47" s="151">
        <v>117490</v>
      </c>
      <c r="J47" s="86" t="s">
        <v>351</v>
      </c>
      <c r="K47" s="85">
        <v>3</v>
      </c>
      <c r="L47" s="85">
        <v>2020</v>
      </c>
      <c r="M47" s="151">
        <v>100647</v>
      </c>
      <c r="N47" s="86" t="s">
        <v>351</v>
      </c>
      <c r="O47" s="85">
        <v>3</v>
      </c>
      <c r="P47" s="85">
        <v>2022</v>
      </c>
      <c r="Q47" s="151">
        <v>211423</v>
      </c>
      <c r="R47" s="86" t="s">
        <v>351</v>
      </c>
      <c r="S47" s="85">
        <v>3</v>
      </c>
      <c r="T47" s="85">
        <v>2023</v>
      </c>
      <c r="U47" s="151">
        <v>252439</v>
      </c>
      <c r="V47" s="86" t="s">
        <v>351</v>
      </c>
      <c r="W47" s="85"/>
      <c r="X47" s="85"/>
      <c r="Y47" s="151"/>
      <c r="Z47" s="86" t="s">
        <v>351</v>
      </c>
      <c r="AA47" s="85"/>
      <c r="AB47" s="85"/>
      <c r="AC47" s="151"/>
      <c r="AD47" t="s">
        <v>351</v>
      </c>
      <c r="AE47" s="85"/>
      <c r="AF47" s="85"/>
      <c r="AG47" s="151" t="s">
        <v>596</v>
      </c>
    </row>
    <row r="48" spans="1:33" x14ac:dyDescent="0.25">
      <c r="A48" s="84" t="s">
        <v>143</v>
      </c>
      <c r="B48" s="84">
        <v>1851377543</v>
      </c>
      <c r="C48" s="85">
        <v>3</v>
      </c>
      <c r="D48" s="85">
        <v>2017</v>
      </c>
      <c r="E48" s="151">
        <v>41131</v>
      </c>
      <c r="F48" s="86" t="s">
        <v>351</v>
      </c>
      <c r="G48" s="85">
        <v>3</v>
      </c>
      <c r="H48" s="85">
        <v>2018</v>
      </c>
      <c r="I48" s="151">
        <v>67976</v>
      </c>
      <c r="J48" s="86" t="s">
        <v>351</v>
      </c>
      <c r="K48" s="85">
        <v>3</v>
      </c>
      <c r="L48" s="85">
        <v>2019</v>
      </c>
      <c r="M48" s="151">
        <v>44116</v>
      </c>
      <c r="N48" s="86" t="s">
        <v>351</v>
      </c>
      <c r="O48" s="85">
        <v>3</v>
      </c>
      <c r="P48" s="85">
        <v>2020</v>
      </c>
      <c r="Q48" s="151">
        <v>75708</v>
      </c>
      <c r="R48" s="86" t="s">
        <v>351</v>
      </c>
      <c r="S48" s="85">
        <v>3</v>
      </c>
      <c r="T48" s="85">
        <v>2021</v>
      </c>
      <c r="U48" s="151">
        <v>96270</v>
      </c>
      <c r="V48" s="86" t="s">
        <v>351</v>
      </c>
      <c r="W48" s="85">
        <v>3</v>
      </c>
      <c r="X48" s="85">
        <v>2022</v>
      </c>
      <c r="Y48" s="151">
        <v>97993</v>
      </c>
      <c r="Z48" s="86" t="s">
        <v>351</v>
      </c>
      <c r="AA48" s="85">
        <v>3</v>
      </c>
      <c r="AB48" s="85">
        <v>2023</v>
      </c>
      <c r="AC48" s="151">
        <v>256357</v>
      </c>
      <c r="AD48" t="s">
        <v>351</v>
      </c>
      <c r="AE48" s="85"/>
      <c r="AF48" s="85"/>
      <c r="AG48" s="151" t="s">
        <v>596</v>
      </c>
    </row>
    <row r="49" spans="1:33" x14ac:dyDescent="0.25">
      <c r="A49" s="87" t="s">
        <v>144</v>
      </c>
      <c r="B49" s="84">
        <v>1508842295</v>
      </c>
      <c r="C49" s="85">
        <v>3</v>
      </c>
      <c r="D49" s="85">
        <v>2017</v>
      </c>
      <c r="E49" s="151">
        <v>71007</v>
      </c>
      <c r="F49" s="86" t="s">
        <v>351</v>
      </c>
      <c r="G49" s="85">
        <v>3</v>
      </c>
      <c r="H49" s="85">
        <v>2018</v>
      </c>
      <c r="I49" s="151">
        <v>680929</v>
      </c>
      <c r="J49" s="86" t="s">
        <v>351</v>
      </c>
      <c r="K49" s="85">
        <v>3</v>
      </c>
      <c r="L49" s="85">
        <v>2020</v>
      </c>
      <c r="M49" s="151">
        <v>92808</v>
      </c>
      <c r="N49" s="86" t="s">
        <v>351</v>
      </c>
      <c r="O49" s="85"/>
      <c r="P49" s="85"/>
      <c r="Q49" s="151"/>
      <c r="R49" s="86" t="s">
        <v>351</v>
      </c>
      <c r="S49" s="85"/>
      <c r="T49" s="85"/>
      <c r="U49" s="151"/>
      <c r="V49" s="86" t="s">
        <v>351</v>
      </c>
      <c r="W49" s="85"/>
      <c r="X49" s="85"/>
      <c r="Y49" s="151"/>
      <c r="Z49" s="86" t="s">
        <v>351</v>
      </c>
      <c r="AA49" s="85"/>
      <c r="AB49" s="85"/>
      <c r="AC49" s="151"/>
      <c r="AD49" t="s">
        <v>351</v>
      </c>
      <c r="AE49" s="85"/>
      <c r="AF49" s="85"/>
      <c r="AG49" s="151"/>
    </row>
    <row r="50" spans="1:33" x14ac:dyDescent="0.25">
      <c r="A50" s="87" t="s">
        <v>145</v>
      </c>
      <c r="B50" s="84">
        <v>1639155302</v>
      </c>
      <c r="C50" s="85">
        <v>3</v>
      </c>
      <c r="D50" s="85">
        <v>2018</v>
      </c>
      <c r="E50" s="151">
        <v>104008</v>
      </c>
      <c r="F50" s="86" t="s">
        <v>351</v>
      </c>
      <c r="G50" s="85">
        <v>3</v>
      </c>
      <c r="H50" s="85">
        <v>2019</v>
      </c>
      <c r="I50" s="151">
        <v>65513</v>
      </c>
      <c r="J50" s="86" t="s">
        <v>351</v>
      </c>
      <c r="K50" s="85">
        <v>3</v>
      </c>
      <c r="L50" s="85">
        <v>2020</v>
      </c>
      <c r="M50" s="151">
        <v>52423</v>
      </c>
      <c r="N50" s="86" t="s">
        <v>351</v>
      </c>
      <c r="O50" s="85">
        <v>3</v>
      </c>
      <c r="P50" s="85">
        <v>2022</v>
      </c>
      <c r="Q50" s="151">
        <v>127634</v>
      </c>
      <c r="R50" s="86" t="s">
        <v>351</v>
      </c>
      <c r="S50" s="85">
        <v>3</v>
      </c>
      <c r="T50" s="85">
        <v>2023</v>
      </c>
      <c r="U50" s="151">
        <v>96359</v>
      </c>
      <c r="V50" s="86" t="s">
        <v>351</v>
      </c>
      <c r="W50" s="85"/>
      <c r="X50" s="85"/>
      <c r="Y50" s="151"/>
      <c r="Z50" s="86" t="s">
        <v>351</v>
      </c>
      <c r="AA50" s="85"/>
      <c r="AB50" s="85"/>
      <c r="AC50" s="151"/>
      <c r="AD50" t="s">
        <v>351</v>
      </c>
      <c r="AE50" s="85"/>
      <c r="AF50" s="85"/>
      <c r="AG50" s="151" t="s">
        <v>596</v>
      </c>
    </row>
    <row r="51" spans="1:33" x14ac:dyDescent="0.25">
      <c r="A51" s="84" t="s">
        <v>146</v>
      </c>
      <c r="B51" s="84">
        <v>1346226040</v>
      </c>
      <c r="C51" s="85">
        <v>3</v>
      </c>
      <c r="D51" s="85">
        <v>2018</v>
      </c>
      <c r="E51" s="151">
        <v>192313</v>
      </c>
      <c r="F51" s="86" t="s">
        <v>351</v>
      </c>
      <c r="G51" s="85">
        <v>3</v>
      </c>
      <c r="H51" s="85">
        <v>2019</v>
      </c>
      <c r="I51" s="151">
        <v>87748</v>
      </c>
      <c r="J51" s="86" t="s">
        <v>351</v>
      </c>
      <c r="K51" s="85">
        <v>3</v>
      </c>
      <c r="L51" s="85">
        <v>2020</v>
      </c>
      <c r="M51" s="151">
        <v>232217</v>
      </c>
      <c r="N51" s="86" t="s">
        <v>351</v>
      </c>
      <c r="O51" s="85">
        <v>3</v>
      </c>
      <c r="P51" s="85">
        <v>2022</v>
      </c>
      <c r="Q51" s="151">
        <v>52844</v>
      </c>
      <c r="R51" s="86" t="s">
        <v>351</v>
      </c>
      <c r="S51" s="85">
        <v>3</v>
      </c>
      <c r="T51" s="85">
        <v>2023</v>
      </c>
      <c r="U51" s="151">
        <v>61878</v>
      </c>
      <c r="V51" s="86" t="s">
        <v>351</v>
      </c>
      <c r="W51" s="85"/>
      <c r="X51" s="85"/>
      <c r="Y51" s="151"/>
      <c r="Z51" s="86" t="s">
        <v>351</v>
      </c>
      <c r="AA51" s="85"/>
      <c r="AB51" s="85"/>
      <c r="AC51" s="151"/>
      <c r="AD51" t="s">
        <v>351</v>
      </c>
      <c r="AE51" s="85"/>
      <c r="AF51" s="85"/>
      <c r="AG51" s="151" t="s">
        <v>596</v>
      </c>
    </row>
    <row r="52" spans="1:33" x14ac:dyDescent="0.25">
      <c r="A52" s="87" t="s">
        <v>147</v>
      </c>
      <c r="B52" s="84">
        <v>1730722240</v>
      </c>
      <c r="C52" s="85">
        <v>3</v>
      </c>
      <c r="D52" s="85">
        <v>2018</v>
      </c>
      <c r="E52" s="151">
        <v>83213</v>
      </c>
      <c r="F52" s="86" t="s">
        <v>351</v>
      </c>
      <c r="G52" s="85">
        <v>1</v>
      </c>
      <c r="H52" s="85">
        <v>2018</v>
      </c>
      <c r="I52" s="151">
        <v>-30</v>
      </c>
      <c r="J52" s="86" t="s">
        <v>351</v>
      </c>
      <c r="K52" s="85">
        <v>3</v>
      </c>
      <c r="L52" s="85">
        <v>2018</v>
      </c>
      <c r="M52" s="151">
        <v>297526</v>
      </c>
      <c r="N52" s="86" t="s">
        <v>351</v>
      </c>
      <c r="O52" s="85">
        <v>3</v>
      </c>
      <c r="P52" s="85">
        <v>2021</v>
      </c>
      <c r="Q52" s="151">
        <v>69734</v>
      </c>
      <c r="R52" s="86" t="s">
        <v>351</v>
      </c>
      <c r="S52" s="85">
        <v>3</v>
      </c>
      <c r="T52" s="85">
        <v>2022</v>
      </c>
      <c r="U52" s="151">
        <v>112634</v>
      </c>
      <c r="V52" s="86" t="s">
        <v>351</v>
      </c>
      <c r="W52" s="85">
        <v>3</v>
      </c>
      <c r="X52" s="85">
        <v>2023</v>
      </c>
      <c r="Y52" s="151">
        <v>103121</v>
      </c>
      <c r="Z52" s="86" t="s">
        <v>351</v>
      </c>
      <c r="AA52" s="85"/>
      <c r="AB52" s="85"/>
      <c r="AC52" s="151"/>
      <c r="AD52" t="s">
        <v>351</v>
      </c>
      <c r="AE52" s="85"/>
      <c r="AF52" s="85"/>
      <c r="AG52" s="151" t="s">
        <v>596</v>
      </c>
    </row>
    <row r="53" spans="1:33" x14ac:dyDescent="0.25">
      <c r="A53" s="84" t="s">
        <v>148</v>
      </c>
      <c r="B53" s="84">
        <v>1528044294</v>
      </c>
      <c r="C53" s="85">
        <v>3</v>
      </c>
      <c r="D53" s="85">
        <v>2018</v>
      </c>
      <c r="E53" s="151">
        <v>71463</v>
      </c>
      <c r="F53" s="86" t="s">
        <v>351</v>
      </c>
      <c r="G53" s="85">
        <v>3</v>
      </c>
      <c r="H53" s="85">
        <v>2019</v>
      </c>
      <c r="I53" s="151">
        <v>65529</v>
      </c>
      <c r="J53" s="86" t="s">
        <v>351</v>
      </c>
      <c r="K53" s="85">
        <v>3</v>
      </c>
      <c r="L53" s="85">
        <v>2020</v>
      </c>
      <c r="M53" s="151">
        <v>63311</v>
      </c>
      <c r="N53" s="86" t="s">
        <v>351</v>
      </c>
      <c r="O53" s="85">
        <v>3</v>
      </c>
      <c r="P53" s="85">
        <v>2021</v>
      </c>
      <c r="Q53" s="151">
        <v>345594</v>
      </c>
      <c r="R53" s="86" t="s">
        <v>351</v>
      </c>
      <c r="S53" s="85">
        <v>3</v>
      </c>
      <c r="T53" s="85">
        <v>2022</v>
      </c>
      <c r="U53" s="151">
        <v>150564</v>
      </c>
      <c r="V53" s="86" t="s">
        <v>351</v>
      </c>
      <c r="W53" s="85">
        <v>3</v>
      </c>
      <c r="X53" s="85">
        <v>2023</v>
      </c>
      <c r="Y53" s="151">
        <v>133144</v>
      </c>
      <c r="Z53" s="86" t="s">
        <v>351</v>
      </c>
      <c r="AA53" s="85"/>
      <c r="AB53" s="85"/>
      <c r="AC53" s="151"/>
      <c r="AD53" t="s">
        <v>351</v>
      </c>
      <c r="AE53" s="85"/>
      <c r="AF53" s="85"/>
      <c r="AG53" s="151" t="s">
        <v>596</v>
      </c>
    </row>
    <row r="54" spans="1:33" x14ac:dyDescent="0.25">
      <c r="A54" s="87" t="s">
        <v>149</v>
      </c>
      <c r="B54" s="84">
        <v>1356372650</v>
      </c>
      <c r="C54" s="85">
        <v>3</v>
      </c>
      <c r="D54" s="85">
        <v>2018</v>
      </c>
      <c r="E54" s="151">
        <v>63418</v>
      </c>
      <c r="F54" s="86" t="s">
        <v>351</v>
      </c>
      <c r="G54" s="85">
        <v>3</v>
      </c>
      <c r="H54" s="85">
        <v>2018</v>
      </c>
      <c r="I54" s="151">
        <v>225346</v>
      </c>
      <c r="J54" s="86" t="s">
        <v>351</v>
      </c>
      <c r="K54" s="85">
        <v>3</v>
      </c>
      <c r="L54" s="85">
        <v>2021</v>
      </c>
      <c r="M54" s="151">
        <v>91463</v>
      </c>
      <c r="N54" s="86" t="s">
        <v>351</v>
      </c>
      <c r="O54" s="85">
        <v>3</v>
      </c>
      <c r="P54" s="85">
        <v>2023</v>
      </c>
      <c r="Q54" s="151">
        <v>145277</v>
      </c>
      <c r="R54" s="86" t="s">
        <v>351</v>
      </c>
      <c r="S54" s="85"/>
      <c r="T54" s="85"/>
      <c r="U54" s="151"/>
      <c r="V54" s="86" t="s">
        <v>351</v>
      </c>
      <c r="W54" s="85"/>
      <c r="X54" s="85"/>
      <c r="Y54" s="151"/>
      <c r="Z54" s="86" t="s">
        <v>351</v>
      </c>
      <c r="AA54" s="85"/>
      <c r="AB54" s="85"/>
      <c r="AC54" s="151"/>
      <c r="AD54" t="s">
        <v>351</v>
      </c>
      <c r="AE54" s="85"/>
      <c r="AF54" s="85"/>
      <c r="AG54" s="151" t="s">
        <v>596</v>
      </c>
    </row>
    <row r="55" spans="1:33" x14ac:dyDescent="0.25">
      <c r="A55" s="87" t="s">
        <v>393</v>
      </c>
      <c r="B55" s="84">
        <v>1255682522</v>
      </c>
      <c r="C55" s="85">
        <v>3</v>
      </c>
      <c r="D55" s="85">
        <v>2016</v>
      </c>
      <c r="E55" s="151">
        <v>48022</v>
      </c>
      <c r="F55" s="86" t="s">
        <v>351</v>
      </c>
      <c r="G55" s="85">
        <v>3</v>
      </c>
      <c r="H55" s="85">
        <v>2019</v>
      </c>
      <c r="I55" s="151">
        <v>58255</v>
      </c>
      <c r="J55" s="86" t="s">
        <v>351</v>
      </c>
      <c r="K55" s="85">
        <v>3</v>
      </c>
      <c r="L55" s="85">
        <v>2021</v>
      </c>
      <c r="M55" s="151">
        <v>99807</v>
      </c>
      <c r="N55" s="86" t="s">
        <v>351</v>
      </c>
      <c r="O55" s="85">
        <v>3</v>
      </c>
      <c r="P55" s="85">
        <v>2022</v>
      </c>
      <c r="Q55" s="151">
        <v>103729</v>
      </c>
      <c r="R55" s="86" t="s">
        <v>351</v>
      </c>
      <c r="S55" s="85">
        <v>3</v>
      </c>
      <c r="T55" s="85">
        <v>2023</v>
      </c>
      <c r="U55" s="151">
        <v>44461</v>
      </c>
      <c r="V55" s="86" t="s">
        <v>351</v>
      </c>
      <c r="W55" s="85"/>
      <c r="X55" s="85"/>
      <c r="Y55" s="151"/>
      <c r="Z55" s="86" t="s">
        <v>351</v>
      </c>
      <c r="AA55" s="85"/>
      <c r="AB55" s="85"/>
      <c r="AC55" s="151"/>
      <c r="AD55" t="s">
        <v>351</v>
      </c>
      <c r="AE55" s="85"/>
      <c r="AF55" s="85"/>
      <c r="AG55" s="151" t="s">
        <v>596</v>
      </c>
    </row>
    <row r="56" spans="1:33" x14ac:dyDescent="0.25">
      <c r="A56" s="84" t="s">
        <v>394</v>
      </c>
      <c r="B56" s="84">
        <v>1225064777</v>
      </c>
      <c r="C56" s="85">
        <v>3</v>
      </c>
      <c r="D56" s="85">
        <v>2018</v>
      </c>
      <c r="E56" s="151">
        <v>184391</v>
      </c>
      <c r="F56" s="86" t="s">
        <v>351</v>
      </c>
      <c r="G56" s="85">
        <v>3</v>
      </c>
      <c r="H56" s="85">
        <v>2019</v>
      </c>
      <c r="I56" s="151">
        <v>54354</v>
      </c>
      <c r="J56" s="86" t="s">
        <v>351</v>
      </c>
      <c r="K56" s="85">
        <v>3</v>
      </c>
      <c r="L56" s="85">
        <v>2022</v>
      </c>
      <c r="M56" s="151">
        <v>596146</v>
      </c>
      <c r="N56" s="86" t="s">
        <v>351</v>
      </c>
      <c r="O56" s="85">
        <v>3</v>
      </c>
      <c r="P56" s="85">
        <v>2023</v>
      </c>
      <c r="Q56" s="151">
        <v>47312</v>
      </c>
      <c r="R56" s="86" t="s">
        <v>351</v>
      </c>
      <c r="S56" s="85"/>
      <c r="T56" s="85"/>
      <c r="U56" s="151"/>
      <c r="V56" s="86" t="s">
        <v>351</v>
      </c>
      <c r="W56" s="85"/>
      <c r="X56" s="85"/>
      <c r="Y56" s="151"/>
      <c r="Z56" s="86" t="s">
        <v>351</v>
      </c>
      <c r="AA56" s="85"/>
      <c r="AB56" s="85"/>
      <c r="AC56" s="151"/>
      <c r="AD56" t="s">
        <v>351</v>
      </c>
      <c r="AE56" s="85"/>
      <c r="AF56" s="85"/>
      <c r="AG56" s="151" t="s">
        <v>596</v>
      </c>
    </row>
    <row r="57" spans="1:33" x14ac:dyDescent="0.25">
      <c r="A57" s="84" t="s">
        <v>395</v>
      </c>
      <c r="B57" s="84">
        <v>1649254582</v>
      </c>
      <c r="C57" s="85">
        <v>3</v>
      </c>
      <c r="D57" s="85">
        <v>2017</v>
      </c>
      <c r="E57" s="151">
        <v>83747</v>
      </c>
      <c r="F57" s="86" t="s">
        <v>351</v>
      </c>
      <c r="G57" s="85">
        <v>3</v>
      </c>
      <c r="H57" s="85">
        <v>2021</v>
      </c>
      <c r="I57" s="151">
        <v>520171</v>
      </c>
      <c r="J57" s="86" t="s">
        <v>351</v>
      </c>
      <c r="K57" s="85">
        <v>3</v>
      </c>
      <c r="L57" s="85">
        <v>2022</v>
      </c>
      <c r="M57" s="151">
        <v>187029</v>
      </c>
      <c r="N57" s="86" t="s">
        <v>351</v>
      </c>
      <c r="O57" s="85"/>
      <c r="P57" s="85"/>
      <c r="Q57" s="151"/>
      <c r="R57" s="86" t="s">
        <v>351</v>
      </c>
      <c r="S57" s="85"/>
      <c r="T57" s="85"/>
      <c r="U57" s="151"/>
      <c r="V57" s="86" t="s">
        <v>351</v>
      </c>
      <c r="W57" s="85"/>
      <c r="X57" s="85"/>
      <c r="Y57" s="151"/>
      <c r="Z57" s="86" t="s">
        <v>351</v>
      </c>
      <c r="AA57" s="85"/>
      <c r="AB57" s="85"/>
      <c r="AC57" s="151"/>
      <c r="AD57" t="s">
        <v>351</v>
      </c>
      <c r="AE57" s="85"/>
      <c r="AF57" s="85"/>
      <c r="AG57" s="151"/>
    </row>
    <row r="58" spans="1:33" x14ac:dyDescent="0.25">
      <c r="A58" s="87" t="s">
        <v>150</v>
      </c>
      <c r="B58" s="84">
        <v>1316512346</v>
      </c>
      <c r="C58" s="85">
        <v>3</v>
      </c>
      <c r="D58" s="85">
        <v>2016</v>
      </c>
      <c r="E58" s="151">
        <v>526977</v>
      </c>
      <c r="F58" s="86" t="s">
        <v>351</v>
      </c>
      <c r="G58" s="85">
        <v>3</v>
      </c>
      <c r="H58" s="85">
        <v>2021</v>
      </c>
      <c r="I58" s="151">
        <v>87802</v>
      </c>
      <c r="J58" s="86" t="s">
        <v>351</v>
      </c>
      <c r="K58" s="85">
        <v>3</v>
      </c>
      <c r="L58" s="85">
        <v>2022</v>
      </c>
      <c r="M58" s="151">
        <v>67865</v>
      </c>
      <c r="N58" s="86" t="s">
        <v>351</v>
      </c>
      <c r="O58" s="85">
        <v>3</v>
      </c>
      <c r="P58" s="85">
        <v>2023</v>
      </c>
      <c r="Q58" s="151">
        <v>110689</v>
      </c>
      <c r="R58" s="86" t="s">
        <v>351</v>
      </c>
      <c r="S58" s="85"/>
      <c r="T58" s="85"/>
      <c r="U58" s="151"/>
      <c r="V58" s="86" t="s">
        <v>351</v>
      </c>
      <c r="W58" s="85"/>
      <c r="X58" s="85"/>
      <c r="Y58" s="151"/>
      <c r="Z58" s="86" t="s">
        <v>351</v>
      </c>
      <c r="AA58" s="85"/>
      <c r="AB58" s="85"/>
      <c r="AC58" s="151"/>
      <c r="AD58" t="s">
        <v>351</v>
      </c>
      <c r="AE58" s="85"/>
      <c r="AF58" s="85"/>
      <c r="AG58" s="151" t="s">
        <v>596</v>
      </c>
    </row>
    <row r="59" spans="1:33" x14ac:dyDescent="0.25">
      <c r="A59" s="87" t="s">
        <v>151</v>
      </c>
      <c r="B59" s="84">
        <v>1093228397</v>
      </c>
      <c r="C59" s="85">
        <v>3</v>
      </c>
      <c r="D59" s="85">
        <v>2016</v>
      </c>
      <c r="E59" s="151">
        <v>127016</v>
      </c>
      <c r="F59" s="91" t="s">
        <v>351</v>
      </c>
      <c r="G59" s="85">
        <v>3</v>
      </c>
      <c r="H59" s="85">
        <v>2018</v>
      </c>
      <c r="I59" s="151">
        <v>506422</v>
      </c>
      <c r="J59" s="91" t="s">
        <v>351</v>
      </c>
      <c r="K59" s="85">
        <v>3</v>
      </c>
      <c r="L59" s="85">
        <v>2019</v>
      </c>
      <c r="M59" s="151">
        <v>192779</v>
      </c>
      <c r="N59" s="91" t="s">
        <v>351</v>
      </c>
      <c r="O59" s="85">
        <v>3</v>
      </c>
      <c r="P59" s="85">
        <v>2020</v>
      </c>
      <c r="Q59" s="151">
        <v>94083</v>
      </c>
      <c r="R59" s="91" t="s">
        <v>351</v>
      </c>
      <c r="S59" s="85">
        <v>3</v>
      </c>
      <c r="T59" s="85">
        <v>2021</v>
      </c>
      <c r="U59" s="151">
        <v>109890</v>
      </c>
      <c r="V59" s="86" t="s">
        <v>351</v>
      </c>
      <c r="W59" s="85">
        <v>3</v>
      </c>
      <c r="X59" s="85">
        <v>2023</v>
      </c>
      <c r="Y59" s="151">
        <v>100468</v>
      </c>
      <c r="Z59" s="86" t="s">
        <v>351</v>
      </c>
      <c r="AA59" s="85"/>
      <c r="AB59" s="85"/>
      <c r="AC59" s="151"/>
      <c r="AD59" t="s">
        <v>351</v>
      </c>
      <c r="AE59" s="85"/>
      <c r="AF59" s="85"/>
      <c r="AG59" s="151" t="s">
        <v>596</v>
      </c>
    </row>
    <row r="60" spans="1:33" x14ac:dyDescent="0.25">
      <c r="A60" s="87" t="s">
        <v>396</v>
      </c>
      <c r="B60" s="84">
        <v>1891908687</v>
      </c>
      <c r="C60" s="85"/>
      <c r="D60" s="85"/>
      <c r="E60" s="151"/>
      <c r="F60" s="86" t="s">
        <v>351</v>
      </c>
      <c r="G60" s="85"/>
      <c r="H60" s="85"/>
      <c r="I60" s="151"/>
      <c r="J60" s="86" t="s">
        <v>351</v>
      </c>
      <c r="K60" s="85"/>
      <c r="L60" s="85"/>
      <c r="M60" s="151"/>
      <c r="N60" s="86" t="s">
        <v>351</v>
      </c>
      <c r="O60" s="85"/>
      <c r="P60" s="85"/>
      <c r="Q60" s="151"/>
      <c r="R60" s="86" t="s">
        <v>351</v>
      </c>
      <c r="S60" s="85"/>
      <c r="T60" s="85"/>
      <c r="U60" s="151"/>
      <c r="V60" s="86" t="s">
        <v>351</v>
      </c>
      <c r="W60" s="85"/>
      <c r="X60" s="85"/>
      <c r="Y60" s="151"/>
      <c r="Z60" s="86" t="s">
        <v>351</v>
      </c>
      <c r="AA60" s="85"/>
      <c r="AB60" s="85"/>
      <c r="AC60" s="151"/>
      <c r="AD60" t="s">
        <v>351</v>
      </c>
      <c r="AE60" s="85"/>
      <c r="AF60" s="85"/>
      <c r="AG60" s="151"/>
    </row>
    <row r="61" spans="1:33" x14ac:dyDescent="0.25">
      <c r="A61" s="87" t="s">
        <v>152</v>
      </c>
      <c r="B61" s="84">
        <v>1841617552</v>
      </c>
      <c r="C61" s="85">
        <v>3</v>
      </c>
      <c r="D61" s="85">
        <v>2019</v>
      </c>
      <c r="E61" s="151">
        <v>238237</v>
      </c>
      <c r="F61" s="91" t="s">
        <v>351</v>
      </c>
      <c r="G61" s="85"/>
      <c r="H61" s="85"/>
      <c r="I61" s="151"/>
      <c r="J61" s="91" t="s">
        <v>351</v>
      </c>
      <c r="K61" s="85"/>
      <c r="L61" s="85"/>
      <c r="M61" s="151"/>
      <c r="N61" s="91" t="s">
        <v>351</v>
      </c>
      <c r="O61" s="85"/>
      <c r="P61" s="85"/>
      <c r="Q61" s="151"/>
      <c r="R61" s="91" t="s">
        <v>351</v>
      </c>
      <c r="S61" s="85"/>
      <c r="T61" s="85"/>
      <c r="U61" s="151"/>
      <c r="V61" s="86" t="s">
        <v>351</v>
      </c>
      <c r="W61" s="85"/>
      <c r="X61" s="85"/>
      <c r="Y61" s="151"/>
      <c r="Z61" s="86" t="s">
        <v>351</v>
      </c>
      <c r="AA61" s="85"/>
      <c r="AB61" s="85"/>
      <c r="AC61" s="151"/>
      <c r="AD61" t="s">
        <v>351</v>
      </c>
      <c r="AE61" s="85"/>
      <c r="AF61" s="85"/>
      <c r="AG61" s="151"/>
    </row>
    <row r="62" spans="1:33" x14ac:dyDescent="0.25">
      <c r="A62" s="84" t="s">
        <v>397</v>
      </c>
      <c r="B62" s="84">
        <v>1235175175</v>
      </c>
      <c r="C62" s="85"/>
      <c r="D62" s="85"/>
      <c r="E62" s="151"/>
      <c r="F62" s="86" t="s">
        <v>351</v>
      </c>
      <c r="G62" s="85"/>
      <c r="H62" s="85"/>
      <c r="I62" s="151"/>
      <c r="J62" s="86" t="s">
        <v>351</v>
      </c>
      <c r="K62" s="85"/>
      <c r="L62" s="85"/>
      <c r="M62" s="151"/>
      <c r="N62" s="86" t="s">
        <v>351</v>
      </c>
      <c r="O62" s="85"/>
      <c r="P62" s="85"/>
      <c r="Q62" s="151"/>
      <c r="R62" s="86" t="s">
        <v>351</v>
      </c>
      <c r="S62" s="85"/>
      <c r="T62" s="85"/>
      <c r="U62" s="151"/>
      <c r="V62" s="86" t="s">
        <v>351</v>
      </c>
      <c r="W62" s="85"/>
      <c r="X62" s="85"/>
      <c r="Y62" s="151"/>
      <c r="Z62" s="86" t="s">
        <v>351</v>
      </c>
      <c r="AA62" s="85"/>
      <c r="AB62" s="85"/>
      <c r="AC62" s="151"/>
      <c r="AD62" t="s">
        <v>351</v>
      </c>
      <c r="AE62" s="85"/>
      <c r="AF62" s="85"/>
      <c r="AG62" s="151"/>
    </row>
    <row r="63" spans="1:33" x14ac:dyDescent="0.25">
      <c r="A63" s="87" t="s">
        <v>398</v>
      </c>
      <c r="B63" s="84">
        <v>1992724157</v>
      </c>
      <c r="C63" s="85">
        <v>3</v>
      </c>
      <c r="D63" s="85">
        <v>2021</v>
      </c>
      <c r="E63" s="151">
        <v>264331</v>
      </c>
      <c r="F63" s="86" t="s">
        <v>351</v>
      </c>
      <c r="G63" s="85">
        <v>3</v>
      </c>
      <c r="H63" s="85">
        <v>2023</v>
      </c>
      <c r="I63" s="151">
        <v>564072</v>
      </c>
      <c r="J63" s="86" t="s">
        <v>351</v>
      </c>
      <c r="K63" s="85"/>
      <c r="L63" s="85"/>
      <c r="M63" s="151"/>
      <c r="N63" s="86" t="s">
        <v>351</v>
      </c>
      <c r="O63" s="85"/>
      <c r="P63" s="85"/>
      <c r="Q63" s="151"/>
      <c r="R63" s="86" t="s">
        <v>351</v>
      </c>
      <c r="S63" s="85"/>
      <c r="T63" s="85"/>
      <c r="U63" s="151"/>
      <c r="V63" s="86" t="s">
        <v>351</v>
      </c>
      <c r="W63" s="85"/>
      <c r="X63" s="85"/>
      <c r="Y63" s="151"/>
      <c r="Z63" s="86" t="s">
        <v>351</v>
      </c>
      <c r="AA63" s="85"/>
      <c r="AB63" s="85"/>
      <c r="AC63" s="151"/>
      <c r="AD63" t="s">
        <v>351</v>
      </c>
      <c r="AE63" s="85"/>
      <c r="AF63" s="85"/>
      <c r="AG63" s="151"/>
    </row>
    <row r="64" spans="1:33" x14ac:dyDescent="0.25">
      <c r="A64" s="84" t="s">
        <v>153</v>
      </c>
      <c r="B64" s="84">
        <v>1174608350</v>
      </c>
      <c r="C64" s="85">
        <v>3</v>
      </c>
      <c r="D64" s="85">
        <v>2019</v>
      </c>
      <c r="E64" s="151">
        <v>59623</v>
      </c>
      <c r="F64" s="86" t="s">
        <v>351</v>
      </c>
      <c r="G64" s="85">
        <v>3</v>
      </c>
      <c r="H64" s="85">
        <v>2020</v>
      </c>
      <c r="I64" s="151">
        <v>158322</v>
      </c>
      <c r="J64" s="86" t="s">
        <v>351</v>
      </c>
      <c r="K64" s="85">
        <v>3</v>
      </c>
      <c r="L64" s="85">
        <v>2022</v>
      </c>
      <c r="M64" s="151">
        <v>83093</v>
      </c>
      <c r="N64" s="86" t="s">
        <v>351</v>
      </c>
      <c r="O64" s="85">
        <v>3</v>
      </c>
      <c r="P64" s="85">
        <v>2023</v>
      </c>
      <c r="Q64" s="151">
        <v>112781</v>
      </c>
      <c r="R64" s="86" t="s">
        <v>351</v>
      </c>
      <c r="S64" s="85"/>
      <c r="T64" s="85"/>
      <c r="U64" s="151"/>
      <c r="V64" s="86" t="s">
        <v>351</v>
      </c>
      <c r="W64" s="85"/>
      <c r="X64" s="85"/>
      <c r="Y64" s="151"/>
      <c r="Z64" s="86" t="s">
        <v>351</v>
      </c>
      <c r="AA64" s="85"/>
      <c r="AB64" s="85"/>
      <c r="AC64" s="151"/>
      <c r="AD64" t="s">
        <v>351</v>
      </c>
      <c r="AE64" s="85"/>
      <c r="AF64" s="85"/>
      <c r="AG64" s="151" t="s">
        <v>596</v>
      </c>
    </row>
    <row r="65" spans="1:33" x14ac:dyDescent="0.25">
      <c r="A65" s="84" t="s">
        <v>154</v>
      </c>
      <c r="B65" s="84">
        <v>1497283899</v>
      </c>
      <c r="C65" s="85">
        <v>3</v>
      </c>
      <c r="D65" s="85">
        <v>2016</v>
      </c>
      <c r="E65" s="151">
        <v>49323</v>
      </c>
      <c r="F65" s="86" t="s">
        <v>351</v>
      </c>
      <c r="G65" s="85">
        <v>3</v>
      </c>
      <c r="H65" s="85">
        <v>2017</v>
      </c>
      <c r="I65" s="151">
        <v>100973</v>
      </c>
      <c r="J65" s="86" t="s">
        <v>351</v>
      </c>
      <c r="K65" s="85">
        <v>3</v>
      </c>
      <c r="L65" s="85">
        <v>2020</v>
      </c>
      <c r="M65" s="151">
        <v>37032</v>
      </c>
      <c r="N65" s="86" t="s">
        <v>351</v>
      </c>
      <c r="O65" s="85">
        <v>3</v>
      </c>
      <c r="P65" s="85">
        <v>2023</v>
      </c>
      <c r="Q65" s="151">
        <v>81708</v>
      </c>
      <c r="R65" s="86" t="s">
        <v>351</v>
      </c>
      <c r="S65" s="85"/>
      <c r="T65" s="85"/>
      <c r="U65" s="151"/>
      <c r="V65" s="86" t="s">
        <v>351</v>
      </c>
      <c r="W65" s="85"/>
      <c r="X65" s="85"/>
      <c r="Y65" s="151"/>
      <c r="Z65" s="86" t="s">
        <v>351</v>
      </c>
      <c r="AA65" s="85"/>
      <c r="AB65" s="85"/>
      <c r="AC65" s="151"/>
      <c r="AD65" t="s">
        <v>351</v>
      </c>
      <c r="AE65" s="85"/>
      <c r="AF65" s="85"/>
      <c r="AG65" s="151" t="s">
        <v>596</v>
      </c>
    </row>
    <row r="66" spans="1:33" x14ac:dyDescent="0.25">
      <c r="A66" s="84" t="s">
        <v>399</v>
      </c>
      <c r="B66" s="84">
        <v>1578013876</v>
      </c>
      <c r="C66" s="85"/>
      <c r="D66" s="85"/>
      <c r="E66" s="151"/>
      <c r="F66" s="86" t="s">
        <v>351</v>
      </c>
      <c r="G66" s="85"/>
      <c r="H66" s="85"/>
      <c r="I66" s="151"/>
      <c r="J66" s="86" t="s">
        <v>351</v>
      </c>
      <c r="K66" s="85"/>
      <c r="L66" s="85"/>
      <c r="M66" s="151"/>
      <c r="N66" s="86" t="s">
        <v>351</v>
      </c>
      <c r="O66" s="85"/>
      <c r="P66" s="85"/>
      <c r="Q66" s="151"/>
      <c r="R66" s="86" t="s">
        <v>351</v>
      </c>
      <c r="S66" s="85"/>
      <c r="T66" s="85"/>
      <c r="U66" s="151"/>
      <c r="V66" s="86" t="s">
        <v>351</v>
      </c>
      <c r="W66" s="85"/>
      <c r="X66" s="85"/>
      <c r="Y66" s="151"/>
      <c r="Z66" s="86" t="s">
        <v>351</v>
      </c>
      <c r="AA66" s="85"/>
      <c r="AB66" s="85"/>
      <c r="AC66" s="151"/>
      <c r="AD66" t="s">
        <v>351</v>
      </c>
      <c r="AE66" s="85"/>
      <c r="AF66" s="85"/>
      <c r="AG66" s="151"/>
    </row>
    <row r="67" spans="1:33" x14ac:dyDescent="0.25">
      <c r="A67" s="84" t="s">
        <v>728</v>
      </c>
      <c r="B67" s="84">
        <v>1265441208</v>
      </c>
      <c r="C67" s="85">
        <v>3</v>
      </c>
      <c r="D67" s="85">
        <v>2017</v>
      </c>
      <c r="E67" s="151">
        <v>92566.11</v>
      </c>
      <c r="F67" s="86" t="s">
        <v>351</v>
      </c>
      <c r="G67" s="85">
        <v>3</v>
      </c>
      <c r="H67" s="85">
        <v>2023</v>
      </c>
      <c r="I67" s="151">
        <v>133200</v>
      </c>
      <c r="J67" s="86" t="s">
        <v>351</v>
      </c>
      <c r="K67" s="85"/>
      <c r="L67" s="85"/>
      <c r="M67" s="151"/>
      <c r="N67" s="86" t="s">
        <v>351</v>
      </c>
      <c r="O67" s="85"/>
      <c r="P67" s="85"/>
      <c r="Q67" s="151"/>
      <c r="R67" s="86" t="s">
        <v>351</v>
      </c>
      <c r="S67" s="85"/>
      <c r="T67" s="85"/>
      <c r="U67" s="151"/>
      <c r="V67" s="86" t="s">
        <v>351</v>
      </c>
      <c r="W67" s="85"/>
      <c r="X67" s="85"/>
      <c r="Y67" s="151"/>
      <c r="Z67" s="86" t="s">
        <v>351</v>
      </c>
      <c r="AA67" s="85"/>
      <c r="AB67" s="85"/>
      <c r="AC67" s="151"/>
      <c r="AD67" t="s">
        <v>351</v>
      </c>
      <c r="AE67" s="85"/>
      <c r="AF67" s="85"/>
      <c r="AG67" s="151" t="s">
        <v>596</v>
      </c>
    </row>
    <row r="68" spans="1:33" x14ac:dyDescent="0.25">
      <c r="A68" s="84" t="s">
        <v>155</v>
      </c>
      <c r="B68" s="84">
        <v>1831219781</v>
      </c>
      <c r="C68" s="85">
        <v>3</v>
      </c>
      <c r="D68" s="85">
        <v>2016</v>
      </c>
      <c r="E68" s="151">
        <v>62830</v>
      </c>
      <c r="F68" s="86" t="s">
        <v>351</v>
      </c>
      <c r="G68" s="85">
        <v>3</v>
      </c>
      <c r="H68" s="85">
        <v>2021</v>
      </c>
      <c r="I68" s="151">
        <v>55068</v>
      </c>
      <c r="J68" s="86" t="s">
        <v>351</v>
      </c>
      <c r="K68" s="85">
        <v>3</v>
      </c>
      <c r="L68" s="85">
        <v>2022</v>
      </c>
      <c r="M68" s="151">
        <v>63650</v>
      </c>
      <c r="N68" s="86" t="s">
        <v>351</v>
      </c>
      <c r="O68" s="85"/>
      <c r="P68" s="85"/>
      <c r="Q68" s="151"/>
      <c r="R68" s="86" t="s">
        <v>351</v>
      </c>
      <c r="S68" s="85"/>
      <c r="T68" s="85"/>
      <c r="U68" s="151"/>
      <c r="V68" s="86" t="s">
        <v>351</v>
      </c>
      <c r="W68" s="85"/>
      <c r="X68" s="85"/>
      <c r="Y68" s="151"/>
      <c r="Z68" s="86" t="s">
        <v>351</v>
      </c>
      <c r="AA68" s="85"/>
      <c r="AB68" s="85"/>
      <c r="AC68" s="151"/>
      <c r="AD68" t="s">
        <v>351</v>
      </c>
      <c r="AE68" s="85"/>
      <c r="AF68" s="85"/>
      <c r="AG68" s="151"/>
    </row>
    <row r="69" spans="1:33" x14ac:dyDescent="0.25">
      <c r="A69" s="87" t="s">
        <v>758</v>
      </c>
      <c r="B69" s="84">
        <v>1518088830</v>
      </c>
      <c r="C69" s="85">
        <v>3</v>
      </c>
      <c r="D69" s="85">
        <v>2016</v>
      </c>
      <c r="E69" s="151">
        <v>67121</v>
      </c>
      <c r="F69" s="86" t="s">
        <v>351</v>
      </c>
      <c r="G69" s="85">
        <v>3</v>
      </c>
      <c r="H69" s="85">
        <v>2017</v>
      </c>
      <c r="I69" s="151">
        <v>60392.480000000003</v>
      </c>
      <c r="J69" s="86" t="s">
        <v>351</v>
      </c>
      <c r="K69" s="85">
        <v>3</v>
      </c>
      <c r="L69" s="85">
        <v>2020</v>
      </c>
      <c r="M69" s="151">
        <v>50472</v>
      </c>
      <c r="N69" s="86" t="s">
        <v>351</v>
      </c>
      <c r="O69" s="85">
        <v>3</v>
      </c>
      <c r="P69" s="85">
        <v>2021</v>
      </c>
      <c r="Q69" s="151">
        <v>213346</v>
      </c>
      <c r="R69" s="86" t="s">
        <v>351</v>
      </c>
      <c r="S69" s="85">
        <v>3</v>
      </c>
      <c r="T69" s="85">
        <v>2023</v>
      </c>
      <c r="U69" s="151">
        <v>96556</v>
      </c>
      <c r="V69" s="86" t="s">
        <v>351</v>
      </c>
      <c r="W69" s="85"/>
      <c r="X69" s="85"/>
      <c r="Y69" s="151"/>
      <c r="Z69" s="86" t="s">
        <v>351</v>
      </c>
      <c r="AA69" s="85"/>
      <c r="AB69" s="85"/>
      <c r="AC69" s="151"/>
      <c r="AD69" t="s">
        <v>351</v>
      </c>
      <c r="AE69" s="85"/>
      <c r="AF69" s="85"/>
      <c r="AG69" s="151" t="s">
        <v>596</v>
      </c>
    </row>
    <row r="70" spans="1:33" x14ac:dyDescent="0.25">
      <c r="A70" s="87" t="s">
        <v>741</v>
      </c>
      <c r="B70" s="84">
        <v>1578683439</v>
      </c>
      <c r="C70" s="85">
        <v>3</v>
      </c>
      <c r="D70" s="85">
        <v>2016</v>
      </c>
      <c r="E70" s="151">
        <v>195605</v>
      </c>
      <c r="F70" s="86" t="s">
        <v>351</v>
      </c>
      <c r="G70" s="85">
        <v>3</v>
      </c>
      <c r="H70" s="85">
        <v>2017</v>
      </c>
      <c r="I70" s="151">
        <v>174886.68</v>
      </c>
      <c r="J70" s="86" t="s">
        <v>351</v>
      </c>
      <c r="K70" s="85">
        <v>3</v>
      </c>
      <c r="L70" s="85">
        <v>2020</v>
      </c>
      <c r="M70" s="151">
        <v>81413</v>
      </c>
      <c r="N70" s="86" t="s">
        <v>351</v>
      </c>
      <c r="O70" s="85">
        <v>3</v>
      </c>
      <c r="P70" s="85">
        <v>2022</v>
      </c>
      <c r="Q70" s="151">
        <v>615459</v>
      </c>
      <c r="R70" s="86" t="s">
        <v>351</v>
      </c>
      <c r="S70" s="85">
        <v>3</v>
      </c>
      <c r="T70" s="85">
        <v>2023</v>
      </c>
      <c r="U70" s="151">
        <v>207230</v>
      </c>
      <c r="V70" s="86" t="s">
        <v>351</v>
      </c>
      <c r="W70" s="85"/>
      <c r="X70" s="85"/>
      <c r="Y70" s="151"/>
      <c r="Z70" s="86" t="s">
        <v>351</v>
      </c>
      <c r="AA70" s="85"/>
      <c r="AB70" s="85"/>
      <c r="AC70" s="151"/>
      <c r="AD70" t="s">
        <v>351</v>
      </c>
      <c r="AE70" s="85"/>
      <c r="AF70" s="85"/>
      <c r="AG70" s="151" t="s">
        <v>596</v>
      </c>
    </row>
    <row r="71" spans="1:33" x14ac:dyDescent="0.25">
      <c r="A71" s="87" t="s">
        <v>790</v>
      </c>
      <c r="B71" s="84">
        <v>1235236878</v>
      </c>
      <c r="C71" s="85">
        <v>3</v>
      </c>
      <c r="D71" s="85">
        <v>2016</v>
      </c>
      <c r="E71" s="151">
        <v>98658</v>
      </c>
      <c r="F71" s="86" t="s">
        <v>351</v>
      </c>
      <c r="G71" s="85">
        <v>3</v>
      </c>
      <c r="H71" s="85">
        <v>2017</v>
      </c>
      <c r="I71" s="151">
        <v>83773.03</v>
      </c>
      <c r="J71" s="86" t="s">
        <v>351</v>
      </c>
      <c r="K71" s="85">
        <v>3</v>
      </c>
      <c r="L71" s="85">
        <v>2019</v>
      </c>
      <c r="M71" s="151">
        <v>113005</v>
      </c>
      <c r="N71" s="86" t="s">
        <v>351</v>
      </c>
      <c r="O71" s="85">
        <v>3</v>
      </c>
      <c r="P71" s="85">
        <v>2020</v>
      </c>
      <c r="Q71" s="151">
        <v>172971</v>
      </c>
      <c r="R71" s="86" t="s">
        <v>351</v>
      </c>
      <c r="S71" s="85">
        <v>3</v>
      </c>
      <c r="T71" s="85">
        <v>2021</v>
      </c>
      <c r="U71" s="151">
        <v>103049</v>
      </c>
      <c r="V71" s="86" t="s">
        <v>351</v>
      </c>
      <c r="W71" s="85">
        <v>3</v>
      </c>
      <c r="X71" s="85">
        <v>2023</v>
      </c>
      <c r="Y71" s="151">
        <v>138302</v>
      </c>
      <c r="Z71" s="86" t="s">
        <v>351</v>
      </c>
      <c r="AA71" s="85"/>
      <c r="AB71" s="85"/>
      <c r="AC71" s="151"/>
      <c r="AD71" t="s">
        <v>351</v>
      </c>
      <c r="AE71" s="85"/>
      <c r="AF71" s="85"/>
      <c r="AG71" s="151" t="s">
        <v>596</v>
      </c>
    </row>
    <row r="72" spans="1:33" x14ac:dyDescent="0.25">
      <c r="A72" s="87" t="s">
        <v>759</v>
      </c>
      <c r="B72" s="84">
        <v>1295723377</v>
      </c>
      <c r="C72" s="85">
        <v>3</v>
      </c>
      <c r="D72" s="85">
        <v>2016</v>
      </c>
      <c r="E72" s="151">
        <v>60216</v>
      </c>
      <c r="F72" s="86" t="s">
        <v>351</v>
      </c>
      <c r="G72" s="85">
        <v>3</v>
      </c>
      <c r="H72" s="85">
        <v>2022</v>
      </c>
      <c r="I72" s="151">
        <v>40386</v>
      </c>
      <c r="J72" s="86" t="s">
        <v>351</v>
      </c>
      <c r="K72" s="85">
        <v>3</v>
      </c>
      <c r="L72" s="85">
        <v>2023</v>
      </c>
      <c r="M72" s="151">
        <v>60393</v>
      </c>
      <c r="N72" s="86" t="s">
        <v>351</v>
      </c>
      <c r="O72" s="85"/>
      <c r="P72" s="85"/>
      <c r="Q72" s="151"/>
      <c r="R72" s="86" t="s">
        <v>351</v>
      </c>
      <c r="S72" s="85"/>
      <c r="T72" s="85"/>
      <c r="U72" s="151"/>
      <c r="V72" s="86" t="s">
        <v>351</v>
      </c>
      <c r="W72" s="85"/>
      <c r="X72" s="85"/>
      <c r="Y72" s="151"/>
      <c r="Z72" s="86" t="s">
        <v>351</v>
      </c>
      <c r="AA72" s="85"/>
      <c r="AB72" s="85"/>
      <c r="AC72" s="151"/>
      <c r="AD72" t="s">
        <v>351</v>
      </c>
      <c r="AE72" s="85"/>
      <c r="AF72" s="85"/>
      <c r="AG72" s="151" t="s">
        <v>596</v>
      </c>
    </row>
    <row r="73" spans="1:33" x14ac:dyDescent="0.25">
      <c r="A73" s="84" t="s">
        <v>156</v>
      </c>
      <c r="B73" s="84">
        <v>1952446510</v>
      </c>
      <c r="C73" s="85"/>
      <c r="D73" s="85"/>
      <c r="E73" s="151"/>
      <c r="F73" s="86" t="s">
        <v>351</v>
      </c>
      <c r="G73" s="88"/>
      <c r="H73" s="88"/>
      <c r="I73" s="151"/>
      <c r="J73" s="86" t="s">
        <v>351</v>
      </c>
      <c r="K73" s="85"/>
      <c r="L73" s="85"/>
      <c r="M73" s="151"/>
      <c r="N73" s="86" t="s">
        <v>351</v>
      </c>
      <c r="O73" s="85"/>
      <c r="P73" s="85"/>
      <c r="Q73" s="151"/>
      <c r="R73" s="86" t="s">
        <v>351</v>
      </c>
      <c r="S73" s="85"/>
      <c r="T73" s="85"/>
      <c r="U73" s="151"/>
      <c r="V73" s="86" t="s">
        <v>351</v>
      </c>
      <c r="W73" s="85"/>
      <c r="X73" s="85"/>
      <c r="Y73" s="151"/>
      <c r="Z73" s="86" t="s">
        <v>351</v>
      </c>
      <c r="AA73" s="85"/>
      <c r="AB73" s="85"/>
      <c r="AC73" s="151"/>
      <c r="AD73" t="s">
        <v>351</v>
      </c>
      <c r="AE73" s="85"/>
      <c r="AF73" s="85"/>
      <c r="AG73" s="151"/>
    </row>
    <row r="74" spans="1:33" x14ac:dyDescent="0.25">
      <c r="A74" s="84" t="s">
        <v>157</v>
      </c>
      <c r="B74" s="84">
        <v>1558872333</v>
      </c>
      <c r="C74" s="85">
        <v>3</v>
      </c>
      <c r="D74" s="85">
        <v>2020</v>
      </c>
      <c r="E74" s="151">
        <v>595264</v>
      </c>
      <c r="F74" s="86" t="s">
        <v>351</v>
      </c>
      <c r="G74" s="85"/>
      <c r="H74" s="85"/>
      <c r="I74" s="151"/>
      <c r="J74" s="86" t="s">
        <v>351</v>
      </c>
      <c r="K74" s="85"/>
      <c r="L74" s="85"/>
      <c r="M74" s="151"/>
      <c r="N74" s="86" t="s">
        <v>351</v>
      </c>
      <c r="O74" s="85"/>
      <c r="P74" s="85"/>
      <c r="Q74" s="151"/>
      <c r="R74" s="86" t="s">
        <v>351</v>
      </c>
      <c r="S74" s="85"/>
      <c r="T74" s="85"/>
      <c r="U74" s="151"/>
      <c r="V74" s="86" t="s">
        <v>351</v>
      </c>
      <c r="W74" s="85"/>
      <c r="X74" s="85"/>
      <c r="Y74" s="151"/>
      <c r="Z74" s="86" t="s">
        <v>351</v>
      </c>
      <c r="AA74" s="85"/>
      <c r="AB74" s="85"/>
      <c r="AC74" s="151"/>
      <c r="AD74" t="s">
        <v>351</v>
      </c>
      <c r="AE74" s="85"/>
      <c r="AF74" s="85"/>
      <c r="AG74" s="151"/>
    </row>
    <row r="75" spans="1:33" x14ac:dyDescent="0.25">
      <c r="A75" s="87" t="s">
        <v>400</v>
      </c>
      <c r="B75" s="84">
        <v>1306372230</v>
      </c>
      <c r="C75" s="85">
        <v>3</v>
      </c>
      <c r="D75" s="85">
        <v>2019</v>
      </c>
      <c r="E75" s="151">
        <v>63998</v>
      </c>
      <c r="F75" s="86" t="s">
        <v>351</v>
      </c>
      <c r="G75" s="85">
        <v>3</v>
      </c>
      <c r="H75" s="85">
        <v>2021</v>
      </c>
      <c r="I75" s="151">
        <v>64660</v>
      </c>
      <c r="J75" s="86" t="s">
        <v>351</v>
      </c>
      <c r="K75" s="85">
        <v>3</v>
      </c>
      <c r="L75" s="85">
        <v>2023</v>
      </c>
      <c r="M75" s="151">
        <v>85987</v>
      </c>
      <c r="N75" s="86" t="s">
        <v>351</v>
      </c>
      <c r="O75" s="85"/>
      <c r="P75" s="85"/>
      <c r="Q75" s="151"/>
      <c r="R75" s="86" t="s">
        <v>351</v>
      </c>
      <c r="S75" s="85"/>
      <c r="T75" s="85"/>
      <c r="U75" s="151"/>
      <c r="V75" s="86" t="s">
        <v>351</v>
      </c>
      <c r="W75" s="85"/>
      <c r="X75" s="85"/>
      <c r="Y75" s="151"/>
      <c r="Z75" s="86" t="s">
        <v>351</v>
      </c>
      <c r="AA75" s="85"/>
      <c r="AB75" s="85"/>
      <c r="AC75" s="151"/>
      <c r="AD75" t="s">
        <v>351</v>
      </c>
      <c r="AE75" s="85"/>
      <c r="AF75" s="85"/>
      <c r="AG75" s="151" t="s">
        <v>596</v>
      </c>
    </row>
    <row r="76" spans="1:33" x14ac:dyDescent="0.25">
      <c r="A76" s="84" t="s">
        <v>401</v>
      </c>
      <c r="B76" s="84">
        <v>1336196526</v>
      </c>
      <c r="C76" s="85">
        <v>3</v>
      </c>
      <c r="D76" s="85">
        <v>2023</v>
      </c>
      <c r="E76" s="151">
        <v>119139</v>
      </c>
      <c r="F76" s="86" t="s">
        <v>351</v>
      </c>
      <c r="G76" s="85"/>
      <c r="H76" s="85"/>
      <c r="I76" s="151"/>
      <c r="J76" s="86" t="s">
        <v>351</v>
      </c>
      <c r="K76" s="85"/>
      <c r="L76" s="85"/>
      <c r="M76" s="151"/>
      <c r="N76" s="86" t="s">
        <v>351</v>
      </c>
      <c r="O76" s="85"/>
      <c r="P76" s="85"/>
      <c r="Q76" s="151"/>
      <c r="R76" s="86" t="s">
        <v>351</v>
      </c>
      <c r="S76" s="85"/>
      <c r="T76" s="85"/>
      <c r="U76" s="151"/>
      <c r="V76" s="86" t="s">
        <v>351</v>
      </c>
      <c r="W76" s="85"/>
      <c r="X76" s="85"/>
      <c r="Y76" s="151"/>
      <c r="Z76" s="86" t="s">
        <v>351</v>
      </c>
      <c r="AA76" s="85"/>
      <c r="AB76" s="85"/>
      <c r="AC76" s="151"/>
      <c r="AD76" t="s">
        <v>351</v>
      </c>
      <c r="AE76" s="85"/>
      <c r="AF76" s="85"/>
      <c r="AG76" s="151" t="s">
        <v>596</v>
      </c>
    </row>
    <row r="77" spans="1:33" x14ac:dyDescent="0.25">
      <c r="A77" s="84" t="s">
        <v>158</v>
      </c>
      <c r="B77" s="84">
        <v>1295279594</v>
      </c>
      <c r="C77" s="85">
        <v>3</v>
      </c>
      <c r="D77" s="85">
        <v>2016</v>
      </c>
      <c r="E77" s="151">
        <v>34270</v>
      </c>
      <c r="F77" s="86" t="s">
        <v>351</v>
      </c>
      <c r="G77" s="85">
        <v>3</v>
      </c>
      <c r="H77" s="85">
        <v>2017</v>
      </c>
      <c r="I77" s="151">
        <v>134169</v>
      </c>
      <c r="J77" s="86" t="s">
        <v>351</v>
      </c>
      <c r="K77" s="85">
        <v>3</v>
      </c>
      <c r="L77" s="85">
        <v>2018</v>
      </c>
      <c r="M77" s="151">
        <v>36294</v>
      </c>
      <c r="N77" s="86" t="s">
        <v>351</v>
      </c>
      <c r="O77" s="85">
        <v>3</v>
      </c>
      <c r="P77" s="85">
        <v>2021</v>
      </c>
      <c r="Q77" s="151">
        <v>62022</v>
      </c>
      <c r="R77" s="86" t="s">
        <v>351</v>
      </c>
      <c r="S77" s="85">
        <v>3</v>
      </c>
      <c r="T77" s="85">
        <v>2022</v>
      </c>
      <c r="U77" s="151">
        <v>38369</v>
      </c>
      <c r="V77" s="86" t="s">
        <v>351</v>
      </c>
      <c r="W77" s="85"/>
      <c r="X77" s="85"/>
      <c r="Y77" s="151"/>
      <c r="Z77" s="86" t="s">
        <v>351</v>
      </c>
      <c r="AA77" s="85"/>
      <c r="AB77" s="85"/>
      <c r="AC77" s="151"/>
      <c r="AD77" t="s">
        <v>351</v>
      </c>
      <c r="AE77" s="85"/>
      <c r="AF77" s="85"/>
      <c r="AG77" s="151"/>
    </row>
    <row r="78" spans="1:33" x14ac:dyDescent="0.25">
      <c r="A78" s="84" t="s">
        <v>402</v>
      </c>
      <c r="B78" s="84">
        <v>1225524747</v>
      </c>
      <c r="C78" s="85">
        <v>3</v>
      </c>
      <c r="D78" s="85">
        <v>2017</v>
      </c>
      <c r="E78" s="151">
        <v>1011097</v>
      </c>
      <c r="F78" s="86" t="s">
        <v>351</v>
      </c>
      <c r="G78" s="85">
        <v>3</v>
      </c>
      <c r="H78" s="85">
        <v>2019</v>
      </c>
      <c r="I78" s="151">
        <v>639225</v>
      </c>
      <c r="J78" s="86" t="s">
        <v>351</v>
      </c>
      <c r="K78" s="85">
        <v>3</v>
      </c>
      <c r="L78" s="85">
        <v>2022</v>
      </c>
      <c r="M78" s="151">
        <v>171143</v>
      </c>
      <c r="N78" s="86" t="s">
        <v>351</v>
      </c>
      <c r="O78" s="85">
        <v>3</v>
      </c>
      <c r="P78" s="85">
        <v>2023</v>
      </c>
      <c r="Q78" s="151">
        <v>495564</v>
      </c>
      <c r="R78" s="86" t="s">
        <v>351</v>
      </c>
      <c r="S78" s="85"/>
      <c r="T78" s="85"/>
      <c r="U78" s="151"/>
      <c r="V78" s="86" t="s">
        <v>351</v>
      </c>
      <c r="W78" s="85"/>
      <c r="X78" s="85"/>
      <c r="Y78" s="151"/>
      <c r="Z78" s="86" t="s">
        <v>351</v>
      </c>
      <c r="AA78" s="85"/>
      <c r="AB78" s="85"/>
      <c r="AC78" s="151"/>
      <c r="AD78" t="s">
        <v>351</v>
      </c>
      <c r="AE78" s="85"/>
      <c r="AF78" s="85"/>
      <c r="AG78" s="151" t="s">
        <v>596</v>
      </c>
    </row>
    <row r="79" spans="1:33" x14ac:dyDescent="0.25">
      <c r="A79" s="84" t="s">
        <v>403</v>
      </c>
      <c r="B79" s="84">
        <v>1215400668</v>
      </c>
      <c r="C79" s="85">
        <v>3</v>
      </c>
      <c r="D79" s="85">
        <v>2018</v>
      </c>
      <c r="E79" s="151">
        <v>61789</v>
      </c>
      <c r="F79" s="86" t="s">
        <v>351</v>
      </c>
      <c r="G79" s="85">
        <v>3</v>
      </c>
      <c r="H79" s="85">
        <v>2019</v>
      </c>
      <c r="I79" s="151">
        <v>257502</v>
      </c>
      <c r="J79" s="86" t="s">
        <v>351</v>
      </c>
      <c r="K79" s="85">
        <v>3</v>
      </c>
      <c r="L79" s="85">
        <v>2020</v>
      </c>
      <c r="M79" s="151">
        <v>418967</v>
      </c>
      <c r="N79" s="86" t="s">
        <v>351</v>
      </c>
      <c r="O79" s="85">
        <v>3</v>
      </c>
      <c r="P79" s="85">
        <v>2021</v>
      </c>
      <c r="Q79" s="151">
        <v>1065483</v>
      </c>
      <c r="R79" s="86" t="s">
        <v>351</v>
      </c>
      <c r="S79" s="85">
        <v>3</v>
      </c>
      <c r="T79" s="85">
        <v>2022</v>
      </c>
      <c r="U79" s="151">
        <v>655229</v>
      </c>
      <c r="V79" s="86" t="s">
        <v>351</v>
      </c>
      <c r="W79" s="85">
        <v>3</v>
      </c>
      <c r="X79" s="85">
        <v>2023</v>
      </c>
      <c r="Y79" s="151">
        <v>134319</v>
      </c>
      <c r="Z79" s="86" t="s">
        <v>351</v>
      </c>
      <c r="AA79" s="85"/>
      <c r="AB79" s="85"/>
      <c r="AC79" s="151"/>
      <c r="AD79" t="s">
        <v>351</v>
      </c>
      <c r="AE79" s="85"/>
      <c r="AF79" s="85"/>
      <c r="AG79" s="151" t="s">
        <v>596</v>
      </c>
    </row>
    <row r="80" spans="1:33" x14ac:dyDescent="0.25">
      <c r="A80" s="84" t="s">
        <v>159</v>
      </c>
      <c r="B80" s="84">
        <v>1144804485</v>
      </c>
      <c r="C80" s="85">
        <v>3</v>
      </c>
      <c r="D80" s="85">
        <v>2017</v>
      </c>
      <c r="E80" s="151">
        <v>81483.56</v>
      </c>
      <c r="F80" s="86" t="s">
        <v>351</v>
      </c>
      <c r="G80" s="85">
        <v>3</v>
      </c>
      <c r="H80" s="85">
        <v>2019</v>
      </c>
      <c r="I80" s="151">
        <v>167841</v>
      </c>
      <c r="J80" s="86" t="s">
        <v>351</v>
      </c>
      <c r="K80" s="85">
        <v>3</v>
      </c>
      <c r="L80" s="85">
        <v>2020</v>
      </c>
      <c r="M80" s="151">
        <v>1056046</v>
      </c>
      <c r="N80" s="86" t="s">
        <v>351</v>
      </c>
      <c r="O80" s="85">
        <v>3</v>
      </c>
      <c r="P80" s="85">
        <v>2021</v>
      </c>
      <c r="Q80" s="151">
        <v>930246</v>
      </c>
      <c r="R80" s="86" t="s">
        <v>351</v>
      </c>
      <c r="S80" s="85">
        <v>3</v>
      </c>
      <c r="T80" s="85">
        <v>2022</v>
      </c>
      <c r="U80" s="151">
        <v>708069</v>
      </c>
      <c r="V80" s="86" t="s">
        <v>351</v>
      </c>
      <c r="W80" s="85">
        <v>3</v>
      </c>
      <c r="X80" s="85">
        <v>2023</v>
      </c>
      <c r="Y80" s="151">
        <v>81758</v>
      </c>
      <c r="Z80" s="86" t="s">
        <v>351</v>
      </c>
      <c r="AA80" s="85"/>
      <c r="AB80" s="85"/>
      <c r="AC80" s="151"/>
      <c r="AD80" t="s">
        <v>351</v>
      </c>
      <c r="AE80" s="85"/>
      <c r="AF80" s="85"/>
      <c r="AG80" s="151" t="s">
        <v>596</v>
      </c>
    </row>
    <row r="81" spans="1:33" x14ac:dyDescent="0.25">
      <c r="A81" s="84" t="s">
        <v>160</v>
      </c>
      <c r="B81" s="84">
        <v>1114501459</v>
      </c>
      <c r="C81" s="85">
        <v>3</v>
      </c>
      <c r="D81" s="85">
        <v>2016</v>
      </c>
      <c r="E81" s="151">
        <v>555672</v>
      </c>
      <c r="F81" s="86" t="s">
        <v>351</v>
      </c>
      <c r="G81" s="85">
        <v>3</v>
      </c>
      <c r="H81" s="85">
        <v>2017</v>
      </c>
      <c r="I81" s="151">
        <v>48081</v>
      </c>
      <c r="J81" s="86" t="s">
        <v>351</v>
      </c>
      <c r="K81" s="85">
        <v>3</v>
      </c>
      <c r="L81" s="85">
        <v>2018</v>
      </c>
      <c r="M81" s="151">
        <v>205071</v>
      </c>
      <c r="N81" s="86" t="s">
        <v>351</v>
      </c>
      <c r="O81" s="85">
        <v>3</v>
      </c>
      <c r="P81" s="85">
        <v>2019</v>
      </c>
      <c r="Q81" s="151">
        <v>154675</v>
      </c>
      <c r="R81" s="86" t="s">
        <v>351</v>
      </c>
      <c r="S81" s="85">
        <v>3</v>
      </c>
      <c r="T81" s="85">
        <v>2020</v>
      </c>
      <c r="U81" s="151">
        <v>148297</v>
      </c>
      <c r="V81" s="86" t="s">
        <v>351</v>
      </c>
      <c r="W81" s="85">
        <v>3</v>
      </c>
      <c r="X81" s="85">
        <v>2023</v>
      </c>
      <c r="Y81" s="151">
        <v>111830</v>
      </c>
      <c r="Z81" s="86" t="s">
        <v>351</v>
      </c>
      <c r="AA81" s="85"/>
      <c r="AB81" s="85"/>
      <c r="AC81" s="151"/>
      <c r="AD81" t="s">
        <v>351</v>
      </c>
      <c r="AE81" s="85"/>
      <c r="AF81" s="85"/>
      <c r="AG81" s="151" t="s">
        <v>596</v>
      </c>
    </row>
    <row r="82" spans="1:33" x14ac:dyDescent="0.25">
      <c r="A82" s="84" t="s">
        <v>404</v>
      </c>
      <c r="B82" s="84">
        <v>1558393835</v>
      </c>
      <c r="C82" s="85">
        <v>3</v>
      </c>
      <c r="D82" s="85">
        <v>2016</v>
      </c>
      <c r="E82" s="151">
        <v>154485</v>
      </c>
      <c r="F82" s="86" t="s">
        <v>351</v>
      </c>
      <c r="G82" s="85">
        <v>3</v>
      </c>
      <c r="H82" s="85">
        <v>2017</v>
      </c>
      <c r="I82" s="151">
        <v>90443</v>
      </c>
      <c r="J82" s="86" t="s">
        <v>351</v>
      </c>
      <c r="K82" s="85">
        <v>3</v>
      </c>
      <c r="L82" s="85">
        <v>2018</v>
      </c>
      <c r="M82" s="151">
        <v>205155</v>
      </c>
      <c r="N82" s="86" t="s">
        <v>351</v>
      </c>
      <c r="O82" s="85">
        <v>3</v>
      </c>
      <c r="P82" s="85">
        <v>2019</v>
      </c>
      <c r="Q82" s="151">
        <v>313608</v>
      </c>
      <c r="R82" s="86" t="s">
        <v>351</v>
      </c>
      <c r="S82" s="85">
        <v>3</v>
      </c>
      <c r="T82" s="85">
        <v>2020</v>
      </c>
      <c r="U82" s="151">
        <v>230327</v>
      </c>
      <c r="V82" s="86" t="s">
        <v>351</v>
      </c>
      <c r="W82" s="85">
        <v>3</v>
      </c>
      <c r="X82" s="85">
        <v>2021</v>
      </c>
      <c r="Y82" s="151">
        <v>579779</v>
      </c>
      <c r="Z82" s="86" t="s">
        <v>351</v>
      </c>
      <c r="AA82" s="85">
        <v>3</v>
      </c>
      <c r="AB82" s="85">
        <v>2023</v>
      </c>
      <c r="AC82" s="151">
        <v>160425</v>
      </c>
      <c r="AD82" t="s">
        <v>351</v>
      </c>
      <c r="AE82" s="85"/>
      <c r="AF82" s="85"/>
      <c r="AG82" s="151" t="s">
        <v>596</v>
      </c>
    </row>
    <row r="83" spans="1:33" x14ac:dyDescent="0.25">
      <c r="A83" s="84" t="s">
        <v>405</v>
      </c>
      <c r="B83" s="84">
        <v>1083711626</v>
      </c>
      <c r="C83" s="85">
        <v>3</v>
      </c>
      <c r="D83" s="85">
        <v>2019</v>
      </c>
      <c r="E83" s="151">
        <v>108829</v>
      </c>
      <c r="F83" s="86" t="s">
        <v>351</v>
      </c>
      <c r="G83" s="85">
        <v>3</v>
      </c>
      <c r="H83" s="85">
        <v>2020</v>
      </c>
      <c r="I83" s="151">
        <v>310408</v>
      </c>
      <c r="J83" s="86" t="s">
        <v>351</v>
      </c>
      <c r="K83" s="85">
        <v>3</v>
      </c>
      <c r="L83" s="85">
        <v>2021</v>
      </c>
      <c r="M83" s="151">
        <v>496517</v>
      </c>
      <c r="N83" s="86" t="s">
        <v>351</v>
      </c>
      <c r="O83" s="85">
        <v>3</v>
      </c>
      <c r="P83" s="85">
        <v>2022</v>
      </c>
      <c r="Q83" s="151">
        <v>110732</v>
      </c>
      <c r="R83" s="86" t="s">
        <v>351</v>
      </c>
      <c r="S83" s="85"/>
      <c r="T83" s="85"/>
      <c r="U83" s="151"/>
      <c r="V83" s="86" t="s">
        <v>351</v>
      </c>
      <c r="W83" s="85"/>
      <c r="X83" s="85"/>
      <c r="Y83" s="151"/>
      <c r="Z83" s="86" t="s">
        <v>351</v>
      </c>
      <c r="AA83" s="85"/>
      <c r="AB83" s="85"/>
      <c r="AC83" s="151"/>
      <c r="AD83" t="s">
        <v>351</v>
      </c>
      <c r="AE83" s="85"/>
      <c r="AF83" s="85"/>
      <c r="AG83" s="151"/>
    </row>
    <row r="84" spans="1:33" x14ac:dyDescent="0.25">
      <c r="A84" s="87" t="s">
        <v>669</v>
      </c>
      <c r="B84" s="84">
        <v>1669821336</v>
      </c>
      <c r="C84" s="85">
        <v>3</v>
      </c>
      <c r="D84" s="85">
        <v>2016</v>
      </c>
      <c r="E84" s="151">
        <v>717449</v>
      </c>
      <c r="F84" s="86" t="s">
        <v>351</v>
      </c>
      <c r="G84" s="85">
        <v>3</v>
      </c>
      <c r="H84" s="85">
        <v>2022</v>
      </c>
      <c r="I84" s="151">
        <v>483180</v>
      </c>
      <c r="J84" s="86" t="s">
        <v>351</v>
      </c>
      <c r="K84" s="85">
        <v>3</v>
      </c>
      <c r="L84" s="85">
        <v>2023</v>
      </c>
      <c r="M84" s="151">
        <v>160919</v>
      </c>
      <c r="N84" s="86" t="s">
        <v>351</v>
      </c>
      <c r="O84" s="85"/>
      <c r="P84" s="85"/>
      <c r="Q84" s="151"/>
      <c r="R84" s="86" t="s">
        <v>351</v>
      </c>
      <c r="S84" s="85"/>
      <c r="T84" s="85"/>
      <c r="U84" s="151"/>
      <c r="V84" s="86" t="s">
        <v>351</v>
      </c>
      <c r="W84" s="85"/>
      <c r="X84" s="85"/>
      <c r="Y84" s="151"/>
      <c r="Z84" s="86" t="s">
        <v>351</v>
      </c>
      <c r="AA84" s="85"/>
      <c r="AB84" s="85"/>
      <c r="AC84" s="151"/>
      <c r="AD84" t="s">
        <v>351</v>
      </c>
      <c r="AE84" s="85"/>
      <c r="AF84" s="85"/>
      <c r="AG84" s="151" t="s">
        <v>596</v>
      </c>
    </row>
    <row r="85" spans="1:33" x14ac:dyDescent="0.25">
      <c r="A85" s="84" t="s">
        <v>161</v>
      </c>
      <c r="B85" s="84">
        <v>1083661193</v>
      </c>
      <c r="C85" s="85">
        <v>3</v>
      </c>
      <c r="D85" s="85">
        <v>2023</v>
      </c>
      <c r="E85" s="151">
        <v>2549823</v>
      </c>
      <c r="F85" s="86" t="s">
        <v>351</v>
      </c>
      <c r="G85" s="85"/>
      <c r="H85" s="85"/>
      <c r="I85" s="151"/>
      <c r="J85" s="86" t="s">
        <v>351</v>
      </c>
      <c r="K85" s="85"/>
      <c r="L85" s="85"/>
      <c r="M85" s="151"/>
      <c r="N85" s="86" t="s">
        <v>351</v>
      </c>
      <c r="O85" s="85"/>
      <c r="P85" s="85"/>
      <c r="Q85" s="151"/>
      <c r="R85" s="86" t="s">
        <v>351</v>
      </c>
      <c r="S85" s="85"/>
      <c r="T85" s="85"/>
      <c r="U85" s="151"/>
      <c r="V85" s="86" t="s">
        <v>351</v>
      </c>
      <c r="W85" s="85"/>
      <c r="X85" s="85"/>
      <c r="Y85" s="151"/>
      <c r="Z85" s="86" t="s">
        <v>351</v>
      </c>
      <c r="AA85" s="85"/>
      <c r="AB85" s="85"/>
      <c r="AC85" s="151"/>
      <c r="AD85" t="s">
        <v>351</v>
      </c>
      <c r="AE85" s="85"/>
      <c r="AF85" s="85"/>
      <c r="AG85" s="151" t="s">
        <v>596</v>
      </c>
    </row>
    <row r="86" spans="1:33" x14ac:dyDescent="0.25">
      <c r="A86" s="84" t="s">
        <v>162</v>
      </c>
      <c r="B86" s="84">
        <v>1336118298</v>
      </c>
      <c r="C86" s="85">
        <v>3</v>
      </c>
      <c r="D86" s="85">
        <v>2016</v>
      </c>
      <c r="E86" s="151">
        <v>677774</v>
      </c>
      <c r="F86" s="86" t="s">
        <v>351</v>
      </c>
      <c r="G86" s="85">
        <v>3</v>
      </c>
      <c r="H86" s="85">
        <v>2017</v>
      </c>
      <c r="I86" s="151">
        <v>112928</v>
      </c>
      <c r="J86" s="86" t="s">
        <v>351</v>
      </c>
      <c r="K86" s="85">
        <v>3</v>
      </c>
      <c r="L86" s="85">
        <v>2020</v>
      </c>
      <c r="M86" s="151">
        <v>65666</v>
      </c>
      <c r="N86" s="86" t="s">
        <v>351</v>
      </c>
      <c r="O86" s="85">
        <v>3</v>
      </c>
      <c r="P86" s="85">
        <v>2021</v>
      </c>
      <c r="Q86" s="151">
        <v>78781</v>
      </c>
      <c r="R86" s="86" t="s">
        <v>351</v>
      </c>
      <c r="S86" s="85">
        <v>3</v>
      </c>
      <c r="T86" s="85">
        <v>2022</v>
      </c>
      <c r="U86" s="151">
        <v>534598</v>
      </c>
      <c r="V86" s="86" t="s">
        <v>351</v>
      </c>
      <c r="W86" s="85">
        <v>3</v>
      </c>
      <c r="X86" s="85">
        <v>2023</v>
      </c>
      <c r="Y86" s="151">
        <v>152475</v>
      </c>
      <c r="Z86" s="86" t="s">
        <v>351</v>
      </c>
      <c r="AA86" s="85"/>
      <c r="AB86" s="85"/>
      <c r="AC86" s="151"/>
      <c r="AD86" t="s">
        <v>351</v>
      </c>
      <c r="AE86" s="85"/>
      <c r="AF86" s="85"/>
      <c r="AG86" s="151" t="s">
        <v>596</v>
      </c>
    </row>
    <row r="87" spans="1:33" x14ac:dyDescent="0.25">
      <c r="A87" s="84" t="s">
        <v>163</v>
      </c>
      <c r="B87" s="84">
        <v>1194309336</v>
      </c>
      <c r="C87" s="85">
        <v>3</v>
      </c>
      <c r="D87" s="85">
        <v>2018</v>
      </c>
      <c r="E87" s="151">
        <v>61519</v>
      </c>
      <c r="F87" s="86" t="s">
        <v>351</v>
      </c>
      <c r="G87" s="85">
        <v>3</v>
      </c>
      <c r="H87" s="85">
        <v>2019</v>
      </c>
      <c r="I87" s="151">
        <v>70638</v>
      </c>
      <c r="J87" s="86" t="s">
        <v>351</v>
      </c>
      <c r="K87" s="85">
        <v>3</v>
      </c>
      <c r="L87" s="85">
        <v>2020</v>
      </c>
      <c r="M87" s="151">
        <v>79602</v>
      </c>
      <c r="N87" s="86" t="s">
        <v>351</v>
      </c>
      <c r="O87" s="85">
        <v>3</v>
      </c>
      <c r="P87" s="85">
        <v>2021</v>
      </c>
      <c r="Q87" s="151">
        <v>83508</v>
      </c>
      <c r="R87" s="86" t="s">
        <v>351</v>
      </c>
      <c r="S87" s="85">
        <v>3</v>
      </c>
      <c r="T87" s="85">
        <v>2022</v>
      </c>
      <c r="U87" s="151">
        <v>193698</v>
      </c>
      <c r="V87" s="86" t="s">
        <v>351</v>
      </c>
      <c r="W87" s="85">
        <v>3</v>
      </c>
      <c r="X87" s="85">
        <v>2023</v>
      </c>
      <c r="Y87" s="151">
        <v>136222</v>
      </c>
      <c r="Z87" s="86" t="s">
        <v>351</v>
      </c>
      <c r="AA87" s="85"/>
      <c r="AB87" s="85"/>
      <c r="AC87" s="151"/>
      <c r="AD87" t="s">
        <v>351</v>
      </c>
      <c r="AE87" s="85"/>
      <c r="AF87" s="85"/>
      <c r="AG87" s="151" t="s">
        <v>596</v>
      </c>
    </row>
    <row r="88" spans="1:33" x14ac:dyDescent="0.25">
      <c r="A88" s="87" t="s">
        <v>164</v>
      </c>
      <c r="B88" s="84">
        <v>1699710293</v>
      </c>
      <c r="C88" s="85">
        <v>3</v>
      </c>
      <c r="D88" s="85">
        <v>2016</v>
      </c>
      <c r="E88" s="151">
        <v>76124</v>
      </c>
      <c r="F88" s="91" t="s">
        <v>351</v>
      </c>
      <c r="G88" s="85">
        <v>1</v>
      </c>
      <c r="H88" s="85">
        <v>2016</v>
      </c>
      <c r="I88" s="151">
        <v>-30</v>
      </c>
      <c r="J88" s="91" t="s">
        <v>351</v>
      </c>
      <c r="K88" s="85">
        <v>3</v>
      </c>
      <c r="L88" s="85">
        <v>2017</v>
      </c>
      <c r="M88" s="151">
        <v>579710</v>
      </c>
      <c r="N88" s="91" t="s">
        <v>351</v>
      </c>
      <c r="O88" s="85">
        <v>3</v>
      </c>
      <c r="P88" s="85">
        <v>2018</v>
      </c>
      <c r="Q88" s="151">
        <v>64517</v>
      </c>
      <c r="R88" s="91" t="s">
        <v>351</v>
      </c>
      <c r="S88" s="85">
        <v>3</v>
      </c>
      <c r="T88" s="85">
        <v>2019</v>
      </c>
      <c r="U88" s="151">
        <v>135887</v>
      </c>
      <c r="V88" s="86" t="s">
        <v>351</v>
      </c>
      <c r="W88" s="85">
        <v>3</v>
      </c>
      <c r="X88" s="85">
        <v>2020</v>
      </c>
      <c r="Y88" s="151">
        <v>73013</v>
      </c>
      <c r="Z88" s="86" t="s">
        <v>351</v>
      </c>
      <c r="AA88" s="85">
        <v>3</v>
      </c>
      <c r="AB88" s="85">
        <v>2023</v>
      </c>
      <c r="AC88" s="151">
        <v>168960</v>
      </c>
      <c r="AD88" t="s">
        <v>351</v>
      </c>
      <c r="AE88" s="85"/>
      <c r="AF88" s="85"/>
      <c r="AG88" s="151" t="s">
        <v>596</v>
      </c>
    </row>
    <row r="89" spans="1:33" x14ac:dyDescent="0.25">
      <c r="A89" s="87" t="s">
        <v>406</v>
      </c>
      <c r="B89" s="84">
        <v>1083659692</v>
      </c>
      <c r="C89" s="85">
        <v>3</v>
      </c>
      <c r="D89" s="85">
        <v>2016</v>
      </c>
      <c r="E89" s="151">
        <v>61350</v>
      </c>
      <c r="F89" s="86" t="s">
        <v>351</v>
      </c>
      <c r="G89" s="85">
        <v>3</v>
      </c>
      <c r="H89" s="85">
        <v>2019</v>
      </c>
      <c r="I89" s="151">
        <v>62912</v>
      </c>
      <c r="J89" s="86" t="s">
        <v>351</v>
      </c>
      <c r="K89" s="85">
        <v>3</v>
      </c>
      <c r="L89" s="85">
        <v>2020</v>
      </c>
      <c r="M89" s="151">
        <v>370277</v>
      </c>
      <c r="N89" s="86" t="s">
        <v>351</v>
      </c>
      <c r="O89" s="85">
        <v>3</v>
      </c>
      <c r="P89" s="85">
        <v>2021</v>
      </c>
      <c r="Q89" s="151">
        <v>140784</v>
      </c>
      <c r="R89" s="86" t="s">
        <v>351</v>
      </c>
      <c r="S89" s="85">
        <v>3</v>
      </c>
      <c r="T89" s="85">
        <v>2022</v>
      </c>
      <c r="U89" s="151">
        <v>92083</v>
      </c>
      <c r="V89" s="86" t="s">
        <v>351</v>
      </c>
      <c r="W89" s="85"/>
      <c r="X89" s="85"/>
      <c r="Y89" s="151"/>
      <c r="Z89" s="86" t="s">
        <v>351</v>
      </c>
      <c r="AA89" s="85"/>
      <c r="AB89" s="85"/>
      <c r="AC89" s="151"/>
      <c r="AD89" t="s">
        <v>351</v>
      </c>
      <c r="AE89" s="85"/>
      <c r="AF89" s="85"/>
      <c r="AG89" s="151"/>
    </row>
    <row r="90" spans="1:33" x14ac:dyDescent="0.25">
      <c r="A90" s="87" t="s">
        <v>407</v>
      </c>
      <c r="B90" s="84">
        <v>1740249382</v>
      </c>
      <c r="C90" s="85">
        <v>3</v>
      </c>
      <c r="D90" s="85">
        <v>2021</v>
      </c>
      <c r="E90" s="151">
        <v>186223</v>
      </c>
      <c r="F90" s="86" t="s">
        <v>351</v>
      </c>
      <c r="G90" s="85"/>
      <c r="H90" s="85"/>
      <c r="I90" s="151"/>
      <c r="J90" s="86" t="s">
        <v>351</v>
      </c>
      <c r="K90" s="85"/>
      <c r="L90" s="85"/>
      <c r="M90" s="151"/>
      <c r="N90" s="86" t="s">
        <v>351</v>
      </c>
      <c r="O90" s="85"/>
      <c r="P90" s="85"/>
      <c r="Q90" s="151"/>
      <c r="R90" s="86" t="s">
        <v>351</v>
      </c>
      <c r="S90" s="85"/>
      <c r="T90" s="85"/>
      <c r="U90" s="151"/>
      <c r="V90" s="86" t="s">
        <v>351</v>
      </c>
      <c r="W90" s="85"/>
      <c r="X90" s="85"/>
      <c r="Y90" s="151"/>
      <c r="Z90" s="86" t="s">
        <v>351</v>
      </c>
      <c r="AA90" s="85"/>
      <c r="AB90" s="85"/>
      <c r="AC90" s="151"/>
      <c r="AD90" t="s">
        <v>351</v>
      </c>
      <c r="AE90" s="85"/>
      <c r="AF90" s="85"/>
      <c r="AG90" s="151"/>
    </row>
    <row r="91" spans="1:33" x14ac:dyDescent="0.25">
      <c r="A91" s="84" t="s">
        <v>408</v>
      </c>
      <c r="B91" s="84">
        <v>1225000888</v>
      </c>
      <c r="C91" s="85">
        <v>3</v>
      </c>
      <c r="D91" s="85">
        <v>2017</v>
      </c>
      <c r="E91" s="151">
        <v>64982</v>
      </c>
      <c r="F91" s="86" t="s">
        <v>351</v>
      </c>
      <c r="G91" s="85">
        <v>3</v>
      </c>
      <c r="H91" s="85">
        <v>2018</v>
      </c>
      <c r="I91" s="151">
        <v>48484</v>
      </c>
      <c r="J91" s="86" t="s">
        <v>351</v>
      </c>
      <c r="K91" s="85">
        <v>3</v>
      </c>
      <c r="L91" s="85">
        <v>2019</v>
      </c>
      <c r="M91" s="151">
        <v>70105</v>
      </c>
      <c r="N91" s="86" t="s">
        <v>351</v>
      </c>
      <c r="O91" s="85">
        <v>3</v>
      </c>
      <c r="P91" s="85">
        <v>2020</v>
      </c>
      <c r="Q91" s="151">
        <v>59690</v>
      </c>
      <c r="R91" s="86" t="s">
        <v>351</v>
      </c>
      <c r="S91" s="85">
        <v>3</v>
      </c>
      <c r="T91" s="85">
        <v>2021</v>
      </c>
      <c r="U91" s="151">
        <v>160903</v>
      </c>
      <c r="V91" s="86" t="s">
        <v>351</v>
      </c>
      <c r="W91" s="85">
        <v>3</v>
      </c>
      <c r="X91" s="85">
        <v>2022</v>
      </c>
      <c r="Y91" s="151">
        <v>270818</v>
      </c>
      <c r="Z91" s="86" t="s">
        <v>351</v>
      </c>
      <c r="AA91" s="85">
        <v>3</v>
      </c>
      <c r="AB91" s="85">
        <v>2023</v>
      </c>
      <c r="AC91" s="151">
        <v>78345</v>
      </c>
      <c r="AD91" t="s">
        <v>351</v>
      </c>
      <c r="AE91" s="85"/>
      <c r="AF91" s="85"/>
      <c r="AG91" s="151" t="s">
        <v>596</v>
      </c>
    </row>
    <row r="92" spans="1:33" x14ac:dyDescent="0.25">
      <c r="A92" s="87" t="s">
        <v>409</v>
      </c>
      <c r="B92" s="84">
        <v>1407803679</v>
      </c>
      <c r="C92" s="85">
        <v>3</v>
      </c>
      <c r="D92" s="85">
        <v>2018</v>
      </c>
      <c r="E92" s="151">
        <v>59652</v>
      </c>
      <c r="F92" s="86" t="s">
        <v>351</v>
      </c>
      <c r="G92" s="85">
        <v>3</v>
      </c>
      <c r="H92" s="85">
        <v>2019</v>
      </c>
      <c r="I92" s="151">
        <v>61794</v>
      </c>
      <c r="J92" s="86" t="s">
        <v>351</v>
      </c>
      <c r="K92" s="85">
        <v>3</v>
      </c>
      <c r="L92" s="85">
        <v>2020</v>
      </c>
      <c r="M92" s="151">
        <v>85469</v>
      </c>
      <c r="N92" s="86" t="s">
        <v>351</v>
      </c>
      <c r="O92" s="85">
        <v>3</v>
      </c>
      <c r="P92" s="85">
        <v>2021</v>
      </c>
      <c r="Q92" s="151">
        <v>97657</v>
      </c>
      <c r="R92" s="86" t="s">
        <v>351</v>
      </c>
      <c r="S92" s="85">
        <v>3</v>
      </c>
      <c r="T92" s="85">
        <v>2022</v>
      </c>
      <c r="U92" s="151">
        <v>232820</v>
      </c>
      <c r="V92" s="86" t="s">
        <v>351</v>
      </c>
      <c r="W92" s="85">
        <v>3</v>
      </c>
      <c r="X92" s="85">
        <v>2023</v>
      </c>
      <c r="Y92" s="151">
        <v>59970</v>
      </c>
      <c r="Z92" s="86" t="s">
        <v>351</v>
      </c>
      <c r="AA92" s="85"/>
      <c r="AB92" s="85"/>
      <c r="AC92" s="151"/>
      <c r="AD92" t="s">
        <v>351</v>
      </c>
      <c r="AE92" s="85"/>
      <c r="AF92" s="85"/>
      <c r="AG92" s="151" t="s">
        <v>596</v>
      </c>
    </row>
    <row r="93" spans="1:33" x14ac:dyDescent="0.25">
      <c r="A93" s="87" t="s">
        <v>165</v>
      </c>
      <c r="B93" s="84">
        <v>1134249006</v>
      </c>
      <c r="C93" s="85">
        <v>3</v>
      </c>
      <c r="D93" s="85">
        <v>2017</v>
      </c>
      <c r="E93" s="151">
        <v>138750</v>
      </c>
      <c r="F93" s="86" t="s">
        <v>351</v>
      </c>
      <c r="G93" s="85">
        <v>3</v>
      </c>
      <c r="H93" s="85">
        <v>2020</v>
      </c>
      <c r="I93" s="151">
        <v>258451</v>
      </c>
      <c r="J93" s="86" t="s">
        <v>351</v>
      </c>
      <c r="K93" s="85">
        <v>3</v>
      </c>
      <c r="L93" s="85">
        <v>2021</v>
      </c>
      <c r="M93" s="151">
        <v>102708</v>
      </c>
      <c r="N93" s="86" t="s">
        <v>351</v>
      </c>
      <c r="O93" s="85">
        <v>3</v>
      </c>
      <c r="P93" s="85">
        <v>2022</v>
      </c>
      <c r="Q93" s="151">
        <v>64161</v>
      </c>
      <c r="R93" s="86" t="s">
        <v>351</v>
      </c>
      <c r="S93" s="85">
        <v>3</v>
      </c>
      <c r="T93" s="85">
        <v>2023</v>
      </c>
      <c r="U93" s="151">
        <v>74044</v>
      </c>
      <c r="V93" s="86" t="s">
        <v>351</v>
      </c>
      <c r="W93" s="85"/>
      <c r="X93" s="85"/>
      <c r="Y93" s="151"/>
      <c r="Z93" s="86" t="s">
        <v>351</v>
      </c>
      <c r="AA93" s="85"/>
      <c r="AB93" s="85"/>
      <c r="AC93" s="151"/>
      <c r="AD93" t="s">
        <v>351</v>
      </c>
      <c r="AE93" s="85"/>
      <c r="AF93" s="85"/>
      <c r="AG93" s="151" t="s">
        <v>596</v>
      </c>
    </row>
    <row r="94" spans="1:33" x14ac:dyDescent="0.25">
      <c r="A94" s="87" t="s">
        <v>575</v>
      </c>
      <c r="B94" s="84">
        <v>1710312079</v>
      </c>
      <c r="C94" s="85">
        <v>3</v>
      </c>
      <c r="D94" s="85">
        <v>2016</v>
      </c>
      <c r="E94" s="151">
        <v>81712</v>
      </c>
      <c r="F94" s="86" t="s">
        <v>351</v>
      </c>
      <c r="G94" s="85">
        <v>3</v>
      </c>
      <c r="H94" s="85">
        <v>2017</v>
      </c>
      <c r="I94" s="151">
        <v>56256.41</v>
      </c>
      <c r="J94" s="86" t="s">
        <v>351</v>
      </c>
      <c r="K94" s="85">
        <v>3</v>
      </c>
      <c r="L94" s="85">
        <v>2020</v>
      </c>
      <c r="M94" s="151">
        <v>95507</v>
      </c>
      <c r="N94" s="86" t="s">
        <v>351</v>
      </c>
      <c r="O94" s="85">
        <v>3</v>
      </c>
      <c r="P94" s="85">
        <v>2021</v>
      </c>
      <c r="Q94" s="151">
        <v>511980</v>
      </c>
      <c r="R94" s="86" t="s">
        <v>351</v>
      </c>
      <c r="S94" s="85">
        <v>3</v>
      </c>
      <c r="T94" s="85">
        <v>2023</v>
      </c>
      <c r="U94" s="151">
        <v>85286</v>
      </c>
      <c r="V94" s="86" t="s">
        <v>351</v>
      </c>
      <c r="W94" s="85"/>
      <c r="X94" s="85"/>
      <c r="Y94" s="151"/>
      <c r="Z94" s="86" t="s">
        <v>351</v>
      </c>
      <c r="AA94" s="85"/>
      <c r="AB94" s="85"/>
      <c r="AC94" s="151"/>
      <c r="AD94" t="s">
        <v>351</v>
      </c>
      <c r="AE94" s="85"/>
      <c r="AF94" s="85"/>
      <c r="AG94" s="151" t="s">
        <v>596</v>
      </c>
    </row>
    <row r="95" spans="1:33" x14ac:dyDescent="0.25">
      <c r="A95" s="87" t="s">
        <v>166</v>
      </c>
      <c r="B95" s="84">
        <v>1710537998</v>
      </c>
      <c r="C95" s="85"/>
      <c r="D95" s="85"/>
      <c r="E95" s="151"/>
      <c r="F95" s="86"/>
      <c r="G95" s="85"/>
      <c r="H95" s="85"/>
      <c r="I95" s="151"/>
      <c r="J95" s="86"/>
      <c r="K95" s="85"/>
      <c r="L95" s="85"/>
      <c r="M95" s="151"/>
      <c r="N95" s="86"/>
      <c r="O95" s="85"/>
      <c r="P95" s="85"/>
      <c r="Q95" s="151"/>
      <c r="R95" s="86"/>
      <c r="S95" s="85"/>
      <c r="T95" s="85"/>
      <c r="U95" s="151"/>
      <c r="V95" s="86"/>
      <c r="W95" s="85"/>
      <c r="X95" s="85"/>
      <c r="Y95" s="151"/>
      <c r="Z95" s="86"/>
      <c r="AA95" s="85"/>
      <c r="AB95" s="85"/>
      <c r="AC95" s="151"/>
      <c r="AE95" s="85"/>
      <c r="AF95" s="85"/>
      <c r="AG95" s="151"/>
    </row>
    <row r="96" spans="1:33" x14ac:dyDescent="0.25">
      <c r="A96" s="87" t="s">
        <v>167</v>
      </c>
      <c r="B96" s="84">
        <v>1841854361</v>
      </c>
      <c r="C96" s="85">
        <v>3</v>
      </c>
      <c r="D96" s="85">
        <v>2016</v>
      </c>
      <c r="E96" s="151">
        <v>193672</v>
      </c>
      <c r="F96" s="86" t="s">
        <v>351</v>
      </c>
      <c r="G96" s="85">
        <v>3</v>
      </c>
      <c r="H96" s="85">
        <v>2017</v>
      </c>
      <c r="I96" s="151">
        <v>129899</v>
      </c>
      <c r="J96" s="86" t="s">
        <v>351</v>
      </c>
      <c r="K96" s="85">
        <v>3</v>
      </c>
      <c r="L96" s="85">
        <v>2018</v>
      </c>
      <c r="M96" s="151">
        <v>3207654</v>
      </c>
      <c r="N96" s="86" t="s">
        <v>351</v>
      </c>
      <c r="O96" s="85">
        <v>3</v>
      </c>
      <c r="P96" s="85">
        <v>2019</v>
      </c>
      <c r="Q96" s="151">
        <v>179524</v>
      </c>
      <c r="R96" s="86" t="s">
        <v>351</v>
      </c>
      <c r="S96" s="85">
        <v>3</v>
      </c>
      <c r="T96" s="85">
        <v>2020</v>
      </c>
      <c r="U96" s="151">
        <v>195565</v>
      </c>
      <c r="V96" s="86" t="s">
        <v>351</v>
      </c>
      <c r="W96" s="85">
        <v>3</v>
      </c>
      <c r="X96" s="85">
        <v>2023</v>
      </c>
      <c r="Y96" s="151">
        <v>152824</v>
      </c>
      <c r="Z96" s="86" t="s">
        <v>351</v>
      </c>
      <c r="AA96" s="85"/>
      <c r="AB96" s="85"/>
      <c r="AC96" s="151"/>
      <c r="AD96" t="s">
        <v>351</v>
      </c>
      <c r="AE96" s="85"/>
      <c r="AF96" s="85"/>
      <c r="AG96" s="151" t="s">
        <v>596</v>
      </c>
    </row>
    <row r="97" spans="1:33" x14ac:dyDescent="0.25">
      <c r="A97" s="87" t="s">
        <v>168</v>
      </c>
      <c r="B97" s="84">
        <v>1346806015</v>
      </c>
      <c r="C97" s="85">
        <v>3</v>
      </c>
      <c r="D97" s="85">
        <v>2019</v>
      </c>
      <c r="E97" s="151">
        <v>118259</v>
      </c>
      <c r="F97" s="86" t="s">
        <v>351</v>
      </c>
      <c r="G97" s="85">
        <v>3</v>
      </c>
      <c r="H97" s="85">
        <v>2021</v>
      </c>
      <c r="I97" s="151">
        <v>210976</v>
      </c>
      <c r="J97" s="86" t="s">
        <v>351</v>
      </c>
      <c r="K97" s="85">
        <v>3</v>
      </c>
      <c r="L97" s="85">
        <v>2022</v>
      </c>
      <c r="M97" s="151">
        <v>325112</v>
      </c>
      <c r="N97" s="86" t="s">
        <v>351</v>
      </c>
      <c r="O97" s="85">
        <v>3</v>
      </c>
      <c r="P97" s="85">
        <v>2023</v>
      </c>
      <c r="Q97" s="151">
        <v>288382</v>
      </c>
      <c r="R97" s="86" t="s">
        <v>351</v>
      </c>
      <c r="S97" s="85"/>
      <c r="T97" s="85"/>
      <c r="U97" s="151"/>
      <c r="V97" s="86" t="s">
        <v>351</v>
      </c>
      <c r="W97" s="85"/>
      <c r="X97" s="85"/>
      <c r="Y97" s="151"/>
      <c r="Z97" s="86" t="s">
        <v>351</v>
      </c>
      <c r="AA97" s="85"/>
      <c r="AB97" s="85"/>
      <c r="AC97" s="151"/>
      <c r="AD97" t="s">
        <v>351</v>
      </c>
      <c r="AE97" s="85"/>
      <c r="AF97" s="85"/>
      <c r="AG97" s="151" t="s">
        <v>596</v>
      </c>
    </row>
    <row r="98" spans="1:33" x14ac:dyDescent="0.25">
      <c r="A98" s="84" t="s">
        <v>169</v>
      </c>
      <c r="B98" s="84">
        <v>1801428768</v>
      </c>
      <c r="C98" s="85">
        <v>3</v>
      </c>
      <c r="D98" s="85">
        <v>2016</v>
      </c>
      <c r="E98" s="151">
        <v>57412</v>
      </c>
      <c r="F98" s="86" t="s">
        <v>351</v>
      </c>
      <c r="G98" s="85">
        <v>3</v>
      </c>
      <c r="H98" s="85">
        <v>2017</v>
      </c>
      <c r="I98" s="151">
        <v>34547</v>
      </c>
      <c r="J98" s="86" t="s">
        <v>351</v>
      </c>
      <c r="K98" s="85">
        <v>3</v>
      </c>
      <c r="L98" s="85">
        <v>2023</v>
      </c>
      <c r="M98" s="151">
        <v>31703</v>
      </c>
      <c r="N98" s="86" t="s">
        <v>351</v>
      </c>
      <c r="O98" s="85"/>
      <c r="P98" s="85"/>
      <c r="Q98" s="151"/>
      <c r="R98" s="86" t="s">
        <v>351</v>
      </c>
      <c r="S98" s="85"/>
      <c r="T98" s="85"/>
      <c r="U98" s="151"/>
      <c r="V98" s="86" t="s">
        <v>351</v>
      </c>
      <c r="W98" s="85"/>
      <c r="X98" s="85"/>
      <c r="Y98" s="151"/>
      <c r="Z98" s="86" t="s">
        <v>351</v>
      </c>
      <c r="AA98" s="85"/>
      <c r="AB98" s="85"/>
      <c r="AC98" s="151"/>
      <c r="AD98" t="s">
        <v>351</v>
      </c>
      <c r="AE98" s="85"/>
      <c r="AF98" s="85"/>
      <c r="AG98" s="151" t="s">
        <v>596</v>
      </c>
    </row>
    <row r="99" spans="1:33" x14ac:dyDescent="0.25">
      <c r="A99" s="84" t="s">
        <v>170</v>
      </c>
      <c r="B99" s="84">
        <v>1407325103</v>
      </c>
      <c r="C99" s="85">
        <v>3</v>
      </c>
      <c r="D99" s="85">
        <v>2021</v>
      </c>
      <c r="E99" s="151">
        <v>500565</v>
      </c>
      <c r="F99" s="86" t="s">
        <v>351</v>
      </c>
      <c r="G99" s="85">
        <v>3</v>
      </c>
      <c r="H99" s="85">
        <v>2022</v>
      </c>
      <c r="I99" s="151">
        <v>518938</v>
      </c>
      <c r="J99" s="86" t="s">
        <v>351</v>
      </c>
      <c r="K99" s="85">
        <v>3</v>
      </c>
      <c r="L99" s="85">
        <v>2023</v>
      </c>
      <c r="M99" s="151">
        <v>117093</v>
      </c>
      <c r="N99" s="86" t="s">
        <v>351</v>
      </c>
      <c r="O99" s="85"/>
      <c r="P99" s="85"/>
      <c r="Q99" s="151"/>
      <c r="R99" s="86" t="s">
        <v>351</v>
      </c>
      <c r="S99" s="85"/>
      <c r="T99" s="85"/>
      <c r="U99" s="151"/>
      <c r="V99" s="86" t="s">
        <v>351</v>
      </c>
      <c r="W99" s="85"/>
      <c r="X99" s="85"/>
      <c r="Y99" s="151"/>
      <c r="Z99" s="86" t="s">
        <v>351</v>
      </c>
      <c r="AA99" s="85"/>
      <c r="AB99" s="85"/>
      <c r="AC99" s="151"/>
      <c r="AD99" t="s">
        <v>351</v>
      </c>
      <c r="AE99" s="85"/>
      <c r="AF99" s="85"/>
      <c r="AG99" s="151" t="s">
        <v>596</v>
      </c>
    </row>
    <row r="100" spans="1:33" x14ac:dyDescent="0.25">
      <c r="A100" s="84" t="s">
        <v>171</v>
      </c>
      <c r="B100" s="84">
        <v>1891722187</v>
      </c>
      <c r="C100" s="85">
        <v>3</v>
      </c>
      <c r="D100" s="85">
        <v>2022</v>
      </c>
      <c r="E100" s="151">
        <v>68030</v>
      </c>
      <c r="F100" s="86" t="s">
        <v>351</v>
      </c>
      <c r="G100" s="85"/>
      <c r="H100" s="85"/>
      <c r="I100" s="151"/>
      <c r="J100" s="86" t="s">
        <v>351</v>
      </c>
      <c r="K100" s="85"/>
      <c r="L100" s="85"/>
      <c r="M100" s="151"/>
      <c r="N100" s="86" t="s">
        <v>351</v>
      </c>
      <c r="O100" s="85"/>
      <c r="P100" s="85"/>
      <c r="Q100" s="151"/>
      <c r="R100" s="86" t="s">
        <v>351</v>
      </c>
      <c r="S100" s="85"/>
      <c r="T100" s="85"/>
      <c r="U100" s="151"/>
      <c r="V100" s="86" t="s">
        <v>351</v>
      </c>
      <c r="W100" s="85"/>
      <c r="X100" s="85"/>
      <c r="Y100" s="151"/>
      <c r="Z100" s="86" t="s">
        <v>351</v>
      </c>
      <c r="AA100" s="85"/>
      <c r="AB100" s="85"/>
      <c r="AC100" s="151"/>
      <c r="AD100" t="s">
        <v>351</v>
      </c>
      <c r="AE100" s="85"/>
      <c r="AF100" s="85"/>
      <c r="AG100" s="151"/>
    </row>
    <row r="101" spans="1:33" x14ac:dyDescent="0.25">
      <c r="A101" s="87" t="s">
        <v>172</v>
      </c>
      <c r="B101" s="84">
        <v>1346851052</v>
      </c>
      <c r="C101" s="85">
        <v>3</v>
      </c>
      <c r="D101" s="85">
        <v>2016</v>
      </c>
      <c r="E101" s="151">
        <v>59142</v>
      </c>
      <c r="F101" s="86" t="s">
        <v>351</v>
      </c>
      <c r="G101" s="85">
        <v>3</v>
      </c>
      <c r="H101" s="85">
        <v>2017</v>
      </c>
      <c r="I101" s="151">
        <v>57314</v>
      </c>
      <c r="J101" s="86" t="s">
        <v>351</v>
      </c>
      <c r="K101" s="85">
        <v>3</v>
      </c>
      <c r="L101" s="85">
        <v>2018</v>
      </c>
      <c r="M101" s="151">
        <v>70077</v>
      </c>
      <c r="N101" s="86" t="s">
        <v>351</v>
      </c>
      <c r="O101" s="85">
        <v>3</v>
      </c>
      <c r="P101" s="85">
        <v>2019</v>
      </c>
      <c r="Q101" s="151">
        <v>55470</v>
      </c>
      <c r="R101" s="86" t="s">
        <v>351</v>
      </c>
      <c r="S101" s="85">
        <v>3</v>
      </c>
      <c r="T101" s="85">
        <v>2020</v>
      </c>
      <c r="U101" s="151">
        <v>72870</v>
      </c>
      <c r="V101" s="86" t="s">
        <v>351</v>
      </c>
      <c r="W101" s="85">
        <v>3</v>
      </c>
      <c r="X101" s="85">
        <v>2021</v>
      </c>
      <c r="Y101" s="151">
        <v>66019</v>
      </c>
      <c r="Z101" s="86" t="s">
        <v>351</v>
      </c>
      <c r="AA101" s="85">
        <v>3</v>
      </c>
      <c r="AB101" s="85">
        <v>2022</v>
      </c>
      <c r="AC101" s="151">
        <v>69687</v>
      </c>
      <c r="AD101" t="s">
        <v>351</v>
      </c>
      <c r="AE101" s="85">
        <v>3</v>
      </c>
      <c r="AF101" s="85">
        <v>2023</v>
      </c>
      <c r="AG101" s="151">
        <v>90585</v>
      </c>
    </row>
    <row r="102" spans="1:33" x14ac:dyDescent="0.25">
      <c r="A102" s="87" t="s">
        <v>410</v>
      </c>
      <c r="B102" s="84">
        <v>1073599510</v>
      </c>
      <c r="C102" s="85">
        <v>3</v>
      </c>
      <c r="D102" s="85">
        <v>2021</v>
      </c>
      <c r="E102" s="151">
        <v>137925</v>
      </c>
      <c r="F102" s="86" t="s">
        <v>351</v>
      </c>
      <c r="G102" s="85">
        <v>3</v>
      </c>
      <c r="H102" s="85">
        <v>2023</v>
      </c>
      <c r="I102" s="151">
        <v>121974</v>
      </c>
      <c r="J102" s="86" t="s">
        <v>351</v>
      </c>
      <c r="K102" s="85"/>
      <c r="L102" s="85"/>
      <c r="M102" s="151"/>
      <c r="N102" s="86" t="s">
        <v>351</v>
      </c>
      <c r="O102" s="85"/>
      <c r="P102" s="85"/>
      <c r="Q102" s="151"/>
      <c r="R102" s="86" t="s">
        <v>351</v>
      </c>
      <c r="S102" s="85"/>
      <c r="T102" s="85"/>
      <c r="U102" s="151"/>
      <c r="V102" s="86" t="s">
        <v>351</v>
      </c>
      <c r="W102" s="85"/>
      <c r="X102" s="85"/>
      <c r="Y102" s="151"/>
      <c r="Z102" s="86" t="s">
        <v>351</v>
      </c>
      <c r="AA102" s="85"/>
      <c r="AB102" s="85"/>
      <c r="AC102" s="151"/>
      <c r="AD102" t="s">
        <v>351</v>
      </c>
      <c r="AE102" s="85"/>
      <c r="AF102" s="85"/>
      <c r="AG102" s="151" t="s">
        <v>596</v>
      </c>
    </row>
    <row r="103" spans="1:33" x14ac:dyDescent="0.25">
      <c r="A103" s="87" t="s">
        <v>173</v>
      </c>
      <c r="B103" s="84">
        <v>1972587376</v>
      </c>
      <c r="C103" s="85"/>
      <c r="D103" s="85"/>
      <c r="E103" s="151"/>
      <c r="F103" s="86" t="s">
        <v>351</v>
      </c>
      <c r="G103" s="85"/>
      <c r="H103" s="85"/>
      <c r="I103" s="151"/>
      <c r="J103" s="86" t="s">
        <v>351</v>
      </c>
      <c r="K103" s="85"/>
      <c r="L103" s="85"/>
      <c r="M103" s="151"/>
      <c r="N103" s="86" t="s">
        <v>351</v>
      </c>
      <c r="O103" s="85"/>
      <c r="P103" s="85"/>
      <c r="Q103" s="151"/>
      <c r="R103" s="86" t="s">
        <v>351</v>
      </c>
      <c r="S103" s="85"/>
      <c r="T103" s="85"/>
      <c r="U103" s="151"/>
      <c r="V103" s="86" t="s">
        <v>351</v>
      </c>
      <c r="W103" s="85"/>
      <c r="X103" s="85"/>
      <c r="Y103" s="151"/>
      <c r="Z103" s="86" t="s">
        <v>351</v>
      </c>
      <c r="AA103" s="85"/>
      <c r="AB103" s="85"/>
      <c r="AC103" s="151"/>
      <c r="AD103" t="s">
        <v>351</v>
      </c>
      <c r="AE103" s="85"/>
      <c r="AF103" s="85"/>
      <c r="AG103" s="151"/>
    </row>
    <row r="104" spans="1:33" x14ac:dyDescent="0.25">
      <c r="A104" s="84" t="s">
        <v>174</v>
      </c>
      <c r="B104" s="84">
        <v>1942236161</v>
      </c>
      <c r="C104" s="85">
        <v>3</v>
      </c>
      <c r="D104" s="85">
        <v>2016</v>
      </c>
      <c r="E104" s="151">
        <v>183781</v>
      </c>
      <c r="F104" s="86" t="s">
        <v>351</v>
      </c>
      <c r="G104" s="85">
        <v>3</v>
      </c>
      <c r="H104" s="85">
        <v>2017</v>
      </c>
      <c r="I104" s="151">
        <v>643284</v>
      </c>
      <c r="J104" s="86" t="s">
        <v>351</v>
      </c>
      <c r="K104" s="85">
        <v>3</v>
      </c>
      <c r="L104" s="85">
        <v>2018</v>
      </c>
      <c r="M104" s="151">
        <v>280245</v>
      </c>
      <c r="N104" s="86" t="s">
        <v>351</v>
      </c>
      <c r="O104" s="85">
        <v>3</v>
      </c>
      <c r="P104" s="85">
        <v>2019</v>
      </c>
      <c r="Q104" s="151">
        <v>471375</v>
      </c>
      <c r="R104" s="86" t="s">
        <v>351</v>
      </c>
      <c r="S104" s="85">
        <v>3</v>
      </c>
      <c r="T104" s="85">
        <v>2020</v>
      </c>
      <c r="U104" s="151">
        <v>400937</v>
      </c>
      <c r="V104" s="86" t="s">
        <v>351</v>
      </c>
      <c r="W104" s="85">
        <v>3</v>
      </c>
      <c r="X104" s="85">
        <v>2021</v>
      </c>
      <c r="Y104" s="151">
        <v>511918</v>
      </c>
      <c r="Z104" s="86" t="s">
        <v>351</v>
      </c>
      <c r="AA104" s="85">
        <v>3</v>
      </c>
      <c r="AB104" s="85">
        <v>2023</v>
      </c>
      <c r="AC104" s="151">
        <v>2153223</v>
      </c>
      <c r="AD104" t="s">
        <v>351</v>
      </c>
      <c r="AE104" s="85"/>
      <c r="AF104" s="85"/>
      <c r="AG104" s="151" t="s">
        <v>596</v>
      </c>
    </row>
    <row r="105" spans="1:33" x14ac:dyDescent="0.25">
      <c r="A105" s="87" t="s">
        <v>411</v>
      </c>
      <c r="B105" s="84">
        <v>1437103850</v>
      </c>
      <c r="C105" s="85">
        <v>3</v>
      </c>
      <c r="D105" s="85">
        <v>2019</v>
      </c>
      <c r="E105" s="151">
        <v>191926</v>
      </c>
      <c r="F105" s="86" t="s">
        <v>351</v>
      </c>
      <c r="G105" s="85">
        <v>3</v>
      </c>
      <c r="H105" s="85">
        <v>2021</v>
      </c>
      <c r="I105" s="151">
        <v>56153</v>
      </c>
      <c r="J105" s="86" t="s">
        <v>351</v>
      </c>
      <c r="K105" s="85">
        <v>3</v>
      </c>
      <c r="L105" s="85">
        <v>2022</v>
      </c>
      <c r="M105" s="151">
        <v>119741</v>
      </c>
      <c r="N105" s="86" t="s">
        <v>351</v>
      </c>
      <c r="O105" s="85"/>
      <c r="P105" s="85"/>
      <c r="Q105" s="151"/>
      <c r="R105" s="86" t="s">
        <v>351</v>
      </c>
      <c r="S105" s="85"/>
      <c r="T105" s="85"/>
      <c r="U105" s="151"/>
      <c r="V105" s="86" t="s">
        <v>351</v>
      </c>
      <c r="W105" s="85"/>
      <c r="X105" s="85"/>
      <c r="Y105" s="151"/>
      <c r="Z105" s="86" t="s">
        <v>351</v>
      </c>
      <c r="AA105" s="85"/>
      <c r="AB105" s="85"/>
      <c r="AC105" s="151"/>
      <c r="AD105" t="s">
        <v>351</v>
      </c>
      <c r="AE105" s="85"/>
      <c r="AF105" s="85"/>
      <c r="AG105" s="151"/>
    </row>
    <row r="106" spans="1:33" x14ac:dyDescent="0.25">
      <c r="A106" s="87" t="s">
        <v>175</v>
      </c>
      <c r="B106" s="84">
        <v>1851375703</v>
      </c>
      <c r="C106" s="85">
        <v>3</v>
      </c>
      <c r="D106" s="85">
        <v>2019</v>
      </c>
      <c r="E106" s="151">
        <v>198738</v>
      </c>
      <c r="F106" s="86" t="s">
        <v>351</v>
      </c>
      <c r="G106" s="85">
        <v>3</v>
      </c>
      <c r="H106" s="85">
        <v>2020</v>
      </c>
      <c r="I106" s="151">
        <v>34179</v>
      </c>
      <c r="J106" s="86" t="s">
        <v>351</v>
      </c>
      <c r="K106" s="85"/>
      <c r="L106" s="85"/>
      <c r="M106" s="151"/>
      <c r="N106" s="86" t="s">
        <v>351</v>
      </c>
      <c r="O106" s="85"/>
      <c r="P106" s="85"/>
      <c r="Q106" s="151"/>
      <c r="R106" s="86" t="s">
        <v>351</v>
      </c>
      <c r="S106" s="85"/>
      <c r="T106" s="85"/>
      <c r="U106" s="151"/>
      <c r="V106" s="86" t="s">
        <v>351</v>
      </c>
      <c r="W106" s="85"/>
      <c r="X106" s="85"/>
      <c r="Y106" s="151"/>
      <c r="Z106" s="86" t="s">
        <v>351</v>
      </c>
      <c r="AA106" s="85"/>
      <c r="AB106" s="85"/>
      <c r="AC106" s="151"/>
      <c r="AD106" t="s">
        <v>351</v>
      </c>
      <c r="AE106" s="85"/>
      <c r="AF106" s="85"/>
      <c r="AG106" s="151"/>
    </row>
    <row r="107" spans="1:33" x14ac:dyDescent="0.25">
      <c r="A107" s="84" t="s">
        <v>176</v>
      </c>
      <c r="B107" s="84">
        <v>1225654098</v>
      </c>
      <c r="C107" s="85">
        <v>3</v>
      </c>
      <c r="D107" s="85">
        <v>2017</v>
      </c>
      <c r="E107" s="151">
        <v>49917</v>
      </c>
      <c r="F107" s="86" t="s">
        <v>351</v>
      </c>
      <c r="G107" s="85">
        <v>3</v>
      </c>
      <c r="H107" s="85">
        <v>2021</v>
      </c>
      <c r="I107" s="151">
        <v>121159</v>
      </c>
      <c r="J107" s="86" t="s">
        <v>351</v>
      </c>
      <c r="K107" s="85">
        <v>3</v>
      </c>
      <c r="L107" s="85">
        <v>2022</v>
      </c>
      <c r="M107" s="151">
        <v>104041</v>
      </c>
      <c r="N107" s="86" t="s">
        <v>351</v>
      </c>
      <c r="O107" s="85"/>
      <c r="P107" s="85"/>
      <c r="Q107" s="151"/>
      <c r="R107" s="86" t="s">
        <v>351</v>
      </c>
      <c r="S107" s="85"/>
      <c r="T107" s="85"/>
      <c r="U107" s="151"/>
      <c r="V107" s="86" t="s">
        <v>351</v>
      </c>
      <c r="W107" s="85"/>
      <c r="X107" s="85"/>
      <c r="Y107" s="151"/>
      <c r="Z107" s="86" t="s">
        <v>351</v>
      </c>
      <c r="AA107" s="85"/>
      <c r="AB107" s="85"/>
      <c r="AC107" s="151"/>
      <c r="AD107" t="s">
        <v>351</v>
      </c>
      <c r="AE107" s="85"/>
      <c r="AF107" s="85"/>
      <c r="AG107" s="151"/>
    </row>
    <row r="108" spans="1:33" x14ac:dyDescent="0.25">
      <c r="A108" s="87" t="s">
        <v>412</v>
      </c>
      <c r="B108" s="84">
        <v>1639630452</v>
      </c>
      <c r="C108" s="85">
        <v>3</v>
      </c>
      <c r="D108" s="85">
        <v>2021</v>
      </c>
      <c r="E108" s="151">
        <v>196698</v>
      </c>
      <c r="F108" s="86" t="s">
        <v>351</v>
      </c>
      <c r="G108" s="85">
        <v>3</v>
      </c>
      <c r="H108" s="85">
        <v>2022</v>
      </c>
      <c r="I108" s="151">
        <v>1056436</v>
      </c>
      <c r="J108" s="86" t="s">
        <v>351</v>
      </c>
      <c r="K108" s="85">
        <v>3</v>
      </c>
      <c r="L108" s="85">
        <v>2023</v>
      </c>
      <c r="M108" s="151">
        <v>2538158</v>
      </c>
      <c r="N108" s="86" t="s">
        <v>351</v>
      </c>
      <c r="O108" s="85"/>
      <c r="P108" s="85"/>
      <c r="Q108" s="151"/>
      <c r="R108" s="86" t="s">
        <v>351</v>
      </c>
      <c r="S108" s="85"/>
      <c r="T108" s="85"/>
      <c r="U108" s="151"/>
      <c r="V108" s="86" t="s">
        <v>351</v>
      </c>
      <c r="W108" s="85"/>
      <c r="X108" s="85"/>
      <c r="Y108" s="151"/>
      <c r="Z108" s="86" t="s">
        <v>351</v>
      </c>
      <c r="AA108" s="85"/>
      <c r="AB108" s="85"/>
      <c r="AC108" s="151"/>
      <c r="AD108" t="s">
        <v>351</v>
      </c>
      <c r="AE108" s="85"/>
      <c r="AF108" s="85"/>
      <c r="AG108" s="151" t="s">
        <v>596</v>
      </c>
    </row>
    <row r="109" spans="1:33" x14ac:dyDescent="0.25">
      <c r="A109" s="87" t="s">
        <v>177</v>
      </c>
      <c r="B109" s="84">
        <v>1093131310</v>
      </c>
      <c r="C109" s="85">
        <v>3</v>
      </c>
      <c r="D109" s="85">
        <v>2016</v>
      </c>
      <c r="E109" s="151">
        <v>984332</v>
      </c>
      <c r="F109" s="86" t="s">
        <v>351</v>
      </c>
      <c r="G109" s="85">
        <v>3</v>
      </c>
      <c r="H109" s="85">
        <v>2017</v>
      </c>
      <c r="I109" s="151">
        <v>303342</v>
      </c>
      <c r="J109" s="86" t="s">
        <v>351</v>
      </c>
      <c r="K109" s="85">
        <v>3</v>
      </c>
      <c r="L109" s="85">
        <v>2018</v>
      </c>
      <c r="M109" s="151">
        <v>289490</v>
      </c>
      <c r="N109" s="86" t="s">
        <v>351</v>
      </c>
      <c r="O109" s="85">
        <v>3</v>
      </c>
      <c r="P109" s="85">
        <v>2019</v>
      </c>
      <c r="Q109" s="151">
        <v>73177</v>
      </c>
      <c r="R109" s="86" t="s">
        <v>351</v>
      </c>
      <c r="S109" s="85">
        <v>3</v>
      </c>
      <c r="T109" s="85">
        <v>2019</v>
      </c>
      <c r="U109" s="151">
        <v>757142</v>
      </c>
      <c r="V109" s="86" t="s">
        <v>351</v>
      </c>
      <c r="W109" s="85">
        <v>3</v>
      </c>
      <c r="X109" s="85">
        <v>2021</v>
      </c>
      <c r="Y109" s="151">
        <v>601522</v>
      </c>
      <c r="Z109" s="86" t="s">
        <v>351</v>
      </c>
      <c r="AA109" s="85"/>
      <c r="AB109" s="85"/>
      <c r="AC109" s="151"/>
      <c r="AD109" t="s">
        <v>351</v>
      </c>
      <c r="AE109" s="85"/>
      <c r="AF109" s="85"/>
      <c r="AG109" s="151"/>
    </row>
    <row r="110" spans="1:33" x14ac:dyDescent="0.25">
      <c r="A110" s="87" t="s">
        <v>178</v>
      </c>
      <c r="B110" s="84">
        <v>1912485517</v>
      </c>
      <c r="C110" s="85">
        <v>3</v>
      </c>
      <c r="D110" s="85">
        <v>2016</v>
      </c>
      <c r="E110" s="151">
        <v>50895</v>
      </c>
      <c r="F110" s="86" t="s">
        <v>351</v>
      </c>
      <c r="G110" s="85">
        <v>3</v>
      </c>
      <c r="H110" s="85">
        <v>2019</v>
      </c>
      <c r="I110" s="151">
        <v>100660</v>
      </c>
      <c r="J110" s="86" t="s">
        <v>351</v>
      </c>
      <c r="K110" s="85">
        <v>3</v>
      </c>
      <c r="L110" s="85">
        <v>2020</v>
      </c>
      <c r="M110" s="151">
        <v>90025</v>
      </c>
      <c r="N110" s="86" t="s">
        <v>351</v>
      </c>
      <c r="O110" s="85">
        <v>3</v>
      </c>
      <c r="P110" s="85">
        <v>2022</v>
      </c>
      <c r="Q110" s="151">
        <v>175332</v>
      </c>
      <c r="R110" s="86" t="s">
        <v>351</v>
      </c>
      <c r="S110" s="85">
        <v>3</v>
      </c>
      <c r="T110" s="85">
        <v>2023</v>
      </c>
      <c r="U110" s="151">
        <v>54611</v>
      </c>
      <c r="V110" s="86" t="s">
        <v>351</v>
      </c>
      <c r="W110" s="85"/>
      <c r="X110" s="85"/>
      <c r="Y110" s="151"/>
      <c r="Z110" s="86" t="s">
        <v>351</v>
      </c>
      <c r="AA110" s="85"/>
      <c r="AB110" s="85"/>
      <c r="AC110" s="151"/>
      <c r="AD110" t="s">
        <v>351</v>
      </c>
      <c r="AE110" s="85"/>
      <c r="AF110" s="85"/>
      <c r="AG110" s="151" t="s">
        <v>596</v>
      </c>
    </row>
    <row r="111" spans="1:33" x14ac:dyDescent="0.25">
      <c r="A111" s="84" t="s">
        <v>179</v>
      </c>
      <c r="B111" s="84">
        <v>1841697422</v>
      </c>
      <c r="C111" s="85">
        <v>3</v>
      </c>
      <c r="D111" s="85">
        <v>2018</v>
      </c>
      <c r="E111" s="151">
        <v>64197</v>
      </c>
      <c r="F111" s="86" t="s">
        <v>351</v>
      </c>
      <c r="G111" s="85">
        <v>2</v>
      </c>
      <c r="H111" s="85">
        <v>2019</v>
      </c>
      <c r="I111" s="151">
        <v>96</v>
      </c>
      <c r="J111" s="86" t="s">
        <v>351</v>
      </c>
      <c r="K111" s="85"/>
      <c r="L111" s="85"/>
      <c r="M111" s="151"/>
      <c r="N111" s="86" t="s">
        <v>351</v>
      </c>
      <c r="O111" s="85"/>
      <c r="P111" s="85"/>
      <c r="Q111" s="151"/>
      <c r="R111" s="86" t="s">
        <v>351</v>
      </c>
      <c r="S111" s="85"/>
      <c r="T111" s="85"/>
      <c r="U111" s="151"/>
      <c r="V111" s="86" t="s">
        <v>351</v>
      </c>
      <c r="W111" s="85"/>
      <c r="X111" s="85"/>
      <c r="Y111" s="151"/>
      <c r="Z111" s="86" t="s">
        <v>351</v>
      </c>
      <c r="AA111" s="85"/>
      <c r="AB111" s="85"/>
      <c r="AC111" s="151"/>
      <c r="AD111" t="s">
        <v>351</v>
      </c>
      <c r="AE111" s="85"/>
      <c r="AF111" s="85"/>
      <c r="AG111" s="151"/>
    </row>
    <row r="112" spans="1:33" x14ac:dyDescent="0.25">
      <c r="A112" s="84" t="s">
        <v>413</v>
      </c>
      <c r="B112" s="84">
        <v>1356346191</v>
      </c>
      <c r="C112" s="85">
        <v>3</v>
      </c>
      <c r="D112" s="85">
        <v>2023</v>
      </c>
      <c r="E112" s="151">
        <v>58734</v>
      </c>
      <c r="F112" s="86" t="s">
        <v>351</v>
      </c>
      <c r="G112" s="85"/>
      <c r="H112" s="85"/>
      <c r="I112" s="151"/>
      <c r="J112" s="86" t="s">
        <v>351</v>
      </c>
      <c r="K112" s="85"/>
      <c r="L112" s="85"/>
      <c r="M112" s="151"/>
      <c r="N112" s="86" t="s">
        <v>351</v>
      </c>
      <c r="O112" s="85"/>
      <c r="P112" s="85"/>
      <c r="Q112" s="151"/>
      <c r="R112" s="86" t="s">
        <v>351</v>
      </c>
      <c r="S112" s="85"/>
      <c r="T112" s="85"/>
      <c r="U112" s="151"/>
      <c r="V112" s="86" t="s">
        <v>351</v>
      </c>
      <c r="W112" s="85"/>
      <c r="X112" s="85"/>
      <c r="Y112" s="151"/>
      <c r="Z112" s="86" t="s">
        <v>351</v>
      </c>
      <c r="AA112" s="85"/>
      <c r="AB112" s="85"/>
      <c r="AC112" s="151"/>
      <c r="AD112" t="s">
        <v>351</v>
      </c>
      <c r="AE112" s="85"/>
      <c r="AF112" s="85"/>
      <c r="AG112" s="151" t="s">
        <v>596</v>
      </c>
    </row>
    <row r="113" spans="1:33" x14ac:dyDescent="0.25">
      <c r="A113" s="84" t="s">
        <v>180</v>
      </c>
      <c r="B113" s="84">
        <v>1972261808</v>
      </c>
      <c r="C113" s="85">
        <v>3</v>
      </c>
      <c r="D113" s="85">
        <v>2017</v>
      </c>
      <c r="E113" s="151">
        <v>159916</v>
      </c>
      <c r="F113" s="86" t="s">
        <v>351</v>
      </c>
      <c r="G113" s="85">
        <v>3</v>
      </c>
      <c r="H113" s="85">
        <v>2018</v>
      </c>
      <c r="I113" s="151">
        <v>162801</v>
      </c>
      <c r="J113" s="86" t="s">
        <v>351</v>
      </c>
      <c r="K113" s="85">
        <v>3</v>
      </c>
      <c r="L113" s="85">
        <v>2020</v>
      </c>
      <c r="M113" s="151">
        <v>135935</v>
      </c>
      <c r="N113" s="86" t="s">
        <v>351</v>
      </c>
      <c r="O113" s="85">
        <v>3</v>
      </c>
      <c r="P113" s="85">
        <v>2021</v>
      </c>
      <c r="Q113" s="151">
        <v>950195</v>
      </c>
      <c r="R113" s="86" t="s">
        <v>351</v>
      </c>
      <c r="S113" s="85">
        <v>3</v>
      </c>
      <c r="T113" s="85">
        <v>2022</v>
      </c>
      <c r="U113" s="151">
        <v>9889018</v>
      </c>
      <c r="V113" s="86" t="s">
        <v>351</v>
      </c>
      <c r="W113" s="85">
        <v>3</v>
      </c>
      <c r="X113" s="85">
        <v>2023</v>
      </c>
      <c r="Y113" s="151">
        <v>419222</v>
      </c>
      <c r="Z113" s="86" t="s">
        <v>351</v>
      </c>
      <c r="AA113" s="85"/>
      <c r="AB113" s="85"/>
      <c r="AC113" s="151"/>
      <c r="AD113" t="s">
        <v>351</v>
      </c>
      <c r="AE113" s="85"/>
      <c r="AF113" s="85"/>
      <c r="AG113" s="151" t="s">
        <v>596</v>
      </c>
    </row>
    <row r="114" spans="1:33" x14ac:dyDescent="0.25">
      <c r="A114" s="87" t="s">
        <v>181</v>
      </c>
      <c r="B114" s="84">
        <v>1831551514</v>
      </c>
      <c r="C114" s="85">
        <v>3</v>
      </c>
      <c r="D114" s="85">
        <v>2023</v>
      </c>
      <c r="E114" s="151">
        <v>122425</v>
      </c>
      <c r="F114" s="86" t="s">
        <v>351</v>
      </c>
      <c r="G114" s="85"/>
      <c r="H114" s="85"/>
      <c r="I114" s="151"/>
      <c r="J114" s="86" t="s">
        <v>351</v>
      </c>
      <c r="K114" s="85"/>
      <c r="L114" s="85"/>
      <c r="M114" s="151"/>
      <c r="N114" s="86" t="s">
        <v>351</v>
      </c>
      <c r="O114" s="85"/>
      <c r="P114" s="85"/>
      <c r="Q114" s="151"/>
      <c r="R114" s="86" t="s">
        <v>351</v>
      </c>
      <c r="S114" s="85"/>
      <c r="T114" s="85"/>
      <c r="U114" s="151"/>
      <c r="V114" s="86" t="s">
        <v>351</v>
      </c>
      <c r="W114" s="85"/>
      <c r="X114" s="85"/>
      <c r="Y114" s="151"/>
      <c r="Z114" s="86" t="s">
        <v>351</v>
      </c>
      <c r="AA114" s="85"/>
      <c r="AB114" s="85"/>
      <c r="AC114" s="151"/>
      <c r="AD114" t="s">
        <v>351</v>
      </c>
      <c r="AE114" s="85"/>
      <c r="AF114" s="85"/>
      <c r="AG114" s="151" t="s">
        <v>596</v>
      </c>
    </row>
    <row r="115" spans="1:33" x14ac:dyDescent="0.25">
      <c r="A115" s="84" t="s">
        <v>414</v>
      </c>
      <c r="B115" s="84">
        <v>1154792000</v>
      </c>
      <c r="C115" s="85">
        <v>3</v>
      </c>
      <c r="D115" s="85">
        <v>2018</v>
      </c>
      <c r="E115" s="151">
        <v>189321</v>
      </c>
      <c r="F115" s="86" t="s">
        <v>351</v>
      </c>
      <c r="G115" s="85">
        <v>3</v>
      </c>
      <c r="H115" s="85">
        <v>2019</v>
      </c>
      <c r="I115" s="151">
        <v>110487</v>
      </c>
      <c r="J115" s="86" t="s">
        <v>351</v>
      </c>
      <c r="K115" s="85">
        <v>3</v>
      </c>
      <c r="L115" s="85">
        <v>2023</v>
      </c>
      <c r="M115" s="151">
        <v>144694</v>
      </c>
      <c r="N115" s="86" t="s">
        <v>351</v>
      </c>
      <c r="O115" s="85"/>
      <c r="P115" s="85"/>
      <c r="Q115" s="151"/>
      <c r="R115" s="86" t="s">
        <v>351</v>
      </c>
      <c r="S115" s="85"/>
      <c r="T115" s="85"/>
      <c r="U115" s="151"/>
      <c r="V115" s="86" t="s">
        <v>351</v>
      </c>
      <c r="W115" s="85"/>
      <c r="X115" s="85"/>
      <c r="Y115" s="151"/>
      <c r="Z115" s="86" t="s">
        <v>351</v>
      </c>
      <c r="AA115" s="85"/>
      <c r="AB115" s="85"/>
      <c r="AC115" s="151"/>
      <c r="AD115" t="s">
        <v>351</v>
      </c>
      <c r="AE115" s="85"/>
      <c r="AF115" s="85"/>
      <c r="AG115" s="151" t="s">
        <v>596</v>
      </c>
    </row>
    <row r="116" spans="1:33" x14ac:dyDescent="0.25">
      <c r="A116" s="84" t="s">
        <v>415</v>
      </c>
      <c r="B116" s="84">
        <v>1184196206</v>
      </c>
      <c r="C116" s="85"/>
      <c r="D116" s="85"/>
      <c r="E116" s="151"/>
      <c r="F116" s="86" t="s">
        <v>351</v>
      </c>
      <c r="G116" s="85"/>
      <c r="H116" s="85"/>
      <c r="I116" s="151"/>
      <c r="J116" s="86" t="s">
        <v>351</v>
      </c>
      <c r="K116" s="85"/>
      <c r="L116" s="85"/>
      <c r="M116" s="151"/>
      <c r="N116" s="86" t="s">
        <v>351</v>
      </c>
      <c r="O116" s="85"/>
      <c r="P116" s="85"/>
      <c r="Q116" s="151"/>
      <c r="R116" s="86" t="s">
        <v>351</v>
      </c>
      <c r="S116" s="85"/>
      <c r="T116" s="85"/>
      <c r="U116" s="151"/>
      <c r="V116" s="86" t="s">
        <v>351</v>
      </c>
      <c r="W116" s="85"/>
      <c r="X116" s="85"/>
      <c r="Y116" s="151"/>
      <c r="Z116" s="86" t="s">
        <v>351</v>
      </c>
      <c r="AA116" s="85"/>
      <c r="AB116" s="85"/>
      <c r="AC116" s="151"/>
      <c r="AD116" t="s">
        <v>351</v>
      </c>
      <c r="AE116" s="85"/>
      <c r="AF116" s="85"/>
      <c r="AG116" s="151"/>
    </row>
    <row r="117" spans="1:33" x14ac:dyDescent="0.25">
      <c r="A117" s="87" t="s">
        <v>182</v>
      </c>
      <c r="B117" s="84">
        <v>1245350289</v>
      </c>
      <c r="C117" s="85"/>
      <c r="D117" s="85"/>
      <c r="E117" s="151"/>
      <c r="F117" s="86" t="s">
        <v>351</v>
      </c>
      <c r="G117" s="85"/>
      <c r="H117" s="85"/>
      <c r="I117" s="151"/>
      <c r="J117" s="86" t="s">
        <v>351</v>
      </c>
      <c r="K117" s="85"/>
      <c r="L117" s="85"/>
      <c r="M117" s="151"/>
      <c r="N117" s="86" t="s">
        <v>351</v>
      </c>
      <c r="O117" s="85"/>
      <c r="P117" s="85"/>
      <c r="Q117" s="151"/>
      <c r="R117" s="86" t="s">
        <v>351</v>
      </c>
      <c r="S117" s="85"/>
      <c r="T117" s="85"/>
      <c r="U117" s="151"/>
      <c r="V117" s="86" t="s">
        <v>351</v>
      </c>
      <c r="W117" s="85"/>
      <c r="X117" s="85"/>
      <c r="Y117" s="151"/>
      <c r="Z117" s="86" t="s">
        <v>351</v>
      </c>
      <c r="AA117" s="85"/>
      <c r="AB117" s="85"/>
      <c r="AC117" s="151"/>
      <c r="AD117" t="s">
        <v>351</v>
      </c>
      <c r="AE117" s="85"/>
      <c r="AF117" s="85"/>
      <c r="AG117" s="151"/>
    </row>
    <row r="118" spans="1:33" x14ac:dyDescent="0.25">
      <c r="A118" s="87" t="s">
        <v>576</v>
      </c>
      <c r="B118" s="84">
        <v>1003366311</v>
      </c>
      <c r="C118" s="85">
        <v>3</v>
      </c>
      <c r="D118" s="85">
        <v>2016</v>
      </c>
      <c r="E118" s="151">
        <v>101737</v>
      </c>
      <c r="F118" s="86" t="s">
        <v>351</v>
      </c>
      <c r="G118" s="85">
        <v>3</v>
      </c>
      <c r="H118" s="85">
        <v>2019</v>
      </c>
      <c r="I118" s="151">
        <v>284541</v>
      </c>
      <c r="J118" s="86" t="s">
        <v>351</v>
      </c>
      <c r="K118" s="85">
        <v>3</v>
      </c>
      <c r="L118" s="85">
        <v>2021</v>
      </c>
      <c r="M118" s="151">
        <v>62203</v>
      </c>
      <c r="N118" s="86" t="s">
        <v>351</v>
      </c>
      <c r="O118" s="85">
        <v>3</v>
      </c>
      <c r="P118" s="85">
        <v>2022</v>
      </c>
      <c r="Q118" s="151">
        <v>97825</v>
      </c>
      <c r="R118" s="86" t="s">
        <v>351</v>
      </c>
      <c r="S118" s="85">
        <v>3</v>
      </c>
      <c r="T118" s="85">
        <v>2023</v>
      </c>
      <c r="U118" s="151">
        <v>104715</v>
      </c>
      <c r="V118" s="86" t="s">
        <v>351</v>
      </c>
      <c r="W118" s="85"/>
      <c r="X118" s="85"/>
      <c r="Y118" s="151"/>
      <c r="Z118" s="86" t="s">
        <v>351</v>
      </c>
      <c r="AA118" s="85"/>
      <c r="AB118" s="85"/>
      <c r="AC118" s="151"/>
      <c r="AD118" t="s">
        <v>351</v>
      </c>
      <c r="AE118" s="85"/>
      <c r="AF118" s="85"/>
      <c r="AG118" s="151" t="s">
        <v>596</v>
      </c>
    </row>
    <row r="119" spans="1:33" x14ac:dyDescent="0.25">
      <c r="A119" s="87" t="s">
        <v>416</v>
      </c>
      <c r="B119" s="84">
        <v>1750418802</v>
      </c>
      <c r="C119" s="85">
        <v>3</v>
      </c>
      <c r="D119" s="85">
        <v>2019</v>
      </c>
      <c r="E119" s="151">
        <v>126904</v>
      </c>
      <c r="F119" s="86" t="s">
        <v>351</v>
      </c>
      <c r="G119" s="85">
        <v>3</v>
      </c>
      <c r="H119" s="85">
        <v>2020</v>
      </c>
      <c r="I119" s="151">
        <v>136134</v>
      </c>
      <c r="J119" s="86" t="s">
        <v>351</v>
      </c>
      <c r="K119" s="85"/>
      <c r="L119" s="85"/>
      <c r="M119" s="151"/>
      <c r="N119" s="86" t="s">
        <v>351</v>
      </c>
      <c r="O119" s="85"/>
      <c r="P119" s="85"/>
      <c r="Q119" s="151"/>
      <c r="R119" s="86" t="s">
        <v>351</v>
      </c>
      <c r="S119" s="85"/>
      <c r="T119" s="85"/>
      <c r="U119" s="151"/>
      <c r="V119" s="86" t="s">
        <v>351</v>
      </c>
      <c r="W119" s="85"/>
      <c r="X119" s="85"/>
      <c r="Y119" s="151"/>
      <c r="Z119" s="86" t="s">
        <v>351</v>
      </c>
      <c r="AA119" s="85"/>
      <c r="AB119" s="85"/>
      <c r="AC119" s="151"/>
      <c r="AD119" t="s">
        <v>351</v>
      </c>
      <c r="AE119" s="85"/>
      <c r="AF119" s="85"/>
      <c r="AG119" s="151"/>
    </row>
    <row r="120" spans="1:33" x14ac:dyDescent="0.25">
      <c r="A120" s="84" t="s">
        <v>183</v>
      </c>
      <c r="B120" s="84">
        <v>1659365666</v>
      </c>
      <c r="C120" s="85"/>
      <c r="D120" s="85"/>
      <c r="E120" s="151"/>
      <c r="F120" s="86" t="s">
        <v>351</v>
      </c>
      <c r="G120" s="85"/>
      <c r="H120" s="85"/>
      <c r="I120" s="151"/>
      <c r="J120" s="86" t="s">
        <v>351</v>
      </c>
      <c r="K120" s="85"/>
      <c r="L120" s="85"/>
      <c r="M120" s="151"/>
      <c r="N120" s="86" t="s">
        <v>351</v>
      </c>
      <c r="O120" s="85"/>
      <c r="P120" s="85"/>
      <c r="Q120" s="151"/>
      <c r="R120" s="86" t="s">
        <v>351</v>
      </c>
      <c r="S120" s="85"/>
      <c r="T120" s="85"/>
      <c r="U120" s="151"/>
      <c r="V120" s="86" t="s">
        <v>351</v>
      </c>
      <c r="W120" s="85"/>
      <c r="X120" s="85"/>
      <c r="Y120" s="151"/>
      <c r="Z120" s="86" t="s">
        <v>351</v>
      </c>
      <c r="AA120" s="85"/>
      <c r="AB120" s="85"/>
      <c r="AC120" s="151"/>
      <c r="AD120" t="s">
        <v>351</v>
      </c>
      <c r="AE120" s="85"/>
      <c r="AF120" s="85"/>
      <c r="AG120" s="151"/>
    </row>
    <row r="121" spans="1:33" x14ac:dyDescent="0.25">
      <c r="A121" s="84" t="s">
        <v>417</v>
      </c>
      <c r="B121" s="84">
        <v>1265556294</v>
      </c>
      <c r="C121" s="85"/>
      <c r="D121" s="85"/>
      <c r="E121" s="151"/>
      <c r="F121" s="86" t="s">
        <v>351</v>
      </c>
      <c r="G121" s="85"/>
      <c r="H121" s="85"/>
      <c r="I121" s="151"/>
      <c r="J121" s="86" t="s">
        <v>351</v>
      </c>
      <c r="K121" s="85"/>
      <c r="L121" s="85"/>
      <c r="M121" s="151"/>
      <c r="N121" s="86" t="s">
        <v>351</v>
      </c>
      <c r="O121" s="85"/>
      <c r="P121" s="85"/>
      <c r="Q121" s="151"/>
      <c r="R121" s="86" t="s">
        <v>351</v>
      </c>
      <c r="S121" s="85"/>
      <c r="T121" s="85"/>
      <c r="U121" s="151"/>
      <c r="V121" s="86" t="s">
        <v>351</v>
      </c>
      <c r="W121" s="85"/>
      <c r="X121" s="85"/>
      <c r="Y121" s="151"/>
      <c r="Z121" s="86" t="s">
        <v>351</v>
      </c>
      <c r="AA121" s="85"/>
      <c r="AB121" s="85"/>
      <c r="AC121" s="151"/>
      <c r="AD121" t="s">
        <v>351</v>
      </c>
      <c r="AE121" s="85"/>
      <c r="AF121" s="85"/>
      <c r="AG121" s="151"/>
    </row>
    <row r="122" spans="1:33" x14ac:dyDescent="0.25">
      <c r="A122" s="87" t="s">
        <v>184</v>
      </c>
      <c r="B122" s="84">
        <v>1952766271</v>
      </c>
      <c r="C122" s="85">
        <v>3</v>
      </c>
      <c r="D122" s="85">
        <v>2018</v>
      </c>
      <c r="E122" s="151">
        <v>90857</v>
      </c>
      <c r="F122" s="86" t="s">
        <v>351</v>
      </c>
      <c r="G122" s="85">
        <v>3</v>
      </c>
      <c r="H122" s="85">
        <v>2019</v>
      </c>
      <c r="I122" s="151">
        <v>1946040</v>
      </c>
      <c r="J122" s="86" t="s">
        <v>351</v>
      </c>
      <c r="K122" s="85">
        <v>3</v>
      </c>
      <c r="L122" s="85">
        <v>2020</v>
      </c>
      <c r="M122" s="151">
        <v>143728</v>
      </c>
      <c r="N122" s="86" t="s">
        <v>351</v>
      </c>
      <c r="O122" s="85"/>
      <c r="P122" s="85"/>
      <c r="Q122" s="151"/>
      <c r="R122" s="86" t="s">
        <v>351</v>
      </c>
      <c r="S122" s="85"/>
      <c r="T122" s="85"/>
      <c r="U122" s="151"/>
      <c r="V122" s="86" t="s">
        <v>351</v>
      </c>
      <c r="W122" s="85"/>
      <c r="X122" s="85"/>
      <c r="Y122" s="151"/>
      <c r="Z122" s="86" t="s">
        <v>351</v>
      </c>
      <c r="AA122" s="85"/>
      <c r="AB122" s="85"/>
      <c r="AC122" s="151"/>
      <c r="AD122" t="s">
        <v>351</v>
      </c>
      <c r="AE122" s="85"/>
      <c r="AF122" s="85"/>
      <c r="AG122" s="151"/>
    </row>
    <row r="123" spans="1:33" x14ac:dyDescent="0.25">
      <c r="A123" s="87" t="s">
        <v>418</v>
      </c>
      <c r="B123" s="84">
        <v>1609124155</v>
      </c>
      <c r="C123" s="85">
        <v>3</v>
      </c>
      <c r="D123" s="85">
        <v>2016</v>
      </c>
      <c r="E123" s="151">
        <v>183846</v>
      </c>
      <c r="F123" s="86" t="s">
        <v>351</v>
      </c>
      <c r="G123" s="85">
        <v>3</v>
      </c>
      <c r="H123" s="85">
        <v>2018</v>
      </c>
      <c r="I123" s="151">
        <v>188852</v>
      </c>
      <c r="J123" s="86" t="s">
        <v>351</v>
      </c>
      <c r="K123" s="85">
        <v>1</v>
      </c>
      <c r="L123" s="85">
        <v>2021</v>
      </c>
      <c r="M123" s="151">
        <v>24</v>
      </c>
      <c r="N123" s="86" t="s">
        <v>419</v>
      </c>
      <c r="O123" s="85">
        <v>3</v>
      </c>
      <c r="P123" s="85">
        <v>2022</v>
      </c>
      <c r="Q123" s="151">
        <v>154150</v>
      </c>
      <c r="R123" s="86" t="s">
        <v>351</v>
      </c>
      <c r="S123" s="85">
        <v>3</v>
      </c>
      <c r="T123" s="85">
        <v>2023</v>
      </c>
      <c r="U123" s="151">
        <v>99424</v>
      </c>
      <c r="V123" s="86" t="s">
        <v>351</v>
      </c>
      <c r="W123" s="85"/>
      <c r="X123" s="85"/>
      <c r="Y123" s="151"/>
      <c r="Z123" s="86" t="s">
        <v>351</v>
      </c>
      <c r="AA123" s="85"/>
      <c r="AB123" s="85"/>
      <c r="AC123" s="151"/>
      <c r="AD123" t="s">
        <v>351</v>
      </c>
      <c r="AE123" s="85"/>
      <c r="AF123" s="85"/>
      <c r="AG123" s="151" t="s">
        <v>596</v>
      </c>
    </row>
    <row r="124" spans="1:33" x14ac:dyDescent="0.25">
      <c r="A124" s="87" t="s">
        <v>185</v>
      </c>
      <c r="B124" s="84">
        <v>1407803828</v>
      </c>
      <c r="C124" s="85">
        <v>3</v>
      </c>
      <c r="D124" s="85">
        <v>2018</v>
      </c>
      <c r="E124" s="151">
        <v>77247</v>
      </c>
      <c r="F124" s="86" t="s">
        <v>351</v>
      </c>
      <c r="G124" s="85">
        <v>3</v>
      </c>
      <c r="H124" s="85">
        <v>2019</v>
      </c>
      <c r="I124" s="151">
        <v>50413</v>
      </c>
      <c r="J124" s="86" t="s">
        <v>351</v>
      </c>
      <c r="K124" s="85">
        <v>3</v>
      </c>
      <c r="L124" s="85">
        <v>2021</v>
      </c>
      <c r="M124" s="151">
        <v>55455</v>
      </c>
      <c r="N124" s="86" t="s">
        <v>351</v>
      </c>
      <c r="O124" s="85">
        <v>3</v>
      </c>
      <c r="P124" s="85">
        <v>2022</v>
      </c>
      <c r="Q124" s="151">
        <v>769740</v>
      </c>
      <c r="R124" s="86" t="s">
        <v>351</v>
      </c>
      <c r="S124" s="85">
        <v>3</v>
      </c>
      <c r="T124" s="85">
        <v>2023</v>
      </c>
      <c r="U124" s="151">
        <v>85288</v>
      </c>
      <c r="V124" s="86" t="s">
        <v>351</v>
      </c>
      <c r="W124" s="85"/>
      <c r="X124" s="85"/>
      <c r="Y124" s="151"/>
      <c r="Z124" s="86" t="s">
        <v>351</v>
      </c>
      <c r="AA124" s="85"/>
      <c r="AB124" s="85"/>
      <c r="AC124" s="151"/>
      <c r="AD124" t="s">
        <v>351</v>
      </c>
      <c r="AE124" s="85"/>
      <c r="AF124" s="85"/>
      <c r="AG124" s="151" t="s">
        <v>596</v>
      </c>
    </row>
    <row r="125" spans="1:33" x14ac:dyDescent="0.25">
      <c r="A125" s="87" t="s">
        <v>186</v>
      </c>
      <c r="B125" s="84">
        <v>1821024274</v>
      </c>
      <c r="C125" s="85">
        <v>3</v>
      </c>
      <c r="D125" s="85">
        <v>2018</v>
      </c>
      <c r="E125" s="151">
        <v>52129</v>
      </c>
      <c r="F125" s="91" t="s">
        <v>351</v>
      </c>
      <c r="G125" s="85">
        <v>3</v>
      </c>
      <c r="H125" s="85">
        <v>2021</v>
      </c>
      <c r="I125" s="151">
        <v>105383</v>
      </c>
      <c r="J125" s="91" t="s">
        <v>351</v>
      </c>
      <c r="K125" s="85">
        <v>3</v>
      </c>
      <c r="L125" s="85">
        <v>2022</v>
      </c>
      <c r="M125" s="151">
        <v>194140</v>
      </c>
      <c r="N125" s="91" t="s">
        <v>351</v>
      </c>
      <c r="O125" s="85"/>
      <c r="P125" s="85"/>
      <c r="Q125" s="151"/>
      <c r="R125" s="91" t="s">
        <v>351</v>
      </c>
      <c r="S125" s="85"/>
      <c r="T125" s="85"/>
      <c r="U125" s="151"/>
      <c r="V125" s="86" t="s">
        <v>351</v>
      </c>
      <c r="W125" s="85"/>
      <c r="X125" s="85"/>
      <c r="Y125" s="151"/>
      <c r="Z125" s="86" t="s">
        <v>351</v>
      </c>
      <c r="AA125" s="85"/>
      <c r="AB125" s="85"/>
      <c r="AC125" s="151"/>
      <c r="AD125" t="s">
        <v>351</v>
      </c>
      <c r="AE125" s="85"/>
      <c r="AF125" s="85"/>
      <c r="AG125" s="151"/>
    </row>
    <row r="126" spans="1:33" x14ac:dyDescent="0.25">
      <c r="A126" s="84" t="s">
        <v>420</v>
      </c>
      <c r="B126" s="84">
        <v>1770995094</v>
      </c>
      <c r="C126" s="85"/>
      <c r="D126" s="85"/>
      <c r="E126" s="151"/>
      <c r="F126" s="86" t="s">
        <v>351</v>
      </c>
      <c r="G126" s="85"/>
      <c r="H126" s="85"/>
      <c r="I126" s="151"/>
      <c r="J126" s="86" t="s">
        <v>351</v>
      </c>
      <c r="K126" s="85"/>
      <c r="L126" s="85"/>
      <c r="M126" s="151"/>
      <c r="N126" s="86" t="s">
        <v>351</v>
      </c>
      <c r="O126" s="85"/>
      <c r="P126" s="85"/>
      <c r="Q126" s="151"/>
      <c r="R126" s="86" t="s">
        <v>351</v>
      </c>
      <c r="S126" s="85"/>
      <c r="T126" s="85"/>
      <c r="U126" s="151"/>
      <c r="V126" s="86" t="s">
        <v>351</v>
      </c>
      <c r="W126" s="85"/>
      <c r="X126" s="85"/>
      <c r="Y126" s="151"/>
      <c r="Z126" s="86" t="s">
        <v>351</v>
      </c>
      <c r="AA126" s="85"/>
      <c r="AB126" s="85"/>
      <c r="AC126" s="151"/>
      <c r="AD126" t="s">
        <v>351</v>
      </c>
      <c r="AE126" s="85"/>
      <c r="AF126" s="85"/>
      <c r="AG126" s="151"/>
    </row>
    <row r="127" spans="1:33" x14ac:dyDescent="0.25">
      <c r="A127" s="84" t="s">
        <v>421</v>
      </c>
      <c r="B127" s="84">
        <v>1275508970</v>
      </c>
      <c r="C127" s="85">
        <v>3</v>
      </c>
      <c r="D127" s="85">
        <v>2016</v>
      </c>
      <c r="E127" s="151">
        <v>92613</v>
      </c>
      <c r="F127" s="86" t="s">
        <v>351</v>
      </c>
      <c r="G127" s="85">
        <v>3</v>
      </c>
      <c r="H127" s="85">
        <v>2021</v>
      </c>
      <c r="I127" s="151">
        <v>107658</v>
      </c>
      <c r="J127" s="86" t="s">
        <v>351</v>
      </c>
      <c r="K127" s="85">
        <v>3</v>
      </c>
      <c r="L127" s="85">
        <v>2023</v>
      </c>
      <c r="M127" s="151">
        <v>70103</v>
      </c>
      <c r="N127" s="86" t="s">
        <v>351</v>
      </c>
      <c r="O127" s="85"/>
      <c r="P127" s="85"/>
      <c r="Q127" s="151"/>
      <c r="R127" s="86" t="s">
        <v>351</v>
      </c>
      <c r="S127" s="85"/>
      <c r="T127" s="85"/>
      <c r="U127" s="151"/>
      <c r="V127" s="86" t="s">
        <v>351</v>
      </c>
      <c r="W127" s="85"/>
      <c r="X127" s="85"/>
      <c r="Y127" s="151"/>
      <c r="Z127" s="86" t="s">
        <v>351</v>
      </c>
      <c r="AA127" s="85"/>
      <c r="AB127" s="85"/>
      <c r="AC127" s="151"/>
      <c r="AD127" t="s">
        <v>351</v>
      </c>
      <c r="AE127" s="85"/>
      <c r="AF127" s="85"/>
      <c r="AG127" s="151" t="s">
        <v>596</v>
      </c>
    </row>
    <row r="128" spans="1:33" x14ac:dyDescent="0.25">
      <c r="A128" s="87" t="s">
        <v>187</v>
      </c>
      <c r="B128" s="84">
        <v>1568127488</v>
      </c>
      <c r="C128" s="85">
        <v>3</v>
      </c>
      <c r="D128" s="85">
        <v>2016</v>
      </c>
      <c r="E128" s="151">
        <v>17283</v>
      </c>
      <c r="F128" s="86" t="s">
        <v>351</v>
      </c>
      <c r="G128" s="85">
        <v>3</v>
      </c>
      <c r="H128" s="85">
        <v>2018</v>
      </c>
      <c r="I128" s="151">
        <v>26036</v>
      </c>
      <c r="J128" s="86" t="s">
        <v>351</v>
      </c>
      <c r="K128" s="85">
        <v>3</v>
      </c>
      <c r="L128" s="85">
        <v>2019</v>
      </c>
      <c r="M128" s="151">
        <v>17404</v>
      </c>
      <c r="N128" s="86" t="s">
        <v>351</v>
      </c>
      <c r="O128" s="85">
        <v>3</v>
      </c>
      <c r="P128" s="85">
        <v>2020</v>
      </c>
      <c r="Q128" s="151">
        <v>16926</v>
      </c>
      <c r="R128" s="86" t="s">
        <v>351</v>
      </c>
      <c r="S128" s="85">
        <v>3</v>
      </c>
      <c r="T128" s="85">
        <v>2021</v>
      </c>
      <c r="U128" s="151">
        <v>36164</v>
      </c>
      <c r="V128" s="86" t="s">
        <v>351</v>
      </c>
      <c r="W128" s="85">
        <v>3</v>
      </c>
      <c r="X128" s="85">
        <v>2022</v>
      </c>
      <c r="Y128" s="151">
        <v>39708</v>
      </c>
      <c r="Z128" s="86" t="s">
        <v>351</v>
      </c>
      <c r="AA128" s="85">
        <v>3</v>
      </c>
      <c r="AB128" s="85">
        <v>2023</v>
      </c>
      <c r="AC128" s="151">
        <v>44734</v>
      </c>
      <c r="AD128" t="s">
        <v>351</v>
      </c>
      <c r="AE128" s="85"/>
      <c r="AF128" s="85"/>
      <c r="AG128" s="151" t="s">
        <v>596</v>
      </c>
    </row>
    <row r="129" spans="1:33" x14ac:dyDescent="0.25">
      <c r="A129" s="84" t="s">
        <v>590</v>
      </c>
      <c r="B129" s="84">
        <v>1396747689</v>
      </c>
      <c r="C129" s="85">
        <v>3</v>
      </c>
      <c r="D129" s="85">
        <v>2020</v>
      </c>
      <c r="E129" s="151">
        <v>321912</v>
      </c>
      <c r="F129" s="86" t="s">
        <v>351</v>
      </c>
      <c r="G129" s="85">
        <v>3</v>
      </c>
      <c r="H129" s="85">
        <v>2021</v>
      </c>
      <c r="I129" s="151">
        <v>227215</v>
      </c>
      <c r="J129" s="86" t="s">
        <v>351</v>
      </c>
      <c r="K129" s="85">
        <v>3</v>
      </c>
      <c r="L129" s="85">
        <v>2022</v>
      </c>
      <c r="M129" s="151">
        <v>257080</v>
      </c>
      <c r="N129" s="86" t="s">
        <v>351</v>
      </c>
      <c r="O129" s="85">
        <v>3</v>
      </c>
      <c r="P129" s="85">
        <v>2023</v>
      </c>
      <c r="Q129" s="151">
        <v>87286</v>
      </c>
      <c r="R129" s="86" t="s">
        <v>351</v>
      </c>
      <c r="S129" s="85"/>
      <c r="T129" s="85"/>
      <c r="U129" s="151"/>
      <c r="V129" s="86" t="s">
        <v>351</v>
      </c>
      <c r="W129" s="85"/>
      <c r="X129" s="85"/>
      <c r="Y129" s="151"/>
      <c r="Z129" s="86" t="s">
        <v>351</v>
      </c>
      <c r="AA129" s="85"/>
      <c r="AB129" s="85"/>
      <c r="AC129" s="151"/>
      <c r="AD129" t="s">
        <v>351</v>
      </c>
      <c r="AE129" s="85"/>
      <c r="AF129" s="85"/>
      <c r="AG129" s="151" t="s">
        <v>596</v>
      </c>
    </row>
    <row r="130" spans="1:33" x14ac:dyDescent="0.25">
      <c r="A130" s="84" t="s">
        <v>188</v>
      </c>
      <c r="B130" s="84">
        <v>1932135381</v>
      </c>
      <c r="C130" s="85">
        <v>3</v>
      </c>
      <c r="D130" s="85">
        <v>2016</v>
      </c>
      <c r="E130" s="151">
        <v>376856</v>
      </c>
      <c r="F130" s="86" t="s">
        <v>351</v>
      </c>
      <c r="G130" s="85">
        <v>3</v>
      </c>
      <c r="H130" s="85">
        <v>2020</v>
      </c>
      <c r="I130" s="151">
        <v>61588</v>
      </c>
      <c r="J130" s="86" t="s">
        <v>351</v>
      </c>
      <c r="K130" s="85">
        <v>3</v>
      </c>
      <c r="L130" s="85">
        <v>2021</v>
      </c>
      <c r="M130" s="151">
        <v>84360</v>
      </c>
      <c r="N130" s="86" t="s">
        <v>351</v>
      </c>
      <c r="O130" s="85">
        <v>3</v>
      </c>
      <c r="P130" s="85">
        <v>2022</v>
      </c>
      <c r="Q130" s="151">
        <v>325249</v>
      </c>
      <c r="R130" s="86" t="s">
        <v>351</v>
      </c>
      <c r="S130" s="85">
        <v>3</v>
      </c>
      <c r="T130" s="85">
        <v>2023</v>
      </c>
      <c r="U130" s="151">
        <v>106020</v>
      </c>
      <c r="V130" s="86" t="s">
        <v>351</v>
      </c>
      <c r="W130" s="85"/>
      <c r="X130" s="85"/>
      <c r="Y130" s="151"/>
      <c r="Z130" s="86" t="s">
        <v>351</v>
      </c>
      <c r="AA130" s="85"/>
      <c r="AB130" s="85"/>
      <c r="AC130" s="151"/>
      <c r="AD130" t="s">
        <v>351</v>
      </c>
      <c r="AE130" s="85"/>
      <c r="AF130" s="85"/>
      <c r="AG130" s="151" t="s">
        <v>596</v>
      </c>
    </row>
    <row r="131" spans="1:33" x14ac:dyDescent="0.25">
      <c r="A131" s="87" t="s">
        <v>189</v>
      </c>
      <c r="B131" s="84">
        <v>1710932355</v>
      </c>
      <c r="C131" s="85">
        <v>3</v>
      </c>
      <c r="D131" s="85">
        <v>2018</v>
      </c>
      <c r="E131" s="151">
        <v>34555</v>
      </c>
      <c r="F131" s="86" t="s">
        <v>351</v>
      </c>
      <c r="G131" s="85">
        <v>3</v>
      </c>
      <c r="H131" s="85">
        <v>2020</v>
      </c>
      <c r="I131" s="151">
        <v>51578</v>
      </c>
      <c r="J131" s="86" t="s">
        <v>351</v>
      </c>
      <c r="K131" s="85">
        <v>3</v>
      </c>
      <c r="L131" s="85">
        <v>2021</v>
      </c>
      <c r="M131" s="151">
        <v>55332</v>
      </c>
      <c r="N131" s="86" t="s">
        <v>351</v>
      </c>
      <c r="O131" s="85">
        <v>3</v>
      </c>
      <c r="P131" s="85">
        <v>2022</v>
      </c>
      <c r="Q131" s="151">
        <v>46076</v>
      </c>
      <c r="R131" s="86" t="s">
        <v>351</v>
      </c>
      <c r="S131" s="85">
        <v>3</v>
      </c>
      <c r="T131" s="85">
        <v>2023</v>
      </c>
      <c r="U131" s="151">
        <v>41360</v>
      </c>
      <c r="V131" s="86" t="s">
        <v>351</v>
      </c>
      <c r="W131" s="85"/>
      <c r="X131" s="85"/>
      <c r="Y131" s="151"/>
      <c r="Z131" s="86" t="s">
        <v>351</v>
      </c>
      <c r="AA131" s="85"/>
      <c r="AB131" s="85"/>
      <c r="AC131" s="151"/>
      <c r="AD131" t="s">
        <v>351</v>
      </c>
      <c r="AE131" s="85"/>
      <c r="AF131" s="85"/>
      <c r="AG131" s="151" t="s">
        <v>596</v>
      </c>
    </row>
    <row r="132" spans="1:33" x14ac:dyDescent="0.25">
      <c r="A132" s="84" t="s">
        <v>190</v>
      </c>
      <c r="B132" s="84">
        <v>1376570275</v>
      </c>
      <c r="C132" s="85">
        <v>3</v>
      </c>
      <c r="D132" s="85">
        <v>2016</v>
      </c>
      <c r="E132" s="151">
        <v>30750</v>
      </c>
      <c r="F132" s="86" t="s">
        <v>351</v>
      </c>
      <c r="G132" s="85">
        <v>3</v>
      </c>
      <c r="H132" s="85">
        <v>2017</v>
      </c>
      <c r="I132" s="151">
        <v>67319</v>
      </c>
      <c r="J132" s="86" t="s">
        <v>351</v>
      </c>
      <c r="K132" s="85">
        <v>3</v>
      </c>
      <c r="L132" s="85">
        <v>2018</v>
      </c>
      <c r="M132" s="151">
        <v>38687</v>
      </c>
      <c r="N132" s="86" t="s">
        <v>351</v>
      </c>
      <c r="O132" s="85">
        <v>3</v>
      </c>
      <c r="P132" s="85">
        <v>2019</v>
      </c>
      <c r="Q132" s="151">
        <v>154884</v>
      </c>
      <c r="R132" s="86" t="s">
        <v>351</v>
      </c>
      <c r="S132" s="85">
        <v>3</v>
      </c>
      <c r="T132" s="85">
        <v>2020</v>
      </c>
      <c r="U132" s="151">
        <v>131321</v>
      </c>
      <c r="V132" s="86" t="s">
        <v>351</v>
      </c>
      <c r="W132" s="85"/>
      <c r="X132" s="85"/>
      <c r="Y132" s="151"/>
      <c r="Z132" s="86" t="s">
        <v>351</v>
      </c>
      <c r="AA132" s="85"/>
      <c r="AB132" s="85"/>
      <c r="AC132" s="151"/>
      <c r="AD132" t="s">
        <v>351</v>
      </c>
      <c r="AE132" s="85"/>
      <c r="AF132" s="85"/>
      <c r="AG132" s="151"/>
    </row>
    <row r="133" spans="1:33" x14ac:dyDescent="0.25">
      <c r="A133" s="84" t="s">
        <v>422</v>
      </c>
      <c r="B133" s="84">
        <v>1417951492</v>
      </c>
      <c r="C133" s="85">
        <v>3</v>
      </c>
      <c r="D133" s="85">
        <v>2021</v>
      </c>
      <c r="E133" s="151">
        <v>165263</v>
      </c>
      <c r="F133" s="86" t="s">
        <v>351</v>
      </c>
      <c r="G133" s="85">
        <v>3</v>
      </c>
      <c r="H133" s="85">
        <v>2022</v>
      </c>
      <c r="I133" s="151">
        <v>431469</v>
      </c>
      <c r="J133" s="86" t="s">
        <v>351</v>
      </c>
      <c r="K133" s="85">
        <v>3</v>
      </c>
      <c r="L133" s="85">
        <v>2023</v>
      </c>
      <c r="M133" s="151">
        <v>111776</v>
      </c>
      <c r="N133" s="86" t="s">
        <v>351</v>
      </c>
      <c r="O133" s="85"/>
      <c r="P133" s="85"/>
      <c r="Q133" s="151"/>
      <c r="R133" s="86" t="s">
        <v>351</v>
      </c>
      <c r="S133" s="85"/>
      <c r="T133" s="85"/>
      <c r="U133" s="151"/>
      <c r="V133" s="86" t="s">
        <v>351</v>
      </c>
      <c r="W133" s="85"/>
      <c r="X133" s="85"/>
      <c r="Y133" s="151"/>
      <c r="Z133" s="86" t="s">
        <v>351</v>
      </c>
      <c r="AA133" s="85"/>
      <c r="AB133" s="85"/>
      <c r="AC133" s="151"/>
      <c r="AD133" t="s">
        <v>351</v>
      </c>
      <c r="AE133" s="85"/>
      <c r="AF133" s="85"/>
      <c r="AG133" s="151" t="s">
        <v>596</v>
      </c>
    </row>
    <row r="134" spans="1:33" x14ac:dyDescent="0.25">
      <c r="A134" s="84" t="s">
        <v>191</v>
      </c>
      <c r="B134" s="84">
        <v>1730183625</v>
      </c>
      <c r="C134" s="85"/>
      <c r="D134" s="85"/>
      <c r="E134" s="151"/>
      <c r="F134" s="86" t="s">
        <v>351</v>
      </c>
      <c r="G134" s="85"/>
      <c r="H134" s="85"/>
      <c r="I134" s="151"/>
      <c r="J134" s="86" t="s">
        <v>351</v>
      </c>
      <c r="K134" s="85"/>
      <c r="L134" s="85"/>
      <c r="M134" s="151"/>
      <c r="N134" s="86" t="s">
        <v>351</v>
      </c>
      <c r="O134" s="85"/>
      <c r="P134" s="85"/>
      <c r="Q134" s="151"/>
      <c r="R134" s="86" t="s">
        <v>351</v>
      </c>
      <c r="S134" s="85"/>
      <c r="T134" s="85"/>
      <c r="U134" s="151"/>
      <c r="V134" s="86" t="s">
        <v>351</v>
      </c>
      <c r="W134" s="85"/>
      <c r="X134" s="85"/>
      <c r="Y134" s="151"/>
      <c r="Z134" s="86" t="s">
        <v>351</v>
      </c>
      <c r="AA134" s="85"/>
      <c r="AB134" s="85"/>
      <c r="AC134" s="151"/>
      <c r="AD134" t="s">
        <v>351</v>
      </c>
      <c r="AE134" s="85"/>
      <c r="AF134" s="85"/>
      <c r="AG134" s="151"/>
    </row>
    <row r="135" spans="1:33" x14ac:dyDescent="0.25">
      <c r="A135" s="84" t="s">
        <v>192</v>
      </c>
      <c r="B135" s="84">
        <v>1730136128</v>
      </c>
      <c r="C135" s="85"/>
      <c r="D135" s="85"/>
      <c r="E135" s="151"/>
      <c r="F135" s="86" t="s">
        <v>351</v>
      </c>
      <c r="G135" s="85"/>
      <c r="H135" s="85"/>
      <c r="I135" s="151"/>
      <c r="J135" s="86" t="s">
        <v>351</v>
      </c>
      <c r="K135" s="85"/>
      <c r="L135" s="85"/>
      <c r="M135" s="151"/>
      <c r="N135" s="86" t="s">
        <v>351</v>
      </c>
      <c r="O135" s="85"/>
      <c r="P135" s="85"/>
      <c r="Q135" s="151"/>
      <c r="R135" s="86" t="s">
        <v>351</v>
      </c>
      <c r="S135" s="85"/>
      <c r="T135" s="85"/>
      <c r="U135" s="151"/>
      <c r="V135" s="86" t="s">
        <v>351</v>
      </c>
      <c r="W135" s="85"/>
      <c r="X135" s="85"/>
      <c r="Y135" s="151"/>
      <c r="Z135" s="86" t="s">
        <v>351</v>
      </c>
      <c r="AA135" s="85"/>
      <c r="AB135" s="85"/>
      <c r="AC135" s="151"/>
      <c r="AD135" t="s">
        <v>351</v>
      </c>
      <c r="AE135" s="85"/>
      <c r="AF135" s="85"/>
      <c r="AG135" s="151"/>
    </row>
    <row r="136" spans="1:33" x14ac:dyDescent="0.25">
      <c r="A136" s="87" t="s">
        <v>423</v>
      </c>
      <c r="B136" s="84">
        <v>1679555403</v>
      </c>
      <c r="C136" s="85">
        <v>3</v>
      </c>
      <c r="D136" s="85">
        <v>2017</v>
      </c>
      <c r="E136" s="151">
        <v>65406</v>
      </c>
      <c r="F136" s="86" t="s">
        <v>351</v>
      </c>
      <c r="G136" s="85">
        <v>3</v>
      </c>
      <c r="H136" s="85">
        <v>2018</v>
      </c>
      <c r="I136" s="151">
        <v>148431</v>
      </c>
      <c r="J136" s="86" t="s">
        <v>351</v>
      </c>
      <c r="K136" s="85">
        <v>3</v>
      </c>
      <c r="L136" s="85">
        <v>2022</v>
      </c>
      <c r="M136" s="151">
        <v>284596</v>
      </c>
      <c r="N136" s="86" t="s">
        <v>351</v>
      </c>
      <c r="O136" s="85"/>
      <c r="P136" s="85"/>
      <c r="Q136" s="151"/>
      <c r="R136" s="86" t="s">
        <v>351</v>
      </c>
      <c r="S136" s="85"/>
      <c r="T136" s="85"/>
      <c r="U136" s="151"/>
      <c r="V136" s="86" t="s">
        <v>351</v>
      </c>
      <c r="W136" s="85"/>
      <c r="X136" s="85"/>
      <c r="Y136" s="151"/>
      <c r="Z136" s="86" t="s">
        <v>351</v>
      </c>
      <c r="AA136" s="85"/>
      <c r="AB136" s="85"/>
      <c r="AC136" s="151"/>
      <c r="AD136" t="s">
        <v>351</v>
      </c>
      <c r="AE136" s="85"/>
      <c r="AF136" s="85"/>
      <c r="AG136" s="151"/>
    </row>
    <row r="137" spans="1:33" x14ac:dyDescent="0.25">
      <c r="A137" s="84" t="s">
        <v>193</v>
      </c>
      <c r="B137" s="84">
        <v>1982948550</v>
      </c>
      <c r="C137" s="85">
        <v>3</v>
      </c>
      <c r="D137" s="85">
        <v>2016</v>
      </c>
      <c r="E137" s="151">
        <v>146564</v>
      </c>
      <c r="F137" s="86" t="s">
        <v>351</v>
      </c>
      <c r="G137" s="85">
        <v>3</v>
      </c>
      <c r="H137" s="85">
        <v>2017</v>
      </c>
      <c r="I137" s="151">
        <v>124810</v>
      </c>
      <c r="J137" s="86" t="s">
        <v>351</v>
      </c>
      <c r="K137" s="85">
        <v>3</v>
      </c>
      <c r="L137" s="85">
        <v>2018</v>
      </c>
      <c r="M137" s="151">
        <v>115738</v>
      </c>
      <c r="N137" s="86" t="s">
        <v>351</v>
      </c>
      <c r="O137" s="85">
        <v>3</v>
      </c>
      <c r="P137" s="85">
        <v>2019</v>
      </c>
      <c r="Q137" s="151">
        <v>241225</v>
      </c>
      <c r="R137" s="86" t="s">
        <v>351</v>
      </c>
      <c r="S137" s="85">
        <v>3</v>
      </c>
      <c r="T137" s="85">
        <v>2020</v>
      </c>
      <c r="U137" s="151">
        <v>87808</v>
      </c>
      <c r="V137" s="86" t="s">
        <v>351</v>
      </c>
      <c r="W137" s="85">
        <v>3</v>
      </c>
      <c r="X137" s="85">
        <v>2021</v>
      </c>
      <c r="Y137" s="151">
        <v>71750</v>
      </c>
      <c r="Z137" s="86" t="s">
        <v>351</v>
      </c>
      <c r="AA137" s="85">
        <v>3</v>
      </c>
      <c r="AB137" s="85">
        <v>2022</v>
      </c>
      <c r="AC137" s="151">
        <v>97270</v>
      </c>
      <c r="AD137" t="s">
        <v>351</v>
      </c>
      <c r="AE137" s="85">
        <v>3</v>
      </c>
      <c r="AF137" s="85">
        <v>2023</v>
      </c>
      <c r="AG137" s="151">
        <v>185619</v>
      </c>
    </row>
    <row r="138" spans="1:33" x14ac:dyDescent="0.25">
      <c r="A138" s="84" t="s">
        <v>194</v>
      </c>
      <c r="B138" s="84">
        <v>1174524458</v>
      </c>
      <c r="C138" s="85">
        <v>3</v>
      </c>
      <c r="D138" s="85">
        <v>2016</v>
      </c>
      <c r="E138" s="151">
        <v>138198</v>
      </c>
      <c r="F138" s="86" t="s">
        <v>351</v>
      </c>
      <c r="G138" s="85">
        <v>3</v>
      </c>
      <c r="H138" s="85">
        <v>2017</v>
      </c>
      <c r="I138" s="151">
        <v>49303</v>
      </c>
      <c r="J138" s="86" t="s">
        <v>351</v>
      </c>
      <c r="K138" s="85">
        <v>3</v>
      </c>
      <c r="L138" s="85">
        <v>2018</v>
      </c>
      <c r="M138" s="151">
        <v>33635</v>
      </c>
      <c r="N138" s="86" t="s">
        <v>351</v>
      </c>
      <c r="O138" s="85">
        <v>3</v>
      </c>
      <c r="P138" s="85">
        <v>2020</v>
      </c>
      <c r="Q138" s="151">
        <v>38538</v>
      </c>
      <c r="R138" s="86" t="s">
        <v>351</v>
      </c>
      <c r="S138" s="85">
        <v>3</v>
      </c>
      <c r="T138" s="85">
        <v>2022</v>
      </c>
      <c r="U138" s="151">
        <v>74381</v>
      </c>
      <c r="V138" s="86" t="s">
        <v>351</v>
      </c>
      <c r="W138" s="85">
        <v>3</v>
      </c>
      <c r="X138" s="85">
        <v>2023</v>
      </c>
      <c r="Y138" s="151">
        <v>67196</v>
      </c>
      <c r="Z138" s="86" t="s">
        <v>351</v>
      </c>
      <c r="AA138" s="85"/>
      <c r="AB138" s="85"/>
      <c r="AC138" s="151"/>
      <c r="AD138" t="s">
        <v>351</v>
      </c>
      <c r="AE138" s="85"/>
      <c r="AF138" s="85"/>
      <c r="AG138" s="151" t="s">
        <v>596</v>
      </c>
    </row>
    <row r="139" spans="1:33" x14ac:dyDescent="0.25">
      <c r="A139" s="84" t="s">
        <v>195</v>
      </c>
      <c r="B139" s="84">
        <v>1477511079</v>
      </c>
      <c r="C139" s="85">
        <v>3</v>
      </c>
      <c r="D139" s="85">
        <v>2017</v>
      </c>
      <c r="E139" s="151">
        <v>5568696</v>
      </c>
      <c r="F139" s="86" t="s">
        <v>351</v>
      </c>
      <c r="G139" s="85"/>
      <c r="H139" s="85"/>
      <c r="I139" s="151"/>
      <c r="J139" s="86" t="s">
        <v>351</v>
      </c>
      <c r="K139" s="85"/>
      <c r="L139" s="85"/>
      <c r="M139" s="151"/>
      <c r="N139" s="86" t="s">
        <v>351</v>
      </c>
      <c r="O139" s="85"/>
      <c r="P139" s="85"/>
      <c r="Q139" s="151"/>
      <c r="R139" s="86" t="s">
        <v>351</v>
      </c>
      <c r="S139" s="85"/>
      <c r="T139" s="85"/>
      <c r="U139" s="151"/>
      <c r="V139" s="86" t="s">
        <v>351</v>
      </c>
      <c r="W139" s="85"/>
      <c r="X139" s="85"/>
      <c r="Y139" s="151"/>
      <c r="Z139" s="86" t="s">
        <v>351</v>
      </c>
      <c r="AA139" s="85"/>
      <c r="AB139" s="85"/>
      <c r="AC139" s="151"/>
      <c r="AD139" t="s">
        <v>351</v>
      </c>
      <c r="AE139" s="85"/>
      <c r="AF139" s="85"/>
      <c r="AG139" s="151"/>
    </row>
    <row r="140" spans="1:33" x14ac:dyDescent="0.25">
      <c r="A140" s="87" t="s">
        <v>196</v>
      </c>
      <c r="B140" s="84">
        <v>1396802260</v>
      </c>
      <c r="C140" s="85">
        <v>3</v>
      </c>
      <c r="D140" s="85">
        <v>2023</v>
      </c>
      <c r="E140" s="151">
        <v>85069</v>
      </c>
      <c r="F140" s="86" t="s">
        <v>351</v>
      </c>
      <c r="G140" s="85"/>
      <c r="H140" s="85"/>
      <c r="I140" s="151"/>
      <c r="J140" s="86" t="s">
        <v>351</v>
      </c>
      <c r="K140" s="85"/>
      <c r="L140" s="85"/>
      <c r="M140" s="151"/>
      <c r="N140" s="86" t="s">
        <v>351</v>
      </c>
      <c r="O140" s="85"/>
      <c r="P140" s="85"/>
      <c r="Q140" s="151"/>
      <c r="R140" s="86" t="s">
        <v>351</v>
      </c>
      <c r="S140" s="85"/>
      <c r="T140" s="85"/>
      <c r="U140" s="151"/>
      <c r="V140" s="86" t="s">
        <v>351</v>
      </c>
      <c r="W140" s="85"/>
      <c r="X140" s="85"/>
      <c r="Y140" s="151"/>
      <c r="Z140" s="86" t="s">
        <v>351</v>
      </c>
      <c r="AA140" s="85"/>
      <c r="AB140" s="85"/>
      <c r="AC140" s="151"/>
      <c r="AD140" t="s">
        <v>351</v>
      </c>
      <c r="AE140" s="85"/>
      <c r="AF140" s="85"/>
      <c r="AG140" s="151" t="s">
        <v>596</v>
      </c>
    </row>
    <row r="141" spans="1:33" x14ac:dyDescent="0.25">
      <c r="A141" s="84" t="s">
        <v>197</v>
      </c>
      <c r="B141" s="84">
        <v>1588618045</v>
      </c>
      <c r="C141" s="85">
        <v>3</v>
      </c>
      <c r="D141" s="85">
        <v>2016</v>
      </c>
      <c r="E141" s="151">
        <v>40770</v>
      </c>
      <c r="F141" s="86" t="s">
        <v>351</v>
      </c>
      <c r="G141" s="85">
        <v>3</v>
      </c>
      <c r="H141" s="85">
        <v>2017</v>
      </c>
      <c r="I141" s="151">
        <v>101235</v>
      </c>
      <c r="J141" s="86" t="s">
        <v>351</v>
      </c>
      <c r="K141" s="85">
        <v>3</v>
      </c>
      <c r="L141" s="85">
        <v>2021</v>
      </c>
      <c r="M141" s="151">
        <v>28058</v>
      </c>
      <c r="N141" s="86" t="s">
        <v>351</v>
      </c>
      <c r="O141" s="85">
        <v>3</v>
      </c>
      <c r="P141" s="85">
        <v>2022</v>
      </c>
      <c r="Q141" s="151">
        <v>93328</v>
      </c>
      <c r="R141" s="86" t="s">
        <v>351</v>
      </c>
      <c r="S141" s="85">
        <v>3</v>
      </c>
      <c r="T141" s="85">
        <v>2023</v>
      </c>
      <c r="U141" s="151">
        <v>93328</v>
      </c>
      <c r="V141" s="86" t="s">
        <v>351</v>
      </c>
      <c r="W141" s="85"/>
      <c r="X141" s="85"/>
      <c r="Y141" s="151"/>
      <c r="Z141" s="86" t="s">
        <v>351</v>
      </c>
      <c r="AA141" s="85"/>
      <c r="AB141" s="85"/>
      <c r="AC141" s="151"/>
      <c r="AD141" t="s">
        <v>351</v>
      </c>
      <c r="AE141" s="85"/>
      <c r="AF141" s="85"/>
      <c r="AG141" s="151" t="s">
        <v>596</v>
      </c>
    </row>
    <row r="142" spans="1:33" x14ac:dyDescent="0.25">
      <c r="A142" s="84" t="s">
        <v>662</v>
      </c>
      <c r="B142" s="84">
        <v>1104946060</v>
      </c>
      <c r="C142" s="85">
        <v>3</v>
      </c>
      <c r="D142" s="85">
        <v>2018</v>
      </c>
      <c r="E142" s="151">
        <v>71218</v>
      </c>
      <c r="F142" s="86" t="s">
        <v>351</v>
      </c>
      <c r="G142" s="85">
        <v>3</v>
      </c>
      <c r="H142" s="85">
        <v>2021</v>
      </c>
      <c r="I142" s="151">
        <v>60836</v>
      </c>
      <c r="J142" s="86" t="s">
        <v>351</v>
      </c>
      <c r="K142" s="85"/>
      <c r="L142" s="85"/>
      <c r="M142" s="151"/>
      <c r="N142" s="86" t="s">
        <v>351</v>
      </c>
      <c r="O142" s="85"/>
      <c r="P142" s="85"/>
      <c r="Q142" s="151"/>
      <c r="R142" s="86" t="s">
        <v>351</v>
      </c>
      <c r="S142" s="85"/>
      <c r="T142" s="85"/>
      <c r="U142" s="151"/>
      <c r="V142" s="86" t="s">
        <v>351</v>
      </c>
      <c r="W142" s="85"/>
      <c r="X142" s="85"/>
      <c r="Y142" s="151"/>
      <c r="Z142" s="86" t="s">
        <v>351</v>
      </c>
      <c r="AA142" s="85"/>
      <c r="AB142" s="85"/>
      <c r="AC142" s="151"/>
      <c r="AD142" t="s">
        <v>351</v>
      </c>
      <c r="AE142" s="85"/>
      <c r="AF142" s="85"/>
      <c r="AG142" s="151"/>
    </row>
    <row r="143" spans="1:33" x14ac:dyDescent="0.25">
      <c r="A143" s="84" t="s">
        <v>577</v>
      </c>
      <c r="B143" s="84">
        <v>1962066480</v>
      </c>
      <c r="C143" s="85">
        <v>3</v>
      </c>
      <c r="D143" s="85">
        <v>2016</v>
      </c>
      <c r="E143" s="151">
        <v>229322</v>
      </c>
      <c r="F143" s="86" t="s">
        <v>351</v>
      </c>
      <c r="G143" s="85">
        <v>3</v>
      </c>
      <c r="H143" s="85">
        <v>2017</v>
      </c>
      <c r="I143" s="151">
        <v>349104.65</v>
      </c>
      <c r="J143" s="86" t="s">
        <v>351</v>
      </c>
      <c r="K143" s="85">
        <v>3</v>
      </c>
      <c r="L143" s="85">
        <v>2019</v>
      </c>
      <c r="M143" s="151">
        <v>69841</v>
      </c>
      <c r="N143" s="86" t="s">
        <v>351</v>
      </c>
      <c r="O143" s="85">
        <v>3</v>
      </c>
      <c r="P143" s="85">
        <v>2021</v>
      </c>
      <c r="Q143" s="151">
        <v>279068</v>
      </c>
      <c r="R143" s="86" t="s">
        <v>351</v>
      </c>
      <c r="S143" s="85">
        <v>3</v>
      </c>
      <c r="T143" s="85">
        <v>2022</v>
      </c>
      <c r="U143" s="151">
        <v>693760</v>
      </c>
      <c r="V143" s="86" t="s">
        <v>351</v>
      </c>
      <c r="W143" s="85">
        <v>3</v>
      </c>
      <c r="X143" s="85">
        <v>2023</v>
      </c>
      <c r="Y143" s="151">
        <v>580730</v>
      </c>
      <c r="Z143" s="86" t="s">
        <v>351</v>
      </c>
      <c r="AA143" s="85"/>
      <c r="AB143" s="85"/>
      <c r="AC143" s="151"/>
      <c r="AD143" t="s">
        <v>351</v>
      </c>
      <c r="AE143" s="85"/>
      <c r="AF143" s="85"/>
      <c r="AG143" s="151" t="s">
        <v>596</v>
      </c>
    </row>
    <row r="144" spans="1:33" x14ac:dyDescent="0.25">
      <c r="A144" s="87" t="s">
        <v>198</v>
      </c>
      <c r="B144" s="84">
        <v>1366487464</v>
      </c>
      <c r="C144" s="85">
        <v>3</v>
      </c>
      <c r="D144" s="85">
        <v>2019</v>
      </c>
      <c r="E144" s="151">
        <v>71465</v>
      </c>
      <c r="F144" s="86" t="s">
        <v>351</v>
      </c>
      <c r="G144" s="85">
        <v>3</v>
      </c>
      <c r="H144" s="85">
        <v>2020</v>
      </c>
      <c r="I144" s="151">
        <v>169988</v>
      </c>
      <c r="J144" s="86" t="s">
        <v>351</v>
      </c>
      <c r="K144" s="85">
        <v>3</v>
      </c>
      <c r="L144" s="85">
        <v>2022</v>
      </c>
      <c r="M144" s="151">
        <v>455836</v>
      </c>
      <c r="N144" s="86" t="s">
        <v>351</v>
      </c>
      <c r="O144" s="85">
        <v>3</v>
      </c>
      <c r="P144" s="85">
        <v>2023</v>
      </c>
      <c r="Q144" s="151">
        <v>95435</v>
      </c>
      <c r="R144" s="86" t="s">
        <v>351</v>
      </c>
      <c r="S144" s="85"/>
      <c r="T144" s="85"/>
      <c r="U144" s="151"/>
      <c r="V144" s="86" t="s">
        <v>351</v>
      </c>
      <c r="W144" s="85"/>
      <c r="X144" s="85"/>
      <c r="Y144" s="151"/>
      <c r="Z144" s="86" t="s">
        <v>351</v>
      </c>
      <c r="AA144" s="85"/>
      <c r="AB144" s="85"/>
      <c r="AC144" s="151"/>
      <c r="AD144" t="s">
        <v>351</v>
      </c>
      <c r="AE144" s="85"/>
      <c r="AF144" s="85"/>
      <c r="AG144" s="151"/>
    </row>
    <row r="145" spans="1:33" x14ac:dyDescent="0.25">
      <c r="A145" s="84" t="s">
        <v>424</v>
      </c>
      <c r="B145" s="84">
        <v>1407882830</v>
      </c>
      <c r="C145" s="85">
        <v>3</v>
      </c>
      <c r="D145" s="85">
        <v>2021</v>
      </c>
      <c r="E145" s="151">
        <v>43424</v>
      </c>
      <c r="F145" s="86" t="s">
        <v>351</v>
      </c>
      <c r="G145" s="85">
        <v>3</v>
      </c>
      <c r="H145" s="85">
        <v>2022</v>
      </c>
      <c r="I145" s="151">
        <v>69518</v>
      </c>
      <c r="J145" s="86" t="s">
        <v>351</v>
      </c>
      <c r="K145" s="85">
        <v>3</v>
      </c>
      <c r="L145" s="85">
        <v>2023</v>
      </c>
      <c r="M145" s="151">
        <v>100221</v>
      </c>
      <c r="N145" s="86" t="s">
        <v>351</v>
      </c>
      <c r="O145" s="85"/>
      <c r="P145" s="85"/>
      <c r="Q145" s="151"/>
      <c r="R145" s="86" t="s">
        <v>351</v>
      </c>
      <c r="S145" s="85"/>
      <c r="T145" s="85"/>
      <c r="U145" s="151"/>
      <c r="V145" s="86" t="s">
        <v>351</v>
      </c>
      <c r="W145" s="85"/>
      <c r="X145" s="85"/>
      <c r="Y145" s="151"/>
      <c r="Z145" s="86" t="s">
        <v>351</v>
      </c>
      <c r="AA145" s="85"/>
      <c r="AB145" s="85"/>
      <c r="AC145" s="151"/>
      <c r="AD145" t="s">
        <v>351</v>
      </c>
      <c r="AE145" s="85"/>
      <c r="AF145" s="85"/>
      <c r="AG145" s="151" t="s">
        <v>596</v>
      </c>
    </row>
    <row r="146" spans="1:33" x14ac:dyDescent="0.25">
      <c r="A146" s="84" t="s">
        <v>425</v>
      </c>
      <c r="B146" s="84">
        <v>1588642102</v>
      </c>
      <c r="C146" s="85">
        <v>3</v>
      </c>
      <c r="D146" s="85">
        <v>2018</v>
      </c>
      <c r="E146" s="151">
        <v>128020</v>
      </c>
      <c r="F146" s="86" t="s">
        <v>351</v>
      </c>
      <c r="G146" s="85">
        <v>3</v>
      </c>
      <c r="H146" s="85">
        <v>2021</v>
      </c>
      <c r="I146" s="151">
        <v>57335</v>
      </c>
      <c r="J146" s="86" t="s">
        <v>351</v>
      </c>
      <c r="K146" s="85">
        <v>3</v>
      </c>
      <c r="L146" s="85">
        <v>2023</v>
      </c>
      <c r="M146" s="151">
        <v>81806</v>
      </c>
      <c r="N146" s="86" t="s">
        <v>351</v>
      </c>
      <c r="O146" s="85"/>
      <c r="P146" s="85"/>
      <c r="Q146" s="151"/>
      <c r="R146" s="86" t="s">
        <v>351</v>
      </c>
      <c r="S146" s="85"/>
      <c r="T146" s="85"/>
      <c r="U146" s="151"/>
      <c r="V146" s="86" t="s">
        <v>351</v>
      </c>
      <c r="W146" s="85"/>
      <c r="X146" s="85"/>
      <c r="Y146" s="151"/>
      <c r="Z146" s="86" t="s">
        <v>351</v>
      </c>
      <c r="AA146" s="85"/>
      <c r="AB146" s="85"/>
      <c r="AC146" s="151"/>
      <c r="AD146" t="s">
        <v>351</v>
      </c>
      <c r="AE146" s="85"/>
      <c r="AF146" s="85"/>
      <c r="AG146" s="151" t="s">
        <v>596</v>
      </c>
    </row>
    <row r="147" spans="1:33" x14ac:dyDescent="0.25">
      <c r="A147" s="87" t="s">
        <v>199</v>
      </c>
      <c r="B147" s="84">
        <v>1063458958</v>
      </c>
      <c r="C147" s="85">
        <v>3</v>
      </c>
      <c r="D147" s="85">
        <v>2022</v>
      </c>
      <c r="E147" s="151">
        <v>104726</v>
      </c>
      <c r="F147" s="91" t="s">
        <v>351</v>
      </c>
      <c r="G147" s="85">
        <v>3</v>
      </c>
      <c r="H147" s="85">
        <v>2023</v>
      </c>
      <c r="I147" s="151">
        <v>71496</v>
      </c>
      <c r="J147" s="91" t="s">
        <v>351</v>
      </c>
      <c r="K147" s="85"/>
      <c r="L147" s="85"/>
      <c r="M147" s="151"/>
      <c r="N147" s="91" t="s">
        <v>351</v>
      </c>
      <c r="O147" s="85"/>
      <c r="P147" s="85"/>
      <c r="Q147" s="151"/>
      <c r="R147" s="91" t="s">
        <v>351</v>
      </c>
      <c r="S147" s="85"/>
      <c r="T147" s="85"/>
      <c r="U147" s="151"/>
      <c r="V147" s="86" t="s">
        <v>351</v>
      </c>
      <c r="W147" s="85"/>
      <c r="X147" s="85"/>
      <c r="Y147" s="151"/>
      <c r="Z147" s="86" t="s">
        <v>351</v>
      </c>
      <c r="AA147" s="85"/>
      <c r="AB147" s="85"/>
      <c r="AC147" s="151"/>
      <c r="AD147" t="s">
        <v>351</v>
      </c>
      <c r="AE147" s="85"/>
      <c r="AF147" s="85"/>
      <c r="AG147" s="151" t="s">
        <v>596</v>
      </c>
    </row>
    <row r="148" spans="1:33" x14ac:dyDescent="0.25">
      <c r="A148" s="84" t="s">
        <v>426</v>
      </c>
      <c r="B148" s="84">
        <v>1619908977</v>
      </c>
      <c r="C148" s="85">
        <v>3</v>
      </c>
      <c r="D148" s="85">
        <v>2017</v>
      </c>
      <c r="E148" s="151">
        <v>60454</v>
      </c>
      <c r="F148" s="86" t="s">
        <v>351</v>
      </c>
      <c r="G148" s="85">
        <v>3</v>
      </c>
      <c r="H148" s="85">
        <v>2022</v>
      </c>
      <c r="I148" s="151">
        <v>147249</v>
      </c>
      <c r="J148" s="86" t="s">
        <v>351</v>
      </c>
      <c r="K148" s="85"/>
      <c r="L148" s="85"/>
      <c r="M148" s="151"/>
      <c r="N148" s="86" t="s">
        <v>351</v>
      </c>
      <c r="O148" s="85"/>
      <c r="P148" s="85"/>
      <c r="Q148" s="151"/>
      <c r="R148" s="86" t="s">
        <v>351</v>
      </c>
      <c r="S148" s="85"/>
      <c r="T148" s="85"/>
      <c r="U148" s="151"/>
      <c r="V148" s="86" t="s">
        <v>351</v>
      </c>
      <c r="W148" s="85"/>
      <c r="X148" s="85"/>
      <c r="Y148" s="151"/>
      <c r="Z148" s="86" t="s">
        <v>351</v>
      </c>
      <c r="AA148" s="85"/>
      <c r="AB148" s="85"/>
      <c r="AC148" s="151"/>
      <c r="AD148" t="s">
        <v>351</v>
      </c>
      <c r="AE148" s="85"/>
      <c r="AF148" s="85"/>
      <c r="AG148" s="151"/>
    </row>
    <row r="149" spans="1:33" x14ac:dyDescent="0.25">
      <c r="A149" s="87" t="s">
        <v>427</v>
      </c>
      <c r="B149" s="84">
        <v>1538808340</v>
      </c>
      <c r="C149" s="85">
        <v>3</v>
      </c>
      <c r="D149" s="85">
        <v>2020</v>
      </c>
      <c r="E149" s="151">
        <v>95499</v>
      </c>
      <c r="F149" s="86" t="s">
        <v>351</v>
      </c>
      <c r="G149" s="85"/>
      <c r="H149" s="85"/>
      <c r="I149" s="151"/>
      <c r="J149" s="86" t="s">
        <v>351</v>
      </c>
      <c r="K149" s="85"/>
      <c r="L149" s="85"/>
      <c r="M149" s="151"/>
      <c r="N149" s="86" t="s">
        <v>351</v>
      </c>
      <c r="O149" s="85"/>
      <c r="P149" s="85"/>
      <c r="Q149" s="151"/>
      <c r="R149" s="86" t="s">
        <v>351</v>
      </c>
      <c r="S149" s="85"/>
      <c r="T149" s="85"/>
      <c r="U149" s="151"/>
      <c r="V149" s="86" t="s">
        <v>351</v>
      </c>
      <c r="W149" s="85"/>
      <c r="X149" s="85"/>
      <c r="Y149" s="151"/>
      <c r="Z149" s="86" t="s">
        <v>351</v>
      </c>
      <c r="AA149" s="85"/>
      <c r="AB149" s="85"/>
      <c r="AC149" s="151"/>
      <c r="AD149" t="s">
        <v>351</v>
      </c>
      <c r="AE149" s="85"/>
      <c r="AF149" s="85"/>
      <c r="AG149" s="151"/>
    </row>
    <row r="150" spans="1:33" x14ac:dyDescent="0.25">
      <c r="A150" s="84" t="s">
        <v>578</v>
      </c>
      <c r="B150" s="84">
        <v>1033784970</v>
      </c>
      <c r="C150" s="85">
        <v>3</v>
      </c>
      <c r="D150" s="85">
        <v>2016</v>
      </c>
      <c r="E150" s="151">
        <v>358183</v>
      </c>
      <c r="F150" s="86" t="s">
        <v>351</v>
      </c>
      <c r="G150" s="85">
        <v>3</v>
      </c>
      <c r="H150" s="85">
        <v>2017</v>
      </c>
      <c r="I150" s="151">
        <v>186325.56</v>
      </c>
      <c r="J150" s="86" t="s">
        <v>351</v>
      </c>
      <c r="K150" s="85">
        <v>3</v>
      </c>
      <c r="L150" s="85">
        <v>2021</v>
      </c>
      <c r="M150" s="151">
        <v>57968</v>
      </c>
      <c r="N150" s="86" t="s">
        <v>351</v>
      </c>
      <c r="O150" s="85">
        <v>3</v>
      </c>
      <c r="P150" s="85">
        <v>2023</v>
      </c>
      <c r="Q150" s="151">
        <v>237930</v>
      </c>
      <c r="R150" s="86" t="s">
        <v>351</v>
      </c>
      <c r="S150" s="85"/>
      <c r="T150" s="85"/>
      <c r="U150" s="151"/>
      <c r="V150" s="86" t="s">
        <v>351</v>
      </c>
      <c r="W150" s="85"/>
      <c r="X150" s="85"/>
      <c r="Y150" s="151"/>
      <c r="Z150" s="86" t="s">
        <v>351</v>
      </c>
      <c r="AA150" s="85"/>
      <c r="AB150" s="85"/>
      <c r="AC150" s="151"/>
      <c r="AD150" t="s">
        <v>351</v>
      </c>
      <c r="AE150" s="85"/>
      <c r="AF150" s="85"/>
      <c r="AG150" s="151" t="s">
        <v>596</v>
      </c>
    </row>
    <row r="151" spans="1:33" x14ac:dyDescent="0.25">
      <c r="A151" s="84" t="s">
        <v>200</v>
      </c>
      <c r="B151" s="84">
        <v>1437609732</v>
      </c>
      <c r="C151" s="85">
        <v>3</v>
      </c>
      <c r="D151" s="85">
        <v>2016</v>
      </c>
      <c r="E151" s="151">
        <v>107858</v>
      </c>
      <c r="F151" s="86" t="s">
        <v>351</v>
      </c>
      <c r="G151" s="85">
        <v>3</v>
      </c>
      <c r="H151" s="85">
        <v>2017</v>
      </c>
      <c r="I151" s="151">
        <v>55965</v>
      </c>
      <c r="J151" s="86" t="s">
        <v>351</v>
      </c>
      <c r="K151" s="85">
        <v>3</v>
      </c>
      <c r="L151" s="85">
        <v>2018</v>
      </c>
      <c r="M151" s="151">
        <v>193310</v>
      </c>
      <c r="N151" s="86" t="s">
        <v>351</v>
      </c>
      <c r="O151" s="85">
        <v>3</v>
      </c>
      <c r="P151" s="85">
        <v>2019</v>
      </c>
      <c r="Q151" s="151">
        <v>172761</v>
      </c>
      <c r="R151" s="86" t="s">
        <v>351</v>
      </c>
      <c r="S151" s="85">
        <v>3</v>
      </c>
      <c r="T151" s="85">
        <v>2020</v>
      </c>
      <c r="U151" s="151">
        <v>89187</v>
      </c>
      <c r="V151" s="86" t="s">
        <v>351</v>
      </c>
      <c r="W151" s="85">
        <v>3</v>
      </c>
      <c r="X151" s="85">
        <v>2021</v>
      </c>
      <c r="Y151" s="151">
        <v>59285</v>
      </c>
      <c r="Z151" s="86" t="s">
        <v>351</v>
      </c>
      <c r="AA151" s="85">
        <v>3</v>
      </c>
      <c r="AB151" s="85">
        <v>2023</v>
      </c>
      <c r="AC151" s="151">
        <v>67065</v>
      </c>
      <c r="AD151" t="s">
        <v>351</v>
      </c>
      <c r="AE151" s="85"/>
      <c r="AF151" s="85"/>
      <c r="AG151" s="151" t="s">
        <v>596</v>
      </c>
    </row>
    <row r="152" spans="1:33" x14ac:dyDescent="0.25">
      <c r="A152" s="84" t="s">
        <v>428</v>
      </c>
      <c r="B152" s="84">
        <v>1649590498</v>
      </c>
      <c r="C152" s="85">
        <v>3</v>
      </c>
      <c r="D152" s="85">
        <v>2017</v>
      </c>
      <c r="E152" s="151">
        <v>85510.64</v>
      </c>
      <c r="F152" s="86" t="s">
        <v>351</v>
      </c>
      <c r="G152" s="85">
        <v>3</v>
      </c>
      <c r="H152" s="85">
        <v>2021</v>
      </c>
      <c r="I152" s="151">
        <v>80179</v>
      </c>
      <c r="J152" s="86" t="s">
        <v>351</v>
      </c>
      <c r="K152" s="85"/>
      <c r="L152" s="85"/>
      <c r="M152" s="151"/>
      <c r="N152" s="86" t="s">
        <v>351</v>
      </c>
      <c r="O152" s="85"/>
      <c r="P152" s="85"/>
      <c r="Q152" s="151"/>
      <c r="R152" s="86" t="s">
        <v>351</v>
      </c>
      <c r="S152" s="85"/>
      <c r="T152" s="85"/>
      <c r="U152" s="151"/>
      <c r="V152" s="86" t="s">
        <v>351</v>
      </c>
      <c r="W152" s="85"/>
      <c r="X152" s="85"/>
      <c r="Y152" s="151"/>
      <c r="Z152" s="86" t="s">
        <v>351</v>
      </c>
      <c r="AA152" s="85"/>
      <c r="AB152" s="85"/>
      <c r="AC152" s="151"/>
      <c r="AD152" t="s">
        <v>351</v>
      </c>
      <c r="AE152" s="85"/>
      <c r="AF152" s="85"/>
      <c r="AG152" s="151"/>
    </row>
    <row r="153" spans="1:33" x14ac:dyDescent="0.25">
      <c r="A153" s="84" t="s">
        <v>429</v>
      </c>
      <c r="B153" s="84">
        <v>1932145836</v>
      </c>
      <c r="C153" s="85">
        <v>3</v>
      </c>
      <c r="D153" s="85">
        <v>2016</v>
      </c>
      <c r="E153" s="151">
        <v>140874</v>
      </c>
      <c r="F153" s="86" t="s">
        <v>351</v>
      </c>
      <c r="G153" s="85">
        <v>3</v>
      </c>
      <c r="H153" s="85">
        <v>2017</v>
      </c>
      <c r="I153" s="151">
        <v>159763</v>
      </c>
      <c r="J153" s="86" t="s">
        <v>351</v>
      </c>
      <c r="K153" s="85"/>
      <c r="L153" s="85"/>
      <c r="M153" s="151"/>
      <c r="N153" s="86" t="s">
        <v>351</v>
      </c>
      <c r="O153" s="85"/>
      <c r="P153" s="85"/>
      <c r="Q153" s="151"/>
      <c r="R153" s="86" t="s">
        <v>351</v>
      </c>
      <c r="S153" s="85"/>
      <c r="T153" s="85"/>
      <c r="U153" s="151"/>
      <c r="V153" s="86" t="s">
        <v>351</v>
      </c>
      <c r="W153" s="85"/>
      <c r="X153" s="85"/>
      <c r="Y153" s="151"/>
      <c r="Z153" s="86" t="s">
        <v>351</v>
      </c>
      <c r="AA153" s="85"/>
      <c r="AB153" s="85"/>
      <c r="AC153" s="151"/>
      <c r="AD153" t="s">
        <v>351</v>
      </c>
      <c r="AE153" s="85"/>
      <c r="AF153" s="85"/>
      <c r="AG153" s="151"/>
    </row>
    <row r="154" spans="1:33" x14ac:dyDescent="0.25">
      <c r="A154" s="84" t="s">
        <v>430</v>
      </c>
      <c r="B154" s="84">
        <v>1285665539</v>
      </c>
      <c r="C154" s="85">
        <v>3</v>
      </c>
      <c r="D154" s="85">
        <v>2019</v>
      </c>
      <c r="E154" s="151">
        <v>296160</v>
      </c>
      <c r="F154" s="86" t="s">
        <v>351</v>
      </c>
      <c r="G154" s="85">
        <v>3</v>
      </c>
      <c r="H154" s="85">
        <v>2021</v>
      </c>
      <c r="I154" s="151">
        <v>127381</v>
      </c>
      <c r="J154" s="86" t="s">
        <v>351</v>
      </c>
      <c r="K154" s="85">
        <v>3</v>
      </c>
      <c r="L154" s="85">
        <v>2022</v>
      </c>
      <c r="M154" s="151">
        <v>172161</v>
      </c>
      <c r="N154" s="86" t="s">
        <v>351</v>
      </c>
      <c r="O154" s="85">
        <v>3</v>
      </c>
      <c r="P154" s="85">
        <v>2023</v>
      </c>
      <c r="Q154" s="151">
        <v>124310</v>
      </c>
      <c r="R154" s="86" t="s">
        <v>351</v>
      </c>
      <c r="S154" s="85"/>
      <c r="T154" s="85"/>
      <c r="U154" s="151"/>
      <c r="V154" s="86" t="s">
        <v>351</v>
      </c>
      <c r="W154" s="85"/>
      <c r="X154" s="85"/>
      <c r="Y154" s="151"/>
      <c r="Z154" s="86" t="s">
        <v>351</v>
      </c>
      <c r="AA154" s="85"/>
      <c r="AB154" s="85"/>
      <c r="AC154" s="151"/>
      <c r="AD154" t="s">
        <v>351</v>
      </c>
      <c r="AE154" s="85"/>
      <c r="AF154" s="85"/>
      <c r="AG154" s="151" t="s">
        <v>596</v>
      </c>
    </row>
    <row r="155" spans="1:33" x14ac:dyDescent="0.25">
      <c r="A155" s="87" t="s">
        <v>431</v>
      </c>
      <c r="B155" s="84">
        <v>1104800069</v>
      </c>
      <c r="C155" s="85">
        <v>3</v>
      </c>
      <c r="D155" s="85">
        <v>2016</v>
      </c>
      <c r="E155" s="151">
        <v>300261</v>
      </c>
      <c r="F155" s="86" t="s">
        <v>351</v>
      </c>
      <c r="G155" s="85">
        <v>3</v>
      </c>
      <c r="H155" s="85">
        <v>2017</v>
      </c>
      <c r="I155" s="151">
        <v>107052</v>
      </c>
      <c r="J155" s="86" t="s">
        <v>351</v>
      </c>
      <c r="K155" s="85">
        <v>3</v>
      </c>
      <c r="L155" s="85">
        <v>2022</v>
      </c>
      <c r="M155" s="151">
        <v>179593</v>
      </c>
      <c r="N155" s="86" t="s">
        <v>351</v>
      </c>
      <c r="O155" s="85"/>
      <c r="P155" s="85"/>
      <c r="Q155" s="151"/>
      <c r="R155" s="86" t="s">
        <v>351</v>
      </c>
      <c r="S155" s="85"/>
      <c r="T155" s="85"/>
      <c r="U155" s="151"/>
      <c r="V155" s="86" t="s">
        <v>351</v>
      </c>
      <c r="W155" s="85"/>
      <c r="X155" s="85"/>
      <c r="Y155" s="151"/>
      <c r="Z155" s="86" t="s">
        <v>351</v>
      </c>
      <c r="AA155" s="85"/>
      <c r="AB155" s="85"/>
      <c r="AC155" s="151"/>
      <c r="AD155" t="s">
        <v>351</v>
      </c>
      <c r="AE155" s="85"/>
      <c r="AF155" s="85"/>
      <c r="AG155" s="151"/>
    </row>
    <row r="156" spans="1:33" x14ac:dyDescent="0.25">
      <c r="A156" s="84" t="s">
        <v>201</v>
      </c>
      <c r="B156" s="84">
        <v>1912027871</v>
      </c>
      <c r="C156" s="85">
        <v>3</v>
      </c>
      <c r="D156" s="85">
        <v>2017</v>
      </c>
      <c r="E156" s="151">
        <v>60800</v>
      </c>
      <c r="F156" s="86" t="s">
        <v>351</v>
      </c>
      <c r="G156" s="85">
        <v>3</v>
      </c>
      <c r="H156" s="85">
        <v>2019</v>
      </c>
      <c r="I156" s="151">
        <v>65782</v>
      </c>
      <c r="J156" s="86" t="s">
        <v>351</v>
      </c>
      <c r="K156" s="85">
        <v>3</v>
      </c>
      <c r="L156" s="85">
        <v>2021</v>
      </c>
      <c r="M156" s="151">
        <v>70750</v>
      </c>
      <c r="N156" s="86" t="s">
        <v>351</v>
      </c>
      <c r="O156" s="85">
        <v>3</v>
      </c>
      <c r="P156" s="85">
        <v>2022</v>
      </c>
      <c r="Q156" s="151">
        <v>803834</v>
      </c>
      <c r="R156" s="86" t="s">
        <v>351</v>
      </c>
      <c r="S156" s="85"/>
      <c r="T156" s="85"/>
      <c r="U156" s="151"/>
      <c r="V156" s="86" t="s">
        <v>351</v>
      </c>
      <c r="W156" s="85"/>
      <c r="X156" s="85"/>
      <c r="Y156" s="151"/>
      <c r="Z156" s="86" t="s">
        <v>351</v>
      </c>
      <c r="AA156" s="85"/>
      <c r="AB156" s="85"/>
      <c r="AC156" s="151"/>
      <c r="AD156" t="s">
        <v>351</v>
      </c>
      <c r="AE156" s="85"/>
      <c r="AF156" s="85"/>
      <c r="AG156" s="151" t="s">
        <v>596</v>
      </c>
    </row>
    <row r="157" spans="1:33" x14ac:dyDescent="0.25">
      <c r="A157" s="84" t="s">
        <v>707</v>
      </c>
      <c r="B157" s="84">
        <v>1326143504</v>
      </c>
      <c r="C157" s="85">
        <v>3</v>
      </c>
      <c r="D157" s="85">
        <v>2016</v>
      </c>
      <c r="E157" s="151">
        <v>105755</v>
      </c>
      <c r="F157" s="86" t="s">
        <v>351</v>
      </c>
      <c r="G157" s="85">
        <v>3</v>
      </c>
      <c r="H157" s="85">
        <v>2017</v>
      </c>
      <c r="I157" s="151">
        <v>261888.12</v>
      </c>
      <c r="J157" s="86" t="s">
        <v>351</v>
      </c>
      <c r="K157" s="85">
        <v>3</v>
      </c>
      <c r="L157" s="85">
        <v>2020</v>
      </c>
      <c r="M157" s="151">
        <v>60780</v>
      </c>
      <c r="N157" s="86" t="s">
        <v>351</v>
      </c>
      <c r="O157" s="85"/>
      <c r="P157" s="85"/>
      <c r="Q157" s="151"/>
      <c r="R157" s="86" t="s">
        <v>351</v>
      </c>
      <c r="S157" s="85"/>
      <c r="T157" s="85"/>
      <c r="U157" s="151"/>
      <c r="V157" s="86" t="s">
        <v>351</v>
      </c>
      <c r="W157" s="85"/>
      <c r="X157" s="85"/>
      <c r="Y157" s="151"/>
      <c r="Z157" s="86" t="s">
        <v>351</v>
      </c>
      <c r="AA157" s="85"/>
      <c r="AB157" s="85"/>
      <c r="AC157" s="151"/>
      <c r="AD157" t="s">
        <v>351</v>
      </c>
      <c r="AE157" s="85"/>
      <c r="AF157" s="85"/>
      <c r="AG157" s="151"/>
    </row>
    <row r="158" spans="1:33" x14ac:dyDescent="0.25">
      <c r="A158" s="84" t="s">
        <v>202</v>
      </c>
      <c r="B158" s="84">
        <v>1578715504</v>
      </c>
      <c r="C158" s="85">
        <v>3</v>
      </c>
      <c r="D158" s="85">
        <v>2017</v>
      </c>
      <c r="E158" s="151">
        <v>190043</v>
      </c>
      <c r="F158" s="86" t="s">
        <v>351</v>
      </c>
      <c r="G158" s="85">
        <v>3</v>
      </c>
      <c r="H158" s="85">
        <v>2021</v>
      </c>
      <c r="I158" s="151">
        <v>67038</v>
      </c>
      <c r="J158" s="86" t="s">
        <v>351</v>
      </c>
      <c r="K158" s="85">
        <v>3</v>
      </c>
      <c r="L158" s="85">
        <v>2022</v>
      </c>
      <c r="M158" s="151">
        <v>60970</v>
      </c>
      <c r="N158" s="86" t="s">
        <v>351</v>
      </c>
      <c r="O158" s="85">
        <v>3</v>
      </c>
      <c r="P158" s="85">
        <v>2023</v>
      </c>
      <c r="Q158" s="151">
        <v>183091</v>
      </c>
      <c r="R158" s="86" t="s">
        <v>351</v>
      </c>
      <c r="S158" s="85"/>
      <c r="T158" s="85"/>
      <c r="U158" s="151"/>
      <c r="V158" s="86" t="s">
        <v>351</v>
      </c>
      <c r="W158" s="85"/>
      <c r="X158" s="85"/>
      <c r="Y158" s="151"/>
      <c r="Z158" s="86" t="s">
        <v>351</v>
      </c>
      <c r="AA158" s="85"/>
      <c r="AB158" s="85"/>
      <c r="AC158" s="151"/>
      <c r="AD158" t="s">
        <v>351</v>
      </c>
      <c r="AE158" s="85"/>
      <c r="AF158" s="85"/>
      <c r="AG158" s="151" t="s">
        <v>596</v>
      </c>
    </row>
    <row r="159" spans="1:33" x14ac:dyDescent="0.25">
      <c r="A159" s="84" t="s">
        <v>432</v>
      </c>
      <c r="B159" s="84">
        <v>1861513715</v>
      </c>
      <c r="C159" s="85">
        <v>3</v>
      </c>
      <c r="D159" s="85">
        <v>2016</v>
      </c>
      <c r="E159" s="151">
        <v>199529</v>
      </c>
      <c r="F159" s="86" t="s">
        <v>351</v>
      </c>
      <c r="G159" s="85">
        <v>3</v>
      </c>
      <c r="H159" s="85">
        <v>2017</v>
      </c>
      <c r="I159" s="151">
        <v>138001</v>
      </c>
      <c r="J159" s="86" t="s">
        <v>351</v>
      </c>
      <c r="K159" s="85">
        <v>3</v>
      </c>
      <c r="L159" s="85">
        <v>2018</v>
      </c>
      <c r="M159" s="151">
        <v>501222</v>
      </c>
      <c r="N159" s="86" t="s">
        <v>351</v>
      </c>
      <c r="O159" s="85">
        <v>3</v>
      </c>
      <c r="P159" s="85">
        <v>2019</v>
      </c>
      <c r="Q159" s="151">
        <v>120618</v>
      </c>
      <c r="R159" s="86" t="s">
        <v>351</v>
      </c>
      <c r="S159" s="85">
        <v>3</v>
      </c>
      <c r="T159" s="85">
        <v>2021</v>
      </c>
      <c r="U159" s="151">
        <v>357305</v>
      </c>
      <c r="V159" s="86" t="s">
        <v>351</v>
      </c>
      <c r="W159" s="85">
        <v>3</v>
      </c>
      <c r="X159" s="85">
        <v>2022</v>
      </c>
      <c r="Y159" s="151">
        <v>263500</v>
      </c>
      <c r="Z159" s="86" t="s">
        <v>351</v>
      </c>
      <c r="AA159" s="85">
        <v>3</v>
      </c>
      <c r="AB159" s="85">
        <v>2023</v>
      </c>
      <c r="AC159" s="151">
        <v>86384</v>
      </c>
      <c r="AD159" t="s">
        <v>351</v>
      </c>
      <c r="AE159" s="85"/>
      <c r="AF159" s="85"/>
      <c r="AG159" s="151" t="s">
        <v>596</v>
      </c>
    </row>
    <row r="160" spans="1:33" x14ac:dyDescent="0.25">
      <c r="A160" s="84" t="s">
        <v>579</v>
      </c>
      <c r="B160" s="84">
        <v>1376926519</v>
      </c>
      <c r="C160" s="85">
        <v>3</v>
      </c>
      <c r="D160" s="85">
        <v>2016</v>
      </c>
      <c r="E160" s="151">
        <v>62568</v>
      </c>
      <c r="F160" s="86" t="s">
        <v>351</v>
      </c>
      <c r="G160" s="85">
        <v>3</v>
      </c>
      <c r="H160" s="85">
        <v>2019</v>
      </c>
      <c r="I160" s="151">
        <v>45941</v>
      </c>
      <c r="J160" s="86" t="s">
        <v>351</v>
      </c>
      <c r="K160" s="85">
        <v>3</v>
      </c>
      <c r="L160" s="85">
        <v>2020</v>
      </c>
      <c r="M160" s="151">
        <v>74488</v>
      </c>
      <c r="N160" s="86" t="s">
        <v>351</v>
      </c>
      <c r="O160" s="85">
        <v>3</v>
      </c>
      <c r="P160" s="85">
        <v>2021</v>
      </c>
      <c r="Q160" s="151">
        <v>491398</v>
      </c>
      <c r="R160" s="86" t="s">
        <v>351</v>
      </c>
      <c r="S160" s="85">
        <v>3</v>
      </c>
      <c r="T160" s="85">
        <v>2023</v>
      </c>
      <c r="U160" s="151">
        <v>346696</v>
      </c>
      <c r="V160" s="86" t="s">
        <v>351</v>
      </c>
      <c r="W160" s="85"/>
      <c r="X160" s="85"/>
      <c r="Y160" s="151"/>
      <c r="Z160" s="86" t="s">
        <v>351</v>
      </c>
      <c r="AA160" s="85"/>
      <c r="AB160" s="85"/>
      <c r="AC160" s="151"/>
      <c r="AD160" t="s">
        <v>351</v>
      </c>
      <c r="AE160" s="85"/>
      <c r="AF160" s="85"/>
      <c r="AG160" s="151" t="s">
        <v>596</v>
      </c>
    </row>
    <row r="161" spans="1:33" x14ac:dyDescent="0.25">
      <c r="A161" s="87" t="s">
        <v>433</v>
      </c>
      <c r="B161" s="84">
        <v>1174149934</v>
      </c>
      <c r="C161" s="85">
        <v>3</v>
      </c>
      <c r="D161" s="85">
        <v>2016</v>
      </c>
      <c r="E161" s="151">
        <v>763045</v>
      </c>
      <c r="F161" s="86" t="s">
        <v>351</v>
      </c>
      <c r="G161" s="85">
        <v>3</v>
      </c>
      <c r="H161" s="85">
        <v>2017</v>
      </c>
      <c r="I161" s="151">
        <v>281250</v>
      </c>
      <c r="J161" s="86" t="s">
        <v>351</v>
      </c>
      <c r="K161" s="85">
        <v>3</v>
      </c>
      <c r="L161" s="85">
        <v>2018</v>
      </c>
      <c r="M161" s="151">
        <v>77016</v>
      </c>
      <c r="N161" s="86" t="s">
        <v>351</v>
      </c>
      <c r="O161" s="85">
        <v>3</v>
      </c>
      <c r="P161" s="85">
        <v>2020</v>
      </c>
      <c r="Q161" s="151">
        <v>143517</v>
      </c>
      <c r="R161" s="86" t="s">
        <v>351</v>
      </c>
      <c r="S161" s="85">
        <v>3</v>
      </c>
      <c r="T161" s="85">
        <v>2022</v>
      </c>
      <c r="U161" s="151">
        <v>819244</v>
      </c>
      <c r="V161" s="86" t="s">
        <v>351</v>
      </c>
      <c r="W161" s="85">
        <v>3</v>
      </c>
      <c r="X161" s="85">
        <v>2023</v>
      </c>
      <c r="Y161" s="151">
        <v>400159</v>
      </c>
      <c r="Z161" s="86" t="s">
        <v>351</v>
      </c>
      <c r="AA161" s="85"/>
      <c r="AB161" s="85"/>
      <c r="AC161" s="151"/>
      <c r="AD161" t="s">
        <v>351</v>
      </c>
      <c r="AE161" s="85"/>
      <c r="AF161" s="85"/>
      <c r="AG161" s="151" t="s">
        <v>596</v>
      </c>
    </row>
    <row r="162" spans="1:33" x14ac:dyDescent="0.25">
      <c r="A162" s="84" t="s">
        <v>434</v>
      </c>
      <c r="B162" s="84">
        <v>1699886085</v>
      </c>
      <c r="C162" s="85">
        <v>3</v>
      </c>
      <c r="D162" s="85">
        <v>2019</v>
      </c>
      <c r="E162" s="151">
        <v>126899</v>
      </c>
      <c r="F162" s="86" t="s">
        <v>351</v>
      </c>
      <c r="G162" s="85">
        <v>3</v>
      </c>
      <c r="H162" s="85">
        <v>2021</v>
      </c>
      <c r="I162" s="151">
        <v>112320</v>
      </c>
      <c r="J162" s="86" t="s">
        <v>351</v>
      </c>
      <c r="K162" s="85">
        <v>3</v>
      </c>
      <c r="L162" s="85">
        <v>2023</v>
      </c>
      <c r="M162" s="151">
        <v>1179675</v>
      </c>
      <c r="N162" s="86" t="s">
        <v>351</v>
      </c>
      <c r="O162" s="85"/>
      <c r="P162" s="85"/>
      <c r="Q162" s="151"/>
      <c r="R162" s="86" t="s">
        <v>351</v>
      </c>
      <c r="S162" s="85"/>
      <c r="T162" s="85"/>
      <c r="U162" s="151"/>
      <c r="V162" s="86" t="s">
        <v>351</v>
      </c>
      <c r="W162" s="85"/>
      <c r="X162" s="85"/>
      <c r="Y162" s="151"/>
      <c r="Z162" s="86" t="s">
        <v>351</v>
      </c>
      <c r="AA162" s="85"/>
      <c r="AB162" s="85"/>
      <c r="AC162" s="151"/>
      <c r="AD162" t="s">
        <v>351</v>
      </c>
      <c r="AE162" s="85"/>
      <c r="AF162" s="85"/>
      <c r="AG162" s="151" t="s">
        <v>596</v>
      </c>
    </row>
    <row r="163" spans="1:33" x14ac:dyDescent="0.25">
      <c r="A163" s="84" t="s">
        <v>203</v>
      </c>
      <c r="B163" s="84">
        <v>1336142470</v>
      </c>
      <c r="C163" s="85"/>
      <c r="D163" s="85"/>
      <c r="E163" s="151"/>
      <c r="F163" s="86" t="s">
        <v>351</v>
      </c>
      <c r="G163" s="85"/>
      <c r="H163" s="85"/>
      <c r="I163" s="151"/>
      <c r="J163" s="86" t="s">
        <v>351</v>
      </c>
      <c r="K163" s="85"/>
      <c r="L163" s="85"/>
      <c r="M163" s="151"/>
      <c r="N163" s="86" t="s">
        <v>351</v>
      </c>
      <c r="O163" s="85"/>
      <c r="P163" s="85"/>
      <c r="Q163" s="151"/>
      <c r="R163" s="86" t="s">
        <v>351</v>
      </c>
      <c r="S163" s="85"/>
      <c r="T163" s="85"/>
      <c r="U163" s="151"/>
      <c r="V163" s="86" t="s">
        <v>351</v>
      </c>
      <c r="W163" s="85"/>
      <c r="X163" s="85"/>
      <c r="Y163" s="151"/>
      <c r="Z163" s="86" t="s">
        <v>351</v>
      </c>
      <c r="AA163" s="85"/>
      <c r="AB163" s="85"/>
      <c r="AC163" s="151"/>
      <c r="AD163" t="s">
        <v>351</v>
      </c>
      <c r="AE163" s="85"/>
      <c r="AF163" s="85"/>
      <c r="AG163" s="151"/>
    </row>
    <row r="164" spans="1:33" x14ac:dyDescent="0.25">
      <c r="A164" s="87" t="s">
        <v>591</v>
      </c>
      <c r="B164" s="84">
        <v>1639556806</v>
      </c>
      <c r="C164" s="85">
        <v>3</v>
      </c>
      <c r="D164" s="85">
        <v>2017</v>
      </c>
      <c r="E164" s="151">
        <v>238203</v>
      </c>
      <c r="F164" s="86" t="s">
        <v>351</v>
      </c>
      <c r="G164" s="85"/>
      <c r="H164" s="85"/>
      <c r="I164" s="151"/>
      <c r="J164" s="86" t="s">
        <v>351</v>
      </c>
      <c r="K164" s="85"/>
      <c r="L164" s="85"/>
      <c r="M164" s="151"/>
      <c r="N164" s="86" t="s">
        <v>351</v>
      </c>
      <c r="O164" s="85"/>
      <c r="P164" s="85"/>
      <c r="Q164" s="151"/>
      <c r="R164" s="86" t="s">
        <v>351</v>
      </c>
      <c r="S164" s="85"/>
      <c r="T164" s="85"/>
      <c r="U164" s="151"/>
      <c r="V164" s="86" t="s">
        <v>351</v>
      </c>
      <c r="W164" s="85"/>
      <c r="X164" s="85"/>
      <c r="Y164" s="151"/>
      <c r="Z164" s="86" t="s">
        <v>351</v>
      </c>
      <c r="AA164" s="85"/>
      <c r="AB164" s="85"/>
      <c r="AC164" s="151"/>
      <c r="AD164" t="s">
        <v>351</v>
      </c>
      <c r="AE164" s="85"/>
      <c r="AF164" s="85"/>
      <c r="AG164" s="151"/>
    </row>
    <row r="165" spans="1:33" x14ac:dyDescent="0.25">
      <c r="A165" s="84" t="s">
        <v>204</v>
      </c>
      <c r="B165" s="84">
        <v>1811984925</v>
      </c>
      <c r="C165" s="85">
        <v>3</v>
      </c>
      <c r="D165" s="85">
        <v>2023</v>
      </c>
      <c r="E165" s="151">
        <v>91400</v>
      </c>
      <c r="F165" s="86" t="s">
        <v>351</v>
      </c>
      <c r="G165" s="85"/>
      <c r="H165" s="85"/>
      <c r="I165" s="151"/>
      <c r="J165" s="86" t="s">
        <v>351</v>
      </c>
      <c r="K165" s="85"/>
      <c r="L165" s="85"/>
      <c r="M165" s="151"/>
      <c r="N165" s="86" t="s">
        <v>351</v>
      </c>
      <c r="O165" s="85"/>
      <c r="P165" s="85"/>
      <c r="Q165" s="151"/>
      <c r="R165" s="86" t="s">
        <v>351</v>
      </c>
      <c r="S165" s="85"/>
      <c r="T165" s="85"/>
      <c r="U165" s="151"/>
      <c r="V165" s="86" t="s">
        <v>351</v>
      </c>
      <c r="W165" s="85"/>
      <c r="X165" s="85"/>
      <c r="Y165" s="151"/>
      <c r="Z165" s="86" t="s">
        <v>351</v>
      </c>
      <c r="AA165" s="85"/>
      <c r="AB165" s="85"/>
      <c r="AC165" s="151"/>
      <c r="AD165" t="s">
        <v>351</v>
      </c>
      <c r="AE165" s="85"/>
      <c r="AF165" s="85"/>
      <c r="AG165" s="151" t="s">
        <v>596</v>
      </c>
    </row>
    <row r="166" spans="1:33" x14ac:dyDescent="0.25">
      <c r="A166" s="87" t="s">
        <v>205</v>
      </c>
      <c r="B166" s="84">
        <v>1104950765</v>
      </c>
      <c r="C166" s="85">
        <v>3</v>
      </c>
      <c r="D166" s="85">
        <v>2016</v>
      </c>
      <c r="E166" s="151">
        <v>83973</v>
      </c>
      <c r="F166" s="86" t="s">
        <v>351</v>
      </c>
      <c r="G166" s="85">
        <v>3</v>
      </c>
      <c r="H166" s="85">
        <v>2017</v>
      </c>
      <c r="I166" s="151">
        <v>119905</v>
      </c>
      <c r="J166" s="86" t="s">
        <v>351</v>
      </c>
      <c r="K166" s="85">
        <v>3</v>
      </c>
      <c r="L166" s="85">
        <v>2018</v>
      </c>
      <c r="M166" s="151">
        <v>138223</v>
      </c>
      <c r="N166" s="86" t="s">
        <v>351</v>
      </c>
      <c r="O166" s="85">
        <v>3</v>
      </c>
      <c r="P166" s="85">
        <v>2019</v>
      </c>
      <c r="Q166" s="151">
        <v>107112</v>
      </c>
      <c r="R166" s="86" t="s">
        <v>351</v>
      </c>
      <c r="S166" s="85">
        <v>3</v>
      </c>
      <c r="T166" s="85">
        <v>2020</v>
      </c>
      <c r="U166" s="151">
        <v>52876</v>
      </c>
      <c r="V166" s="86" t="s">
        <v>351</v>
      </c>
      <c r="W166" s="85">
        <v>3</v>
      </c>
      <c r="X166" s="85">
        <v>2021</v>
      </c>
      <c r="Y166" s="151">
        <v>73945</v>
      </c>
      <c r="Z166" s="86" t="s">
        <v>351</v>
      </c>
      <c r="AA166" s="85">
        <v>3</v>
      </c>
      <c r="AB166" s="85">
        <v>2022</v>
      </c>
      <c r="AC166" s="151">
        <v>209443</v>
      </c>
      <c r="AD166" t="s">
        <v>351</v>
      </c>
      <c r="AE166" s="85">
        <v>3</v>
      </c>
      <c r="AF166" s="85">
        <v>2023</v>
      </c>
      <c r="AG166" s="151">
        <v>82671</v>
      </c>
    </row>
    <row r="167" spans="1:33" x14ac:dyDescent="0.25">
      <c r="A167" s="84" t="s">
        <v>435</v>
      </c>
      <c r="B167" s="84">
        <v>1922611102</v>
      </c>
      <c r="C167" s="85">
        <v>3</v>
      </c>
      <c r="D167" s="85">
        <v>2021</v>
      </c>
      <c r="E167" s="151">
        <v>198167</v>
      </c>
      <c r="F167" s="86" t="s">
        <v>351</v>
      </c>
      <c r="G167" s="85">
        <v>3</v>
      </c>
      <c r="H167" s="85">
        <v>2023</v>
      </c>
      <c r="I167" s="151">
        <v>118893</v>
      </c>
      <c r="J167" s="86" t="s">
        <v>351</v>
      </c>
      <c r="K167" s="85"/>
      <c r="L167" s="85"/>
      <c r="M167" s="151"/>
      <c r="N167" s="86" t="s">
        <v>351</v>
      </c>
      <c r="O167" s="85"/>
      <c r="P167" s="85"/>
      <c r="Q167" s="151"/>
      <c r="R167" s="86" t="s">
        <v>351</v>
      </c>
      <c r="S167" s="85"/>
      <c r="T167" s="85"/>
      <c r="U167" s="151"/>
      <c r="V167" s="86" t="s">
        <v>351</v>
      </c>
      <c r="W167" s="85"/>
      <c r="X167" s="85"/>
      <c r="Y167" s="151"/>
      <c r="Z167" s="86" t="s">
        <v>351</v>
      </c>
      <c r="AA167" s="85"/>
      <c r="AB167" s="85"/>
      <c r="AC167" s="151"/>
      <c r="AD167" t="s">
        <v>351</v>
      </c>
      <c r="AE167" s="85"/>
      <c r="AF167" s="85"/>
      <c r="AG167" s="151" t="s">
        <v>596</v>
      </c>
    </row>
    <row r="168" spans="1:33" x14ac:dyDescent="0.25">
      <c r="A168" s="84" t="s">
        <v>206</v>
      </c>
      <c r="B168" s="84">
        <v>1689621880</v>
      </c>
      <c r="C168" s="85">
        <v>3</v>
      </c>
      <c r="D168" s="85">
        <v>2018</v>
      </c>
      <c r="E168" s="151">
        <v>159232</v>
      </c>
      <c r="F168" s="86" t="s">
        <v>351</v>
      </c>
      <c r="G168" s="85">
        <v>3</v>
      </c>
      <c r="H168" s="85">
        <v>2020</v>
      </c>
      <c r="I168" s="151">
        <v>65630</v>
      </c>
      <c r="J168" s="86" t="s">
        <v>351</v>
      </c>
      <c r="K168" s="85">
        <v>3</v>
      </c>
      <c r="L168" s="85">
        <v>2021</v>
      </c>
      <c r="M168" s="151">
        <v>99757</v>
      </c>
      <c r="N168" s="86" t="s">
        <v>351</v>
      </c>
      <c r="O168" s="85">
        <v>3</v>
      </c>
      <c r="P168" s="85">
        <v>2023</v>
      </c>
      <c r="Q168" s="151">
        <v>151390</v>
      </c>
      <c r="R168" s="86" t="s">
        <v>351</v>
      </c>
      <c r="S168" s="85"/>
      <c r="T168" s="85"/>
      <c r="U168" s="151"/>
      <c r="V168" s="86" t="s">
        <v>351</v>
      </c>
      <c r="W168" s="85"/>
      <c r="X168" s="85"/>
      <c r="Y168" s="151"/>
      <c r="Z168" s="86" t="s">
        <v>351</v>
      </c>
      <c r="AA168" s="85"/>
      <c r="AB168" s="85"/>
      <c r="AC168" s="151"/>
      <c r="AD168" t="s">
        <v>351</v>
      </c>
      <c r="AE168" s="85"/>
      <c r="AF168" s="85"/>
      <c r="AG168" s="151" t="s">
        <v>596</v>
      </c>
    </row>
    <row r="169" spans="1:33" x14ac:dyDescent="0.25">
      <c r="A169" s="87" t="s">
        <v>207</v>
      </c>
      <c r="B169" s="84">
        <v>1477137628</v>
      </c>
      <c r="C169" s="85">
        <v>3</v>
      </c>
      <c r="D169" s="85">
        <v>2017</v>
      </c>
      <c r="E169" s="151">
        <v>92785</v>
      </c>
      <c r="F169" s="86" t="s">
        <v>351</v>
      </c>
      <c r="G169" s="85">
        <v>3</v>
      </c>
      <c r="H169" s="85">
        <v>2018</v>
      </c>
      <c r="I169" s="151">
        <v>106692</v>
      </c>
      <c r="J169" s="86" t="s">
        <v>351</v>
      </c>
      <c r="K169" s="85">
        <v>3</v>
      </c>
      <c r="L169" s="85">
        <v>2019</v>
      </c>
      <c r="M169" s="151">
        <v>91070</v>
      </c>
      <c r="N169" s="86" t="s">
        <v>351</v>
      </c>
      <c r="O169" s="85">
        <v>3</v>
      </c>
      <c r="P169" s="85">
        <v>2021</v>
      </c>
      <c r="Q169" s="151">
        <v>72953</v>
      </c>
      <c r="R169" s="86" t="s">
        <v>351</v>
      </c>
      <c r="S169" s="85">
        <v>3</v>
      </c>
      <c r="T169" s="85">
        <v>2023</v>
      </c>
      <c r="U169" s="151">
        <v>66552</v>
      </c>
      <c r="V169" s="86" t="s">
        <v>351</v>
      </c>
      <c r="W169" s="85"/>
      <c r="X169" s="85"/>
      <c r="Y169" s="151"/>
      <c r="Z169" s="86" t="s">
        <v>351</v>
      </c>
      <c r="AA169" s="85"/>
      <c r="AB169" s="85"/>
      <c r="AC169" s="151"/>
      <c r="AD169" t="s">
        <v>351</v>
      </c>
      <c r="AE169" s="85"/>
      <c r="AF169" s="85"/>
      <c r="AG169" s="151" t="s">
        <v>596</v>
      </c>
    </row>
    <row r="170" spans="1:33" x14ac:dyDescent="0.25">
      <c r="A170" s="84" t="s">
        <v>208</v>
      </c>
      <c r="B170" s="84">
        <v>1932750841</v>
      </c>
      <c r="C170" s="85">
        <v>3</v>
      </c>
      <c r="D170" s="85">
        <v>2016</v>
      </c>
      <c r="E170" s="151">
        <v>554393</v>
      </c>
      <c r="F170" s="86" t="s">
        <v>351</v>
      </c>
      <c r="G170" s="85">
        <v>3</v>
      </c>
      <c r="H170" s="85">
        <v>2017</v>
      </c>
      <c r="I170" s="151">
        <v>573099</v>
      </c>
      <c r="J170" s="86" t="s">
        <v>351</v>
      </c>
      <c r="K170" s="85">
        <v>3</v>
      </c>
      <c r="L170" s="85">
        <v>2018</v>
      </c>
      <c r="M170" s="151">
        <v>1033310</v>
      </c>
      <c r="N170" s="86" t="s">
        <v>351</v>
      </c>
      <c r="O170" s="85">
        <v>3</v>
      </c>
      <c r="P170" s="85">
        <v>2019</v>
      </c>
      <c r="Q170" s="151">
        <v>716717</v>
      </c>
      <c r="R170" s="86" t="s">
        <v>351</v>
      </c>
      <c r="S170" s="85">
        <v>3</v>
      </c>
      <c r="T170" s="85">
        <v>2020</v>
      </c>
      <c r="U170" s="151">
        <v>272844</v>
      </c>
      <c r="V170" s="86" t="s">
        <v>351</v>
      </c>
      <c r="W170" s="85">
        <v>3</v>
      </c>
      <c r="X170" s="85">
        <v>2022</v>
      </c>
      <c r="Y170" s="151">
        <v>174365</v>
      </c>
      <c r="Z170" s="86" t="s">
        <v>351</v>
      </c>
      <c r="AA170" s="85"/>
      <c r="AB170" s="85"/>
      <c r="AC170" s="151"/>
      <c r="AD170" t="s">
        <v>351</v>
      </c>
      <c r="AE170" s="85"/>
      <c r="AF170" s="85"/>
      <c r="AG170" s="151"/>
    </row>
    <row r="171" spans="1:33" x14ac:dyDescent="0.25">
      <c r="A171" s="84" t="s">
        <v>209</v>
      </c>
      <c r="B171" s="84">
        <v>1760462196</v>
      </c>
      <c r="C171" s="85"/>
      <c r="D171" s="85"/>
      <c r="E171" s="151"/>
      <c r="F171" s="86" t="s">
        <v>351</v>
      </c>
      <c r="G171" s="85"/>
      <c r="H171" s="85"/>
      <c r="I171" s="151"/>
      <c r="J171" s="86" t="s">
        <v>351</v>
      </c>
      <c r="K171" s="85"/>
      <c r="L171" s="85"/>
      <c r="M171" s="151"/>
      <c r="N171" s="86" t="s">
        <v>351</v>
      </c>
      <c r="O171" s="85"/>
      <c r="P171" s="85"/>
      <c r="Q171" s="151"/>
      <c r="R171" s="86" t="s">
        <v>351</v>
      </c>
      <c r="S171" s="85"/>
      <c r="T171" s="85"/>
      <c r="U171" s="151"/>
      <c r="V171" s="86" t="s">
        <v>351</v>
      </c>
      <c r="W171" s="85"/>
      <c r="X171" s="85"/>
      <c r="Y171" s="151"/>
      <c r="Z171" s="86" t="s">
        <v>351</v>
      </c>
      <c r="AA171" s="85"/>
      <c r="AB171" s="85"/>
      <c r="AC171" s="151"/>
      <c r="AD171" t="s">
        <v>351</v>
      </c>
      <c r="AE171" s="85"/>
      <c r="AF171" s="85"/>
      <c r="AG171" s="151"/>
    </row>
    <row r="172" spans="1:33" x14ac:dyDescent="0.25">
      <c r="A172" s="87" t="s">
        <v>436</v>
      </c>
      <c r="B172" s="84">
        <v>1255367447</v>
      </c>
      <c r="C172" s="85">
        <v>3</v>
      </c>
      <c r="D172" s="85">
        <v>2016</v>
      </c>
      <c r="E172" s="151">
        <v>181076</v>
      </c>
      <c r="F172" s="86" t="s">
        <v>351</v>
      </c>
      <c r="G172" s="85">
        <v>3</v>
      </c>
      <c r="H172" s="85">
        <v>2017</v>
      </c>
      <c r="I172" s="151">
        <v>177219</v>
      </c>
      <c r="J172" s="86" t="s">
        <v>351</v>
      </c>
      <c r="K172" s="85">
        <v>3</v>
      </c>
      <c r="L172" s="85">
        <v>2019</v>
      </c>
      <c r="M172" s="151">
        <v>93820</v>
      </c>
      <c r="N172" s="86" t="s">
        <v>351</v>
      </c>
      <c r="O172" s="85">
        <v>3</v>
      </c>
      <c r="P172" s="85">
        <v>2021</v>
      </c>
      <c r="Q172" s="151">
        <v>95019</v>
      </c>
      <c r="R172" s="86" t="s">
        <v>351</v>
      </c>
      <c r="S172" s="85">
        <v>3</v>
      </c>
      <c r="T172" s="85">
        <v>2022</v>
      </c>
      <c r="U172" s="151">
        <v>812352</v>
      </c>
      <c r="V172" s="86" t="s">
        <v>351</v>
      </c>
      <c r="W172" s="85"/>
      <c r="X172" s="85"/>
      <c r="Y172" s="151"/>
      <c r="Z172" s="86" t="s">
        <v>351</v>
      </c>
      <c r="AA172" s="85"/>
      <c r="AB172" s="85"/>
      <c r="AC172" s="151"/>
      <c r="AD172" t="s">
        <v>351</v>
      </c>
      <c r="AE172" s="85"/>
      <c r="AF172" s="85"/>
      <c r="AG172" s="151"/>
    </row>
    <row r="173" spans="1:33" x14ac:dyDescent="0.25">
      <c r="A173" s="84" t="s">
        <v>210</v>
      </c>
      <c r="B173" s="84">
        <v>1053953844</v>
      </c>
      <c r="C173" s="85">
        <v>3</v>
      </c>
      <c r="D173" s="85">
        <v>2017</v>
      </c>
      <c r="E173" s="151">
        <v>66123</v>
      </c>
      <c r="F173" s="86" t="s">
        <v>351</v>
      </c>
      <c r="G173" s="85"/>
      <c r="H173" s="85"/>
      <c r="I173" s="151"/>
      <c r="J173" s="86" t="s">
        <v>351</v>
      </c>
      <c r="K173" s="85"/>
      <c r="L173" s="85"/>
      <c r="M173" s="151"/>
      <c r="N173" s="86" t="s">
        <v>351</v>
      </c>
      <c r="O173" s="85"/>
      <c r="P173" s="85"/>
      <c r="Q173" s="151"/>
      <c r="R173" s="86" t="s">
        <v>351</v>
      </c>
      <c r="S173" s="85"/>
      <c r="T173" s="85"/>
      <c r="U173" s="151"/>
      <c r="V173" s="86" t="s">
        <v>351</v>
      </c>
      <c r="W173" s="85"/>
      <c r="X173" s="85"/>
      <c r="Y173" s="151"/>
      <c r="Z173" s="86" t="s">
        <v>351</v>
      </c>
      <c r="AA173" s="85"/>
      <c r="AB173" s="85"/>
      <c r="AC173" s="151"/>
      <c r="AD173" t="s">
        <v>351</v>
      </c>
      <c r="AE173" s="85"/>
      <c r="AF173" s="85"/>
      <c r="AG173" s="151"/>
    </row>
    <row r="174" spans="1:33" x14ac:dyDescent="0.25">
      <c r="A174" s="92" t="s">
        <v>797</v>
      </c>
      <c r="B174" s="84">
        <v>1689777971</v>
      </c>
      <c r="C174" s="85">
        <v>3</v>
      </c>
      <c r="D174" s="85">
        <v>2016</v>
      </c>
      <c r="E174" s="151">
        <v>73663</v>
      </c>
      <c r="F174" s="86" t="s">
        <v>351</v>
      </c>
      <c r="G174" s="85">
        <v>3</v>
      </c>
      <c r="H174" s="85">
        <v>2017</v>
      </c>
      <c r="I174" s="151">
        <v>48006.46</v>
      </c>
      <c r="J174" s="86" t="s">
        <v>351</v>
      </c>
      <c r="K174" s="85">
        <v>3</v>
      </c>
      <c r="L174" s="85">
        <v>2020</v>
      </c>
      <c r="M174" s="151">
        <v>120392</v>
      </c>
      <c r="N174" s="86" t="s">
        <v>351</v>
      </c>
      <c r="O174" s="85">
        <v>3</v>
      </c>
      <c r="P174" s="85">
        <v>2021</v>
      </c>
      <c r="Q174" s="151">
        <v>209682</v>
      </c>
      <c r="R174" s="86" t="s">
        <v>351</v>
      </c>
      <c r="S174" s="85">
        <v>3</v>
      </c>
      <c r="T174" s="85">
        <v>2023</v>
      </c>
      <c r="U174" s="151">
        <v>82577</v>
      </c>
      <c r="V174" s="86" t="s">
        <v>351</v>
      </c>
      <c r="W174" s="85"/>
      <c r="X174" s="85"/>
      <c r="Y174" s="151"/>
      <c r="Z174" s="86" t="s">
        <v>351</v>
      </c>
      <c r="AA174" s="85"/>
      <c r="AB174" s="85"/>
      <c r="AC174" s="151"/>
      <c r="AD174" t="s">
        <v>351</v>
      </c>
      <c r="AE174" s="85"/>
      <c r="AF174" s="85"/>
      <c r="AG174" s="151" t="s">
        <v>596</v>
      </c>
    </row>
    <row r="175" spans="1:33" x14ac:dyDescent="0.25">
      <c r="A175" s="84" t="s">
        <v>437</v>
      </c>
      <c r="B175" s="84">
        <v>1972547321</v>
      </c>
      <c r="C175" s="85">
        <v>3</v>
      </c>
      <c r="D175" s="85">
        <v>2020</v>
      </c>
      <c r="E175" s="151">
        <v>1376961</v>
      </c>
      <c r="F175" s="86" t="s">
        <v>351</v>
      </c>
      <c r="G175" s="85">
        <v>3</v>
      </c>
      <c r="H175" s="85">
        <v>2021</v>
      </c>
      <c r="I175" s="151">
        <v>335076</v>
      </c>
      <c r="J175" s="86" t="s">
        <v>351</v>
      </c>
      <c r="K175" s="85">
        <v>3</v>
      </c>
      <c r="L175" s="85">
        <v>2022</v>
      </c>
      <c r="M175" s="151">
        <v>93492</v>
      </c>
      <c r="N175" s="86" t="s">
        <v>351</v>
      </c>
      <c r="O175" s="85">
        <v>1</v>
      </c>
      <c r="P175" s="85">
        <v>2023</v>
      </c>
      <c r="Q175" s="151">
        <v>14</v>
      </c>
      <c r="R175" s="86" t="s">
        <v>419</v>
      </c>
      <c r="S175" s="85" t="s">
        <v>596</v>
      </c>
      <c r="T175" s="85" t="s">
        <v>596</v>
      </c>
      <c r="U175" s="151" t="s">
        <v>596</v>
      </c>
      <c r="V175" s="86" t="s">
        <v>351</v>
      </c>
      <c r="W175" s="85"/>
      <c r="X175" s="85"/>
      <c r="Y175" s="151"/>
      <c r="Z175" s="86" t="s">
        <v>351</v>
      </c>
      <c r="AA175" s="85"/>
      <c r="AB175" s="85"/>
      <c r="AC175" s="151"/>
      <c r="AD175" t="s">
        <v>351</v>
      </c>
      <c r="AE175" s="85"/>
      <c r="AF175" s="85"/>
      <c r="AG175" s="151" t="s">
        <v>596</v>
      </c>
    </row>
    <row r="176" spans="1:33" x14ac:dyDescent="0.25">
      <c r="A176" s="87" t="s">
        <v>211</v>
      </c>
      <c r="B176" s="84">
        <v>1134298615</v>
      </c>
      <c r="C176" s="85"/>
      <c r="D176" s="85"/>
      <c r="E176" s="151"/>
      <c r="F176" s="86" t="s">
        <v>351</v>
      </c>
      <c r="G176" s="85"/>
      <c r="H176" s="85"/>
      <c r="I176" s="151"/>
      <c r="J176" s="86" t="s">
        <v>351</v>
      </c>
      <c r="K176" s="85"/>
      <c r="L176" s="85"/>
      <c r="M176" s="151"/>
      <c r="N176" s="86" t="s">
        <v>351</v>
      </c>
      <c r="O176" s="85"/>
      <c r="P176" s="85"/>
      <c r="Q176" s="151"/>
      <c r="R176" s="86" t="s">
        <v>351</v>
      </c>
      <c r="S176" s="85"/>
      <c r="T176" s="85"/>
      <c r="U176" s="151"/>
      <c r="V176" s="86" t="s">
        <v>351</v>
      </c>
      <c r="W176" s="85"/>
      <c r="X176" s="85"/>
      <c r="Y176" s="151"/>
      <c r="Z176" s="86" t="s">
        <v>351</v>
      </c>
      <c r="AA176" s="85"/>
      <c r="AB176" s="85"/>
      <c r="AC176" s="151"/>
      <c r="AD176" t="s">
        <v>351</v>
      </c>
      <c r="AE176" s="85"/>
      <c r="AF176" s="85"/>
      <c r="AG176" s="151"/>
    </row>
    <row r="177" spans="1:33" x14ac:dyDescent="0.25">
      <c r="A177" s="84" t="s">
        <v>212</v>
      </c>
      <c r="B177" s="84">
        <v>1548206907</v>
      </c>
      <c r="C177" s="85">
        <v>3</v>
      </c>
      <c r="D177" s="85">
        <v>2017</v>
      </c>
      <c r="E177" s="151">
        <v>2419325</v>
      </c>
      <c r="F177" s="86" t="s">
        <v>351</v>
      </c>
      <c r="G177" s="85">
        <v>3</v>
      </c>
      <c r="H177" s="85">
        <v>2018</v>
      </c>
      <c r="I177" s="151">
        <v>288424</v>
      </c>
      <c r="J177" s="86" t="s">
        <v>351</v>
      </c>
      <c r="K177" s="85">
        <v>3</v>
      </c>
      <c r="L177" s="85">
        <v>2019</v>
      </c>
      <c r="M177" s="151">
        <v>114774</v>
      </c>
      <c r="N177" s="86" t="s">
        <v>351</v>
      </c>
      <c r="O177" s="85">
        <v>3</v>
      </c>
      <c r="P177" s="85">
        <v>2022</v>
      </c>
      <c r="Q177" s="151">
        <v>458537</v>
      </c>
      <c r="R177" s="86" t="s">
        <v>351</v>
      </c>
      <c r="S177" s="85">
        <v>3</v>
      </c>
      <c r="T177" s="85">
        <v>2023</v>
      </c>
      <c r="U177" s="151">
        <v>96114</v>
      </c>
      <c r="V177" s="86" t="s">
        <v>351</v>
      </c>
      <c r="W177" s="85"/>
      <c r="X177" s="85"/>
      <c r="Y177" s="151"/>
      <c r="Z177" s="86" t="s">
        <v>351</v>
      </c>
      <c r="AA177" s="85"/>
      <c r="AB177" s="85"/>
      <c r="AC177" s="151"/>
      <c r="AD177" t="s">
        <v>351</v>
      </c>
      <c r="AE177" s="85"/>
      <c r="AF177" s="85"/>
      <c r="AG177" s="151" t="s">
        <v>596</v>
      </c>
    </row>
    <row r="178" spans="1:33" x14ac:dyDescent="0.25">
      <c r="A178" s="84" t="s">
        <v>213</v>
      </c>
      <c r="B178" s="84">
        <v>1295704849</v>
      </c>
      <c r="C178" s="85">
        <v>3</v>
      </c>
      <c r="D178" s="85">
        <v>2019</v>
      </c>
      <c r="E178" s="151">
        <v>135600</v>
      </c>
      <c r="F178" s="86" t="s">
        <v>351</v>
      </c>
      <c r="G178" s="85">
        <v>3</v>
      </c>
      <c r="H178" s="85">
        <v>2023</v>
      </c>
      <c r="I178" s="151">
        <v>128062</v>
      </c>
      <c r="J178" s="86" t="s">
        <v>351</v>
      </c>
      <c r="K178" s="85"/>
      <c r="L178" s="85"/>
      <c r="M178" s="151"/>
      <c r="N178" s="86" t="s">
        <v>351</v>
      </c>
      <c r="O178" s="85"/>
      <c r="P178" s="85"/>
      <c r="Q178" s="151"/>
      <c r="R178" s="86" t="s">
        <v>351</v>
      </c>
      <c r="S178" s="85"/>
      <c r="T178" s="85"/>
      <c r="U178" s="151"/>
      <c r="V178" s="86" t="s">
        <v>351</v>
      </c>
      <c r="W178" s="85"/>
      <c r="X178" s="85"/>
      <c r="Y178" s="151"/>
      <c r="Z178" s="86" t="s">
        <v>351</v>
      </c>
      <c r="AA178" s="85"/>
      <c r="AB178" s="85"/>
      <c r="AC178" s="151"/>
      <c r="AD178" t="s">
        <v>351</v>
      </c>
      <c r="AE178" s="85"/>
      <c r="AF178" s="85"/>
      <c r="AG178" s="151" t="s">
        <v>596</v>
      </c>
    </row>
    <row r="179" spans="1:33" x14ac:dyDescent="0.25">
      <c r="A179" s="93" t="s">
        <v>438</v>
      </c>
      <c r="B179" s="94">
        <v>1386688703</v>
      </c>
      <c r="C179" s="85"/>
      <c r="D179" s="85"/>
      <c r="E179" s="151"/>
      <c r="F179" s="91" t="s">
        <v>351</v>
      </c>
      <c r="G179" s="85"/>
      <c r="H179" s="85"/>
      <c r="I179" s="151"/>
      <c r="J179" s="91" t="s">
        <v>351</v>
      </c>
      <c r="K179" s="85"/>
      <c r="L179" s="85"/>
      <c r="M179" s="151"/>
      <c r="N179" s="91" t="s">
        <v>351</v>
      </c>
      <c r="O179" s="85"/>
      <c r="P179" s="85"/>
      <c r="Q179" s="151"/>
      <c r="R179" s="91" t="s">
        <v>351</v>
      </c>
      <c r="S179" s="85"/>
      <c r="T179" s="85"/>
      <c r="U179" s="151"/>
      <c r="V179" s="86" t="s">
        <v>351</v>
      </c>
      <c r="W179" s="85"/>
      <c r="X179" s="85"/>
      <c r="Y179" s="151"/>
      <c r="Z179" s="86" t="s">
        <v>351</v>
      </c>
      <c r="AA179" s="85"/>
      <c r="AB179" s="85"/>
      <c r="AC179" s="151"/>
      <c r="AD179" t="s">
        <v>351</v>
      </c>
      <c r="AE179" s="85"/>
      <c r="AF179" s="85"/>
      <c r="AG179" s="151"/>
    </row>
    <row r="180" spans="1:33" x14ac:dyDescent="0.25">
      <c r="A180" s="87" t="s">
        <v>214</v>
      </c>
      <c r="B180" s="84">
        <v>1083298236</v>
      </c>
      <c r="C180" s="85">
        <v>3</v>
      </c>
      <c r="D180" s="85">
        <v>2016</v>
      </c>
      <c r="E180" s="151">
        <v>57274</v>
      </c>
      <c r="F180" s="86" t="s">
        <v>351</v>
      </c>
      <c r="G180" s="85">
        <v>3</v>
      </c>
      <c r="H180" s="85">
        <v>2017</v>
      </c>
      <c r="I180" s="151">
        <v>127930</v>
      </c>
      <c r="J180" s="86" t="s">
        <v>351</v>
      </c>
      <c r="K180" s="85">
        <v>3</v>
      </c>
      <c r="L180" s="85">
        <v>2018</v>
      </c>
      <c r="M180" s="151">
        <v>119646</v>
      </c>
      <c r="N180" s="86" t="s">
        <v>351</v>
      </c>
      <c r="O180" s="85">
        <v>3</v>
      </c>
      <c r="P180" s="85">
        <v>2019</v>
      </c>
      <c r="Q180" s="151">
        <v>128625</v>
      </c>
      <c r="R180" s="86" t="s">
        <v>351</v>
      </c>
      <c r="S180" s="85">
        <v>3</v>
      </c>
      <c r="T180" s="85">
        <v>2020</v>
      </c>
      <c r="U180" s="151">
        <v>234686</v>
      </c>
      <c r="V180" s="86" t="s">
        <v>351</v>
      </c>
      <c r="W180" s="85">
        <v>3</v>
      </c>
      <c r="X180" s="85">
        <v>2021</v>
      </c>
      <c r="Y180" s="151">
        <v>240173</v>
      </c>
      <c r="Z180" s="86" t="s">
        <v>351</v>
      </c>
      <c r="AA180" s="85">
        <v>3</v>
      </c>
      <c r="AB180" s="85">
        <v>2023</v>
      </c>
      <c r="AC180" s="151">
        <v>61347</v>
      </c>
      <c r="AD180" t="s">
        <v>351</v>
      </c>
      <c r="AE180" s="85" t="s">
        <v>596</v>
      </c>
      <c r="AF180" s="85" t="s">
        <v>596</v>
      </c>
      <c r="AG180" s="151" t="s">
        <v>596</v>
      </c>
    </row>
    <row r="181" spans="1:33" x14ac:dyDescent="0.25">
      <c r="A181" s="84" t="s">
        <v>215</v>
      </c>
      <c r="B181" s="84">
        <v>1538113014</v>
      </c>
      <c r="C181" s="85">
        <v>3</v>
      </c>
      <c r="D181" s="85">
        <v>2019</v>
      </c>
      <c r="E181" s="151">
        <v>371256</v>
      </c>
      <c r="F181" s="86" t="s">
        <v>351</v>
      </c>
      <c r="G181" s="85">
        <v>3</v>
      </c>
      <c r="H181" s="85">
        <v>2020</v>
      </c>
      <c r="I181" s="151">
        <v>226924</v>
      </c>
      <c r="J181" s="86" t="s">
        <v>351</v>
      </c>
      <c r="K181" s="85">
        <v>3</v>
      </c>
      <c r="L181" s="85">
        <v>2021</v>
      </c>
      <c r="M181" s="151">
        <v>73247</v>
      </c>
      <c r="N181" s="86" t="s">
        <v>351</v>
      </c>
      <c r="O181" s="85">
        <v>3</v>
      </c>
      <c r="P181" s="85">
        <v>2022</v>
      </c>
      <c r="Q181" s="151">
        <v>179762</v>
      </c>
      <c r="R181" s="86" t="s">
        <v>351</v>
      </c>
      <c r="S181" s="85">
        <v>3</v>
      </c>
      <c r="T181" s="85">
        <v>2023</v>
      </c>
      <c r="U181" s="151">
        <v>103874</v>
      </c>
      <c r="V181" s="86" t="s">
        <v>351</v>
      </c>
      <c r="W181" s="85"/>
      <c r="X181" s="85"/>
      <c r="Y181" s="151"/>
      <c r="Z181" s="86" t="s">
        <v>351</v>
      </c>
      <c r="AA181" s="85"/>
      <c r="AB181" s="85"/>
      <c r="AC181" s="151"/>
      <c r="AD181" t="s">
        <v>351</v>
      </c>
      <c r="AE181" s="85"/>
      <c r="AF181" s="85"/>
      <c r="AG181" s="151" t="s">
        <v>596</v>
      </c>
    </row>
    <row r="182" spans="1:33" x14ac:dyDescent="0.25">
      <c r="A182" s="87" t="s">
        <v>216</v>
      </c>
      <c r="B182" s="84">
        <v>1164476636</v>
      </c>
      <c r="C182" s="85">
        <v>3</v>
      </c>
      <c r="D182" s="85">
        <v>2019</v>
      </c>
      <c r="E182" s="151">
        <v>281571</v>
      </c>
      <c r="F182" s="86" t="s">
        <v>351</v>
      </c>
      <c r="G182" s="85">
        <v>3</v>
      </c>
      <c r="H182" s="85">
        <v>2020</v>
      </c>
      <c r="I182" s="151">
        <v>75369</v>
      </c>
      <c r="J182" s="86" t="s">
        <v>351</v>
      </c>
      <c r="K182" s="85">
        <v>3</v>
      </c>
      <c r="L182" s="85">
        <v>2021</v>
      </c>
      <c r="M182" s="151">
        <v>90058</v>
      </c>
      <c r="N182" s="86" t="s">
        <v>351</v>
      </c>
      <c r="O182" s="85">
        <v>3</v>
      </c>
      <c r="P182" s="85">
        <v>2022</v>
      </c>
      <c r="Q182" s="151">
        <v>86455</v>
      </c>
      <c r="R182" s="86" t="s">
        <v>351</v>
      </c>
      <c r="S182" s="85"/>
      <c r="T182" s="85"/>
      <c r="U182" s="151"/>
      <c r="V182" s="86" t="s">
        <v>351</v>
      </c>
      <c r="W182" s="85"/>
      <c r="X182" s="85"/>
      <c r="Y182" s="151"/>
      <c r="Z182" s="86" t="s">
        <v>351</v>
      </c>
      <c r="AA182" s="85"/>
      <c r="AB182" s="85"/>
      <c r="AC182" s="151"/>
      <c r="AD182" t="s">
        <v>351</v>
      </c>
      <c r="AE182" s="85"/>
      <c r="AF182" s="85"/>
      <c r="AG182" s="151"/>
    </row>
    <row r="183" spans="1:33" x14ac:dyDescent="0.25">
      <c r="A183" s="84" t="s">
        <v>217</v>
      </c>
      <c r="B183" s="84">
        <v>1669425401</v>
      </c>
      <c r="C183" s="85">
        <v>3</v>
      </c>
      <c r="D183" s="85">
        <v>2019</v>
      </c>
      <c r="E183" s="151">
        <v>125570</v>
      </c>
      <c r="F183" s="86" t="s">
        <v>351</v>
      </c>
      <c r="G183" s="85">
        <v>3</v>
      </c>
      <c r="H183" s="85">
        <v>2021</v>
      </c>
      <c r="I183" s="151">
        <v>59811</v>
      </c>
      <c r="J183" s="86" t="s">
        <v>351</v>
      </c>
      <c r="K183" s="85">
        <v>3</v>
      </c>
      <c r="L183" s="85">
        <v>2022</v>
      </c>
      <c r="M183" s="151">
        <v>85378</v>
      </c>
      <c r="N183" s="86" t="s">
        <v>351</v>
      </c>
      <c r="O183" s="85">
        <v>3</v>
      </c>
      <c r="P183" s="85">
        <v>2023</v>
      </c>
      <c r="Q183" s="151">
        <v>256951</v>
      </c>
      <c r="R183" s="86" t="s">
        <v>351</v>
      </c>
      <c r="S183" s="85"/>
      <c r="T183" s="85"/>
      <c r="U183" s="151"/>
      <c r="V183" s="86" t="s">
        <v>351</v>
      </c>
      <c r="W183" s="85"/>
      <c r="X183" s="85"/>
      <c r="Y183" s="151"/>
      <c r="Z183" s="86" t="s">
        <v>351</v>
      </c>
      <c r="AA183" s="85"/>
      <c r="AB183" s="85"/>
      <c r="AC183" s="151"/>
      <c r="AD183" t="s">
        <v>351</v>
      </c>
      <c r="AE183" s="85"/>
      <c r="AF183" s="85"/>
      <c r="AG183" s="151" t="s">
        <v>596</v>
      </c>
    </row>
    <row r="184" spans="1:33" x14ac:dyDescent="0.25">
      <c r="A184" s="84" t="s">
        <v>218</v>
      </c>
      <c r="B184" s="84">
        <v>1861446338</v>
      </c>
      <c r="C184" s="85">
        <v>3</v>
      </c>
      <c r="D184" s="85">
        <v>2019</v>
      </c>
      <c r="E184" s="151">
        <v>158689</v>
      </c>
      <c r="F184" s="86" t="s">
        <v>351</v>
      </c>
      <c r="G184" s="85">
        <v>3</v>
      </c>
      <c r="H184" s="85">
        <v>2022</v>
      </c>
      <c r="I184" s="151">
        <v>77327</v>
      </c>
      <c r="J184" s="86" t="s">
        <v>351</v>
      </c>
      <c r="K184" s="85"/>
      <c r="L184" s="85"/>
      <c r="M184" s="151"/>
      <c r="N184" s="86" t="s">
        <v>351</v>
      </c>
      <c r="O184" s="85"/>
      <c r="P184" s="85"/>
      <c r="Q184" s="151"/>
      <c r="R184" s="86" t="s">
        <v>351</v>
      </c>
      <c r="S184" s="85"/>
      <c r="T184" s="85"/>
      <c r="U184" s="151"/>
      <c r="V184" s="86" t="s">
        <v>351</v>
      </c>
      <c r="W184" s="85"/>
      <c r="X184" s="85"/>
      <c r="Y184" s="151"/>
      <c r="Z184" s="86" t="s">
        <v>351</v>
      </c>
      <c r="AA184" s="85"/>
      <c r="AB184" s="85"/>
      <c r="AC184" s="151"/>
      <c r="AD184" t="s">
        <v>351</v>
      </c>
      <c r="AE184" s="85"/>
      <c r="AF184" s="85"/>
      <c r="AG184" s="151"/>
    </row>
    <row r="185" spans="1:33" x14ac:dyDescent="0.25">
      <c r="A185" s="84" t="s">
        <v>219</v>
      </c>
      <c r="B185" s="84">
        <v>1407800972</v>
      </c>
      <c r="C185" s="85">
        <v>3</v>
      </c>
      <c r="D185" s="85">
        <v>2019</v>
      </c>
      <c r="E185" s="151">
        <v>227005</v>
      </c>
      <c r="F185" s="86" t="s">
        <v>351</v>
      </c>
      <c r="G185" s="85">
        <v>3</v>
      </c>
      <c r="H185" s="85">
        <v>2021</v>
      </c>
      <c r="I185" s="151">
        <v>279840</v>
      </c>
      <c r="J185" s="86" t="s">
        <v>351</v>
      </c>
      <c r="K185" s="85"/>
      <c r="L185" s="85"/>
      <c r="M185" s="151"/>
      <c r="N185" s="86" t="s">
        <v>351</v>
      </c>
      <c r="O185" s="85"/>
      <c r="P185" s="85"/>
      <c r="Q185" s="151"/>
      <c r="R185" s="86" t="s">
        <v>351</v>
      </c>
      <c r="S185" s="85"/>
      <c r="T185" s="85"/>
      <c r="U185" s="151"/>
      <c r="V185" s="86" t="s">
        <v>351</v>
      </c>
      <c r="W185" s="85"/>
      <c r="X185" s="85"/>
      <c r="Y185" s="151"/>
      <c r="Z185" s="86" t="s">
        <v>351</v>
      </c>
      <c r="AA185" s="85"/>
      <c r="AB185" s="85"/>
      <c r="AC185" s="151"/>
      <c r="AD185" t="s">
        <v>351</v>
      </c>
      <c r="AE185" s="85"/>
      <c r="AF185" s="85"/>
      <c r="AG185" s="151"/>
    </row>
    <row r="186" spans="1:33" x14ac:dyDescent="0.25">
      <c r="A186" s="91" t="s">
        <v>220</v>
      </c>
      <c r="B186" s="84">
        <v>1326089616</v>
      </c>
      <c r="C186" s="85">
        <v>3</v>
      </c>
      <c r="D186" s="85">
        <v>2017</v>
      </c>
      <c r="E186" s="151">
        <v>540211</v>
      </c>
      <c r="F186" s="86" t="s">
        <v>351</v>
      </c>
      <c r="G186" s="85">
        <v>3</v>
      </c>
      <c r="H186" s="85">
        <v>2019</v>
      </c>
      <c r="I186" s="151">
        <v>91150</v>
      </c>
      <c r="J186" s="86" t="s">
        <v>351</v>
      </c>
      <c r="K186" s="85">
        <v>2</v>
      </c>
      <c r="L186" s="85">
        <v>2021</v>
      </c>
      <c r="M186" s="151">
        <v>32</v>
      </c>
      <c r="N186" s="86" t="s">
        <v>351</v>
      </c>
      <c r="O186" s="85">
        <v>3</v>
      </c>
      <c r="P186" s="85">
        <v>2021</v>
      </c>
      <c r="Q186" s="151">
        <v>119228</v>
      </c>
      <c r="R186" s="86" t="s">
        <v>351</v>
      </c>
      <c r="S186" s="85">
        <v>3</v>
      </c>
      <c r="T186" s="85">
        <v>2022</v>
      </c>
      <c r="U186" s="151">
        <v>215715</v>
      </c>
      <c r="V186" s="86" t="s">
        <v>351</v>
      </c>
      <c r="W186" s="85"/>
      <c r="X186" s="85"/>
      <c r="Y186" s="151"/>
      <c r="Z186" s="86" t="s">
        <v>351</v>
      </c>
      <c r="AA186" s="85"/>
      <c r="AB186" s="85"/>
      <c r="AC186" s="151"/>
      <c r="AD186" t="s">
        <v>351</v>
      </c>
      <c r="AE186" s="85"/>
      <c r="AF186" s="85"/>
      <c r="AG186" s="151"/>
    </row>
    <row r="187" spans="1:33" x14ac:dyDescent="0.25">
      <c r="A187" s="87" t="s">
        <v>221</v>
      </c>
      <c r="B187" s="84">
        <v>1548770423</v>
      </c>
      <c r="C187" s="85">
        <v>3</v>
      </c>
      <c r="D187" s="85">
        <v>2018</v>
      </c>
      <c r="E187" s="151">
        <v>91475</v>
      </c>
      <c r="F187" s="86" t="s">
        <v>351</v>
      </c>
      <c r="G187" s="85">
        <v>3</v>
      </c>
      <c r="H187" s="85">
        <v>2019</v>
      </c>
      <c r="I187" s="151">
        <v>261699</v>
      </c>
      <c r="J187" s="86" t="s">
        <v>351</v>
      </c>
      <c r="K187" s="85">
        <v>3</v>
      </c>
      <c r="L187" s="85">
        <v>2020</v>
      </c>
      <c r="M187" s="151">
        <v>136592</v>
      </c>
      <c r="N187" s="86" t="s">
        <v>351</v>
      </c>
      <c r="O187" s="85">
        <v>3</v>
      </c>
      <c r="P187" s="85">
        <v>2021</v>
      </c>
      <c r="Q187" s="151">
        <v>263435</v>
      </c>
      <c r="R187" s="86" t="s">
        <v>351</v>
      </c>
      <c r="S187" s="85"/>
      <c r="T187" s="85"/>
      <c r="U187" s="151"/>
      <c r="V187" s="86" t="s">
        <v>351</v>
      </c>
      <c r="W187" s="85"/>
      <c r="X187" s="85"/>
      <c r="Y187" s="151"/>
      <c r="Z187" s="86" t="s">
        <v>351</v>
      </c>
      <c r="AA187" s="85"/>
      <c r="AB187" s="85"/>
      <c r="AC187" s="151"/>
      <c r="AD187" t="s">
        <v>351</v>
      </c>
      <c r="AE187" s="85"/>
      <c r="AF187" s="85"/>
      <c r="AG187" s="151"/>
    </row>
    <row r="188" spans="1:33" x14ac:dyDescent="0.25">
      <c r="A188" s="87" t="s">
        <v>222</v>
      </c>
      <c r="B188" s="84">
        <v>1629535455</v>
      </c>
      <c r="C188" s="85">
        <v>2</v>
      </c>
      <c r="D188" s="85">
        <v>2017</v>
      </c>
      <c r="E188" s="151">
        <v>92</v>
      </c>
      <c r="F188" s="86" t="s">
        <v>351</v>
      </c>
      <c r="G188" s="85">
        <v>3</v>
      </c>
      <c r="H188" s="85">
        <v>2020</v>
      </c>
      <c r="I188" s="151">
        <v>157736</v>
      </c>
      <c r="J188" s="86" t="s">
        <v>351</v>
      </c>
      <c r="K188" s="85"/>
      <c r="L188" s="85"/>
      <c r="M188" s="151"/>
      <c r="N188" s="86" t="s">
        <v>351</v>
      </c>
      <c r="O188" s="85"/>
      <c r="P188" s="85"/>
      <c r="Q188" s="151"/>
      <c r="R188" s="86" t="s">
        <v>351</v>
      </c>
      <c r="S188" s="85"/>
      <c r="T188" s="85"/>
      <c r="U188" s="151"/>
      <c r="V188" s="86" t="s">
        <v>351</v>
      </c>
      <c r="W188" s="85"/>
      <c r="X188" s="85"/>
      <c r="Y188" s="151"/>
      <c r="Z188" s="86" t="s">
        <v>351</v>
      </c>
      <c r="AA188" s="85"/>
      <c r="AB188" s="85"/>
      <c r="AC188" s="151"/>
      <c r="AD188" t="s">
        <v>351</v>
      </c>
      <c r="AE188" s="85"/>
      <c r="AF188" s="85"/>
      <c r="AG188" s="151"/>
    </row>
    <row r="189" spans="1:33" x14ac:dyDescent="0.25">
      <c r="A189" s="84" t="s">
        <v>223</v>
      </c>
      <c r="B189" s="84">
        <v>1104471531</v>
      </c>
      <c r="C189" s="85">
        <v>3</v>
      </c>
      <c r="D189" s="85">
        <v>2020</v>
      </c>
      <c r="E189" s="151">
        <v>97275</v>
      </c>
      <c r="F189" s="86" t="s">
        <v>351</v>
      </c>
      <c r="G189" s="85">
        <v>3</v>
      </c>
      <c r="H189" s="85">
        <v>2021</v>
      </c>
      <c r="I189" s="151">
        <v>108509</v>
      </c>
      <c r="J189" s="86" t="s">
        <v>351</v>
      </c>
      <c r="K189" s="85"/>
      <c r="L189" s="85"/>
      <c r="M189" s="151"/>
      <c r="N189" s="86" t="s">
        <v>351</v>
      </c>
      <c r="O189" s="85"/>
      <c r="P189" s="85"/>
      <c r="Q189" s="151"/>
      <c r="R189" s="86" t="s">
        <v>351</v>
      </c>
      <c r="S189" s="85"/>
      <c r="T189" s="85"/>
      <c r="U189" s="151"/>
      <c r="V189" s="86" t="s">
        <v>351</v>
      </c>
      <c r="W189" s="85"/>
      <c r="X189" s="85"/>
      <c r="Y189" s="151"/>
      <c r="Z189" s="86" t="s">
        <v>351</v>
      </c>
      <c r="AA189" s="85"/>
      <c r="AB189" s="85"/>
      <c r="AC189" s="151"/>
      <c r="AD189" t="s">
        <v>351</v>
      </c>
      <c r="AE189" s="85"/>
      <c r="AF189" s="85"/>
      <c r="AG189" s="151"/>
    </row>
    <row r="190" spans="1:33" x14ac:dyDescent="0.25">
      <c r="A190" s="87" t="s">
        <v>224</v>
      </c>
      <c r="B190" s="84">
        <v>1588219828</v>
      </c>
      <c r="C190" s="85">
        <v>3</v>
      </c>
      <c r="D190" s="85">
        <v>2019</v>
      </c>
      <c r="E190" s="151">
        <v>64300</v>
      </c>
      <c r="F190" s="86" t="s">
        <v>351</v>
      </c>
      <c r="G190" s="85">
        <v>3</v>
      </c>
      <c r="H190" s="85">
        <v>2020</v>
      </c>
      <c r="I190" s="151">
        <v>68991</v>
      </c>
      <c r="J190" s="86" t="s">
        <v>351</v>
      </c>
      <c r="K190" s="85">
        <v>3</v>
      </c>
      <c r="L190" s="85">
        <v>2021</v>
      </c>
      <c r="M190" s="151">
        <v>201121</v>
      </c>
      <c r="N190" s="86" t="s">
        <v>351</v>
      </c>
      <c r="O190" s="85">
        <v>3</v>
      </c>
      <c r="P190" s="85">
        <v>2022</v>
      </c>
      <c r="Q190" s="151">
        <v>82588</v>
      </c>
      <c r="R190" s="86" t="s">
        <v>351</v>
      </c>
      <c r="S190" s="85">
        <v>3</v>
      </c>
      <c r="T190" s="85">
        <v>2023</v>
      </c>
      <c r="U190" s="151">
        <v>70732</v>
      </c>
      <c r="V190" s="86" t="s">
        <v>351</v>
      </c>
      <c r="W190" s="85"/>
      <c r="X190" s="85"/>
      <c r="Y190" s="151"/>
      <c r="Z190" s="86" t="s">
        <v>351</v>
      </c>
      <c r="AA190" s="85"/>
      <c r="AB190" s="85"/>
      <c r="AC190" s="151"/>
      <c r="AD190" t="s">
        <v>351</v>
      </c>
      <c r="AE190" s="85"/>
      <c r="AF190" s="85"/>
      <c r="AG190" s="151"/>
    </row>
    <row r="191" spans="1:33" x14ac:dyDescent="0.25">
      <c r="A191" s="84" t="s">
        <v>225</v>
      </c>
      <c r="B191" s="84">
        <v>1043865538</v>
      </c>
      <c r="C191" s="85">
        <v>3</v>
      </c>
      <c r="D191" s="85">
        <v>2017</v>
      </c>
      <c r="E191" s="151">
        <v>46500</v>
      </c>
      <c r="F191" s="86" t="s">
        <v>351</v>
      </c>
      <c r="G191" s="85">
        <v>2</v>
      </c>
      <c r="H191" s="85">
        <v>2018</v>
      </c>
      <c r="I191" s="151">
        <v>16</v>
      </c>
      <c r="J191" s="86" t="s">
        <v>351</v>
      </c>
      <c r="K191" s="85">
        <v>3</v>
      </c>
      <c r="L191" s="85">
        <v>2018</v>
      </c>
      <c r="M191" s="151">
        <v>47563</v>
      </c>
      <c r="N191" s="86" t="s">
        <v>351</v>
      </c>
      <c r="O191" s="85">
        <v>3</v>
      </c>
      <c r="P191" s="85">
        <v>2019</v>
      </c>
      <c r="Q191" s="151">
        <v>62920</v>
      </c>
      <c r="R191" s="86" t="s">
        <v>351</v>
      </c>
      <c r="S191" s="85">
        <v>3</v>
      </c>
      <c r="T191" s="85">
        <v>2020</v>
      </c>
      <c r="U191" s="151">
        <v>55343</v>
      </c>
      <c r="V191" s="86" t="s">
        <v>351</v>
      </c>
      <c r="W191" s="85" t="s">
        <v>596</v>
      </c>
      <c r="X191" s="85" t="s">
        <v>596</v>
      </c>
      <c r="Y191" s="151" t="s">
        <v>596</v>
      </c>
      <c r="Z191" s="86" t="s">
        <v>351</v>
      </c>
      <c r="AA191" s="85"/>
      <c r="AB191" s="85"/>
      <c r="AC191" s="151"/>
      <c r="AD191" t="s">
        <v>351</v>
      </c>
      <c r="AE191" s="85"/>
      <c r="AF191" s="85"/>
      <c r="AG191" s="151"/>
    </row>
    <row r="192" spans="1:33" x14ac:dyDescent="0.25">
      <c r="A192" s="84" t="s">
        <v>226</v>
      </c>
      <c r="B192" s="84">
        <v>1467007856</v>
      </c>
      <c r="C192" s="85">
        <v>3</v>
      </c>
      <c r="D192" s="85">
        <v>2019</v>
      </c>
      <c r="E192" s="151">
        <v>102123</v>
      </c>
      <c r="F192" s="86" t="s">
        <v>351</v>
      </c>
      <c r="G192" s="85">
        <v>3</v>
      </c>
      <c r="H192" s="85">
        <v>2020</v>
      </c>
      <c r="I192" s="151">
        <v>147727</v>
      </c>
      <c r="J192" s="86" t="s">
        <v>351</v>
      </c>
      <c r="K192" s="85">
        <v>3</v>
      </c>
      <c r="L192" s="85">
        <v>2021</v>
      </c>
      <c r="M192" s="151">
        <v>240238</v>
      </c>
      <c r="N192" s="86" t="s">
        <v>351</v>
      </c>
      <c r="O192" s="85"/>
      <c r="P192" s="85"/>
      <c r="Q192" s="151"/>
      <c r="R192" s="86" t="s">
        <v>351</v>
      </c>
      <c r="S192" s="85"/>
      <c r="T192" s="85"/>
      <c r="U192" s="151"/>
      <c r="V192" s="86" t="s">
        <v>351</v>
      </c>
      <c r="W192" s="85"/>
      <c r="X192" s="85"/>
      <c r="Y192" s="151"/>
      <c r="Z192" s="86" t="s">
        <v>351</v>
      </c>
      <c r="AA192" s="85"/>
      <c r="AB192" s="85"/>
      <c r="AC192" s="151"/>
      <c r="AD192" t="s">
        <v>351</v>
      </c>
      <c r="AE192" s="85"/>
      <c r="AF192" s="85"/>
      <c r="AG192" s="151"/>
    </row>
    <row r="193" spans="1:33" x14ac:dyDescent="0.25">
      <c r="A193" s="84" t="s">
        <v>592</v>
      </c>
      <c r="B193" s="84">
        <v>1881993079</v>
      </c>
      <c r="C193" s="85">
        <v>3</v>
      </c>
      <c r="D193" s="85">
        <v>2016</v>
      </c>
      <c r="E193" s="151">
        <v>718425</v>
      </c>
      <c r="F193" s="86" t="s">
        <v>351</v>
      </c>
      <c r="G193" s="85">
        <v>1</v>
      </c>
      <c r="H193" s="85">
        <v>2019</v>
      </c>
      <c r="I193" s="151">
        <v>-20</v>
      </c>
      <c r="J193" s="86" t="s">
        <v>351</v>
      </c>
      <c r="K193" s="85">
        <v>3</v>
      </c>
      <c r="L193" s="85">
        <v>2019</v>
      </c>
      <c r="M193" s="151">
        <v>369397</v>
      </c>
      <c r="N193" s="86" t="s">
        <v>351</v>
      </c>
      <c r="O193" s="85">
        <v>3</v>
      </c>
      <c r="P193" s="85">
        <v>2020</v>
      </c>
      <c r="Q193" s="151">
        <v>89840</v>
      </c>
      <c r="R193" s="86" t="s">
        <v>351</v>
      </c>
      <c r="S193" s="85">
        <v>3</v>
      </c>
      <c r="T193" s="85">
        <v>2021</v>
      </c>
      <c r="U193" s="151">
        <v>105778</v>
      </c>
      <c r="V193" s="86" t="s">
        <v>351</v>
      </c>
      <c r="W193" s="85">
        <v>3</v>
      </c>
      <c r="X193" s="85">
        <v>2022</v>
      </c>
      <c r="Y193" s="151">
        <v>117040</v>
      </c>
      <c r="Z193" s="86" t="s">
        <v>351</v>
      </c>
      <c r="AA193" s="85"/>
      <c r="AB193" s="85"/>
      <c r="AC193" s="151"/>
      <c r="AD193" t="s">
        <v>351</v>
      </c>
      <c r="AE193" s="85"/>
      <c r="AF193" s="85"/>
      <c r="AG193" s="151"/>
    </row>
    <row r="194" spans="1:33" x14ac:dyDescent="0.25">
      <c r="A194" s="87" t="s">
        <v>227</v>
      </c>
      <c r="B194" s="84">
        <v>1861446270</v>
      </c>
      <c r="C194" s="85">
        <v>3</v>
      </c>
      <c r="D194" s="85">
        <v>2018</v>
      </c>
      <c r="E194" s="151">
        <v>224654</v>
      </c>
      <c r="F194" s="86" t="s">
        <v>351</v>
      </c>
      <c r="G194" s="85">
        <v>3</v>
      </c>
      <c r="H194" s="85">
        <v>2019</v>
      </c>
      <c r="I194" s="151">
        <v>86305</v>
      </c>
      <c r="J194" s="86" t="s">
        <v>351</v>
      </c>
      <c r="K194" s="85">
        <v>3</v>
      </c>
      <c r="L194" s="85">
        <v>2020</v>
      </c>
      <c r="M194" s="151">
        <v>136510</v>
      </c>
      <c r="N194" s="86" t="s">
        <v>351</v>
      </c>
      <c r="O194" s="85">
        <v>1</v>
      </c>
      <c r="P194" s="85">
        <v>2021</v>
      </c>
      <c r="Q194" s="151">
        <v>-18</v>
      </c>
      <c r="R194" s="86" t="s">
        <v>439</v>
      </c>
      <c r="S194" s="85">
        <v>3</v>
      </c>
      <c r="T194" s="85">
        <v>2021</v>
      </c>
      <c r="U194" s="151">
        <v>157172</v>
      </c>
      <c r="V194" s="86" t="s">
        <v>351</v>
      </c>
      <c r="W194" s="85">
        <v>3</v>
      </c>
      <c r="X194" s="85">
        <v>2022</v>
      </c>
      <c r="Y194" s="151">
        <v>442655</v>
      </c>
      <c r="Z194" s="86" t="s">
        <v>351</v>
      </c>
      <c r="AA194" s="85">
        <v>3</v>
      </c>
      <c r="AB194" s="85">
        <v>2023</v>
      </c>
      <c r="AC194" s="151">
        <v>70427</v>
      </c>
      <c r="AD194" t="s">
        <v>351</v>
      </c>
      <c r="AE194" s="85"/>
      <c r="AF194" s="85"/>
      <c r="AG194" s="151" t="s">
        <v>596</v>
      </c>
    </row>
    <row r="195" spans="1:33" x14ac:dyDescent="0.25">
      <c r="A195" s="84" t="s">
        <v>593</v>
      </c>
      <c r="B195" s="84">
        <v>1255385720</v>
      </c>
      <c r="C195" s="85">
        <v>3</v>
      </c>
      <c r="D195" s="85">
        <v>2016</v>
      </c>
      <c r="E195" s="151">
        <v>459359</v>
      </c>
      <c r="F195" s="86" t="s">
        <v>351</v>
      </c>
      <c r="G195" s="85">
        <v>3</v>
      </c>
      <c r="H195" s="85">
        <v>2019</v>
      </c>
      <c r="I195" s="151">
        <v>148877</v>
      </c>
      <c r="J195" s="86" t="s">
        <v>351</v>
      </c>
      <c r="K195" s="85">
        <v>3</v>
      </c>
      <c r="L195" s="85">
        <v>2020</v>
      </c>
      <c r="M195" s="151">
        <v>72944</v>
      </c>
      <c r="N195" s="86" t="s">
        <v>351</v>
      </c>
      <c r="O195" s="85">
        <v>3</v>
      </c>
      <c r="P195" s="85">
        <v>2021</v>
      </c>
      <c r="Q195" s="151">
        <v>390310</v>
      </c>
      <c r="R195" s="86" t="s">
        <v>351</v>
      </c>
      <c r="S195" s="85">
        <v>3</v>
      </c>
      <c r="T195" s="85">
        <v>2022</v>
      </c>
      <c r="U195" s="151">
        <v>170675</v>
      </c>
      <c r="V195" s="86" t="s">
        <v>351</v>
      </c>
      <c r="W195" s="85"/>
      <c r="X195" s="85"/>
      <c r="Y195" s="151"/>
      <c r="Z195" s="86" t="s">
        <v>351</v>
      </c>
      <c r="AA195" s="85"/>
      <c r="AB195" s="85"/>
      <c r="AC195" s="151"/>
      <c r="AD195" t="s">
        <v>351</v>
      </c>
      <c r="AE195" s="85"/>
      <c r="AF195" s="85"/>
      <c r="AG195" s="151"/>
    </row>
    <row r="196" spans="1:33" x14ac:dyDescent="0.25">
      <c r="A196" s="84" t="s">
        <v>228</v>
      </c>
      <c r="B196" s="84">
        <v>1295101673</v>
      </c>
      <c r="C196" s="85"/>
      <c r="D196" s="85"/>
      <c r="E196" s="151"/>
      <c r="F196" s="86" t="s">
        <v>351</v>
      </c>
      <c r="G196" s="85"/>
      <c r="H196" s="85"/>
      <c r="I196" s="151"/>
      <c r="J196" s="86" t="s">
        <v>351</v>
      </c>
      <c r="K196" s="85"/>
      <c r="L196" s="85"/>
      <c r="M196" s="151"/>
      <c r="N196" s="86" t="s">
        <v>351</v>
      </c>
      <c r="O196" s="85"/>
      <c r="P196" s="85"/>
      <c r="Q196" s="151"/>
      <c r="R196" s="86" t="s">
        <v>351</v>
      </c>
      <c r="S196" s="85"/>
      <c r="T196" s="85"/>
      <c r="U196" s="151"/>
      <c r="V196" s="86" t="s">
        <v>351</v>
      </c>
      <c r="W196" s="85"/>
      <c r="X196" s="85"/>
      <c r="Y196" s="151"/>
      <c r="Z196" s="86" t="s">
        <v>351</v>
      </c>
      <c r="AA196" s="85"/>
      <c r="AB196" s="85"/>
      <c r="AC196" s="151"/>
      <c r="AD196" t="s">
        <v>351</v>
      </c>
      <c r="AE196" s="85"/>
      <c r="AF196" s="85"/>
      <c r="AG196" s="151"/>
    </row>
    <row r="197" spans="1:33" x14ac:dyDescent="0.25">
      <c r="A197" s="84" t="s">
        <v>229</v>
      </c>
      <c r="B197" s="84">
        <v>1760415434</v>
      </c>
      <c r="C197" s="85"/>
      <c r="D197" s="85"/>
      <c r="E197" s="151"/>
      <c r="F197" s="86" t="s">
        <v>351</v>
      </c>
      <c r="G197" s="85"/>
      <c r="H197" s="85"/>
      <c r="I197" s="151"/>
      <c r="J197" s="86" t="s">
        <v>351</v>
      </c>
      <c r="K197" s="85"/>
      <c r="L197" s="85"/>
      <c r="M197" s="151"/>
      <c r="N197" s="86" t="s">
        <v>351</v>
      </c>
      <c r="O197" s="85"/>
      <c r="P197" s="85"/>
      <c r="Q197" s="151"/>
      <c r="R197" s="86" t="s">
        <v>351</v>
      </c>
      <c r="S197" s="85"/>
      <c r="T197" s="85"/>
      <c r="U197" s="151"/>
      <c r="V197" s="86" t="s">
        <v>351</v>
      </c>
      <c r="W197" s="85"/>
      <c r="X197" s="85"/>
      <c r="Y197" s="151"/>
      <c r="Z197" s="86" t="s">
        <v>351</v>
      </c>
      <c r="AA197" s="85"/>
      <c r="AB197" s="85"/>
      <c r="AC197" s="151"/>
      <c r="AD197" t="s">
        <v>351</v>
      </c>
      <c r="AE197" s="85"/>
      <c r="AF197" s="85"/>
      <c r="AG197" s="151"/>
    </row>
    <row r="198" spans="1:33" x14ac:dyDescent="0.25">
      <c r="A198" s="84" t="s">
        <v>230</v>
      </c>
      <c r="B198" s="84">
        <v>1629494059</v>
      </c>
      <c r="C198" s="85">
        <v>3</v>
      </c>
      <c r="D198" s="85">
        <v>2020</v>
      </c>
      <c r="E198" s="151">
        <v>60508</v>
      </c>
      <c r="F198" s="86" t="s">
        <v>351</v>
      </c>
      <c r="G198" s="85">
        <v>3</v>
      </c>
      <c r="H198" s="85">
        <v>2021</v>
      </c>
      <c r="I198" s="151">
        <v>61303</v>
      </c>
      <c r="J198" s="86" t="s">
        <v>351</v>
      </c>
      <c r="K198" s="85">
        <v>3</v>
      </c>
      <c r="L198" s="85">
        <v>2022</v>
      </c>
      <c r="M198" s="151">
        <v>141251</v>
      </c>
      <c r="N198" s="86" t="s">
        <v>351</v>
      </c>
      <c r="O198" s="85">
        <v>3</v>
      </c>
      <c r="P198" s="85">
        <v>2023</v>
      </c>
      <c r="Q198" s="151">
        <v>68371</v>
      </c>
      <c r="R198" s="86" t="s">
        <v>351</v>
      </c>
      <c r="S198" s="85"/>
      <c r="T198" s="85"/>
      <c r="U198" s="151"/>
      <c r="V198" s="86" t="s">
        <v>351</v>
      </c>
      <c r="W198" s="85"/>
      <c r="X198" s="85"/>
      <c r="Y198" s="151"/>
      <c r="Z198" s="86" t="s">
        <v>351</v>
      </c>
      <c r="AA198" s="85"/>
      <c r="AB198" s="85"/>
      <c r="AC198" s="151"/>
      <c r="AD198" t="s">
        <v>351</v>
      </c>
      <c r="AE198" s="85"/>
      <c r="AF198" s="85"/>
      <c r="AG198" s="151" t="s">
        <v>596</v>
      </c>
    </row>
    <row r="199" spans="1:33" x14ac:dyDescent="0.25">
      <c r="A199" s="84" t="s">
        <v>231</v>
      </c>
      <c r="B199" s="84">
        <v>1467421024</v>
      </c>
      <c r="C199" s="85">
        <v>3</v>
      </c>
      <c r="D199" s="85">
        <v>2016</v>
      </c>
      <c r="E199" s="151">
        <v>112012</v>
      </c>
      <c r="F199" s="86" t="s">
        <v>351</v>
      </c>
      <c r="G199" s="85">
        <v>2</v>
      </c>
      <c r="H199" s="85">
        <v>2016</v>
      </c>
      <c r="I199" s="151">
        <v>15</v>
      </c>
      <c r="J199" s="86" t="s">
        <v>351</v>
      </c>
      <c r="K199" s="85">
        <v>3</v>
      </c>
      <c r="L199" s="85">
        <v>2017</v>
      </c>
      <c r="M199" s="151">
        <v>57584</v>
      </c>
      <c r="N199" s="86" t="s">
        <v>351</v>
      </c>
      <c r="O199" s="85">
        <v>3</v>
      </c>
      <c r="P199" s="85">
        <v>2018</v>
      </c>
      <c r="Q199" s="151">
        <v>51306</v>
      </c>
      <c r="R199" s="86" t="s">
        <v>351</v>
      </c>
      <c r="S199" s="85"/>
      <c r="T199" s="85"/>
      <c r="U199" s="151"/>
      <c r="V199" s="86" t="s">
        <v>351</v>
      </c>
      <c r="W199" s="85"/>
      <c r="X199" s="85"/>
      <c r="Y199" s="151"/>
      <c r="Z199" s="86" t="s">
        <v>351</v>
      </c>
      <c r="AA199" s="85"/>
      <c r="AB199" s="85"/>
      <c r="AC199" s="151"/>
      <c r="AD199" t="s">
        <v>351</v>
      </c>
      <c r="AE199" s="85"/>
      <c r="AF199" s="85"/>
      <c r="AG199" s="151"/>
    </row>
    <row r="200" spans="1:33" x14ac:dyDescent="0.25">
      <c r="A200" s="87" t="s">
        <v>232</v>
      </c>
      <c r="B200" s="84">
        <v>1447254149</v>
      </c>
      <c r="C200" s="85">
        <v>3</v>
      </c>
      <c r="D200" s="85">
        <v>2018</v>
      </c>
      <c r="E200" s="151">
        <v>85769</v>
      </c>
      <c r="F200" s="86" t="s">
        <v>351</v>
      </c>
      <c r="G200" s="85">
        <v>3</v>
      </c>
      <c r="H200" s="85">
        <v>2019</v>
      </c>
      <c r="I200" s="151">
        <v>205637</v>
      </c>
      <c r="J200" s="86" t="s">
        <v>351</v>
      </c>
      <c r="K200" s="85">
        <v>3</v>
      </c>
      <c r="L200" s="85">
        <v>2020</v>
      </c>
      <c r="M200" s="151">
        <v>1563570</v>
      </c>
      <c r="N200" s="86" t="s">
        <v>351</v>
      </c>
      <c r="O200" s="85">
        <v>3</v>
      </c>
      <c r="P200" s="85">
        <v>2021</v>
      </c>
      <c r="Q200" s="151">
        <v>226677</v>
      </c>
      <c r="R200" s="86" t="s">
        <v>351</v>
      </c>
      <c r="S200" s="85">
        <v>3</v>
      </c>
      <c r="T200" s="85">
        <v>2022</v>
      </c>
      <c r="U200" s="151">
        <v>196540</v>
      </c>
      <c r="V200" s="86" t="s">
        <v>351</v>
      </c>
      <c r="W200" s="85">
        <v>3</v>
      </c>
      <c r="X200" s="85">
        <v>2023</v>
      </c>
      <c r="Y200" s="151">
        <v>3068075</v>
      </c>
      <c r="Z200" s="86" t="s">
        <v>351</v>
      </c>
      <c r="AA200" s="85"/>
      <c r="AB200" s="85"/>
      <c r="AC200" s="151"/>
      <c r="AD200" t="s">
        <v>351</v>
      </c>
      <c r="AE200" s="85"/>
      <c r="AF200" s="85"/>
      <c r="AG200" s="151" t="s">
        <v>596</v>
      </c>
    </row>
    <row r="201" spans="1:33" x14ac:dyDescent="0.25">
      <c r="A201" s="87" t="s">
        <v>440</v>
      </c>
      <c r="B201" s="84">
        <v>1184174484</v>
      </c>
      <c r="C201" s="85">
        <v>3</v>
      </c>
      <c r="D201" s="85">
        <v>2017</v>
      </c>
      <c r="E201" s="151">
        <v>129330.52</v>
      </c>
      <c r="F201" s="86" t="s">
        <v>351</v>
      </c>
      <c r="G201" s="85">
        <v>3</v>
      </c>
      <c r="H201" s="85">
        <v>2019</v>
      </c>
      <c r="I201" s="151">
        <v>172200</v>
      </c>
      <c r="J201" s="86" t="s">
        <v>351</v>
      </c>
      <c r="K201" s="85">
        <v>3</v>
      </c>
      <c r="L201" s="85">
        <v>2020</v>
      </c>
      <c r="M201" s="151">
        <v>78742</v>
      </c>
      <c r="N201" s="86" t="s">
        <v>351</v>
      </c>
      <c r="O201" s="85">
        <v>3</v>
      </c>
      <c r="P201" s="85">
        <v>2021</v>
      </c>
      <c r="Q201" s="151">
        <v>125588</v>
      </c>
      <c r="R201" s="86" t="s">
        <v>351</v>
      </c>
      <c r="S201" s="85"/>
      <c r="T201" s="85"/>
      <c r="U201" s="151"/>
      <c r="V201" s="86" t="s">
        <v>351</v>
      </c>
      <c r="W201" s="85"/>
      <c r="X201" s="85"/>
      <c r="Y201" s="151"/>
      <c r="Z201" s="86" t="s">
        <v>351</v>
      </c>
      <c r="AA201" s="85"/>
      <c r="AB201" s="85"/>
      <c r="AC201" s="151"/>
      <c r="AD201" t="s">
        <v>351</v>
      </c>
      <c r="AE201" s="85"/>
      <c r="AF201" s="85"/>
      <c r="AG201" s="151"/>
    </row>
    <row r="202" spans="1:33" x14ac:dyDescent="0.25">
      <c r="A202" s="87" t="s">
        <v>441</v>
      </c>
      <c r="B202" s="84">
        <v>1457397952</v>
      </c>
      <c r="C202" s="85">
        <v>3</v>
      </c>
      <c r="D202" s="85">
        <v>2016</v>
      </c>
      <c r="E202" s="151">
        <v>132833</v>
      </c>
      <c r="F202" s="86" t="s">
        <v>351</v>
      </c>
      <c r="G202" s="85">
        <v>3</v>
      </c>
      <c r="H202" s="85">
        <v>2019</v>
      </c>
      <c r="I202" s="151">
        <v>127888</v>
      </c>
      <c r="J202" s="86" t="s">
        <v>351</v>
      </c>
      <c r="K202" s="85">
        <v>3</v>
      </c>
      <c r="L202" s="85">
        <v>2020</v>
      </c>
      <c r="M202" s="151">
        <v>101337</v>
      </c>
      <c r="N202" s="86" t="s">
        <v>351</v>
      </c>
      <c r="O202" s="85">
        <v>3</v>
      </c>
      <c r="P202" s="85">
        <v>2023</v>
      </c>
      <c r="Q202" s="151">
        <v>733159</v>
      </c>
      <c r="R202" s="86" t="s">
        <v>351</v>
      </c>
      <c r="S202" s="85"/>
      <c r="T202" s="85"/>
      <c r="U202" s="151"/>
      <c r="V202" s="86" t="s">
        <v>351</v>
      </c>
      <c r="W202" s="85"/>
      <c r="X202" s="85"/>
      <c r="Y202" s="151"/>
      <c r="Z202" s="86" t="s">
        <v>351</v>
      </c>
      <c r="AA202" s="85"/>
      <c r="AB202" s="85"/>
      <c r="AC202" s="151"/>
      <c r="AD202" t="s">
        <v>351</v>
      </c>
      <c r="AE202" s="85"/>
      <c r="AF202" s="85"/>
      <c r="AG202" s="151" t="s">
        <v>596</v>
      </c>
    </row>
    <row r="203" spans="1:33" x14ac:dyDescent="0.25">
      <c r="A203" s="84" t="s">
        <v>442</v>
      </c>
      <c r="B203" s="84">
        <v>1497058416</v>
      </c>
      <c r="C203" s="85">
        <v>3</v>
      </c>
      <c r="D203" s="85">
        <v>2016</v>
      </c>
      <c r="E203" s="151">
        <v>151765</v>
      </c>
      <c r="F203" s="86" t="s">
        <v>351</v>
      </c>
      <c r="G203" s="85">
        <v>3</v>
      </c>
      <c r="H203" s="85">
        <v>2017</v>
      </c>
      <c r="I203" s="151">
        <v>53371</v>
      </c>
      <c r="J203" s="86" t="s">
        <v>351</v>
      </c>
      <c r="K203" s="85">
        <v>3</v>
      </c>
      <c r="L203" s="85">
        <v>2018</v>
      </c>
      <c r="M203" s="151">
        <v>221004</v>
      </c>
      <c r="N203" s="86" t="s">
        <v>351</v>
      </c>
      <c r="O203" s="85">
        <v>3</v>
      </c>
      <c r="P203" s="85">
        <v>2019</v>
      </c>
      <c r="Q203" s="151">
        <v>373748</v>
      </c>
      <c r="R203" s="86" t="s">
        <v>351</v>
      </c>
      <c r="S203" s="85">
        <v>3</v>
      </c>
      <c r="T203" s="85">
        <v>2020</v>
      </c>
      <c r="U203" s="151">
        <v>197264</v>
      </c>
      <c r="V203" s="86" t="s">
        <v>351</v>
      </c>
      <c r="W203" s="85">
        <v>3</v>
      </c>
      <c r="X203" s="85">
        <v>2022</v>
      </c>
      <c r="Y203" s="151">
        <v>636288</v>
      </c>
      <c r="Z203" s="86" t="s">
        <v>351</v>
      </c>
      <c r="AA203" s="85">
        <v>3</v>
      </c>
      <c r="AB203" s="85">
        <v>2023</v>
      </c>
      <c r="AC203" s="151">
        <v>400104</v>
      </c>
      <c r="AD203" t="s">
        <v>351</v>
      </c>
      <c r="AE203" s="85"/>
      <c r="AF203" s="85"/>
      <c r="AG203" s="151" t="s">
        <v>596</v>
      </c>
    </row>
    <row r="204" spans="1:33" x14ac:dyDescent="0.25">
      <c r="A204" s="84" t="s">
        <v>443</v>
      </c>
      <c r="B204" s="84">
        <v>1235591918</v>
      </c>
      <c r="C204" s="85">
        <v>3</v>
      </c>
      <c r="D204" s="85">
        <v>2019</v>
      </c>
      <c r="E204" s="151">
        <v>67882</v>
      </c>
      <c r="F204" s="86" t="s">
        <v>351</v>
      </c>
      <c r="G204" s="85">
        <v>3</v>
      </c>
      <c r="H204" s="85">
        <v>2022</v>
      </c>
      <c r="I204" s="151">
        <v>80967</v>
      </c>
      <c r="J204" s="86" t="s">
        <v>351</v>
      </c>
      <c r="K204" s="85"/>
      <c r="L204" s="85"/>
      <c r="M204" s="151"/>
      <c r="N204" s="86" t="s">
        <v>351</v>
      </c>
      <c r="O204" s="85"/>
      <c r="P204" s="85"/>
      <c r="Q204" s="151"/>
      <c r="R204" s="86" t="s">
        <v>351</v>
      </c>
      <c r="S204" s="85"/>
      <c r="T204" s="85"/>
      <c r="U204" s="151"/>
      <c r="V204" s="86" t="s">
        <v>351</v>
      </c>
      <c r="W204" s="85"/>
      <c r="X204" s="85"/>
      <c r="Y204" s="151"/>
      <c r="Z204" s="86" t="s">
        <v>351</v>
      </c>
      <c r="AA204" s="85"/>
      <c r="AB204" s="85"/>
      <c r="AC204" s="151"/>
      <c r="AD204" t="s">
        <v>351</v>
      </c>
      <c r="AE204" s="85"/>
      <c r="AF204" s="85"/>
      <c r="AG204" s="151"/>
    </row>
    <row r="205" spans="1:33" x14ac:dyDescent="0.25">
      <c r="A205" s="84" t="s">
        <v>444</v>
      </c>
      <c r="B205" s="84">
        <v>1952337073</v>
      </c>
      <c r="C205" s="85">
        <v>3</v>
      </c>
      <c r="D205" s="85">
        <v>2021</v>
      </c>
      <c r="E205" s="151">
        <v>441628</v>
      </c>
      <c r="F205" s="86" t="s">
        <v>351</v>
      </c>
      <c r="G205" s="85">
        <v>3</v>
      </c>
      <c r="H205" s="85">
        <v>2023</v>
      </c>
      <c r="I205" s="151">
        <v>1288083</v>
      </c>
      <c r="J205" s="86" t="s">
        <v>351</v>
      </c>
      <c r="K205" s="85"/>
      <c r="L205" s="85"/>
      <c r="M205" s="151"/>
      <c r="N205" s="86" t="s">
        <v>351</v>
      </c>
      <c r="O205" s="85"/>
      <c r="P205" s="85"/>
      <c r="Q205" s="151"/>
      <c r="R205" s="86" t="s">
        <v>351</v>
      </c>
      <c r="S205" s="85"/>
      <c r="T205" s="85"/>
      <c r="U205" s="151"/>
      <c r="V205" s="86" t="s">
        <v>351</v>
      </c>
      <c r="W205" s="85"/>
      <c r="X205" s="85"/>
      <c r="Y205" s="151"/>
      <c r="Z205" s="86" t="s">
        <v>351</v>
      </c>
      <c r="AA205" s="85"/>
      <c r="AB205" s="85"/>
      <c r="AC205" s="151"/>
      <c r="AD205" t="s">
        <v>351</v>
      </c>
      <c r="AE205" s="85"/>
      <c r="AF205" s="85"/>
      <c r="AG205" s="151" t="s">
        <v>596</v>
      </c>
    </row>
    <row r="206" spans="1:33" x14ac:dyDescent="0.25">
      <c r="A206" s="84" t="s">
        <v>445</v>
      </c>
      <c r="B206" s="84">
        <v>1326074048</v>
      </c>
      <c r="C206" s="85">
        <v>3</v>
      </c>
      <c r="D206" s="85">
        <v>2017</v>
      </c>
      <c r="E206" s="151">
        <v>181261</v>
      </c>
      <c r="F206" s="86" t="s">
        <v>351</v>
      </c>
      <c r="G206" s="85">
        <v>3</v>
      </c>
      <c r="H206" s="85">
        <v>2019</v>
      </c>
      <c r="I206" s="151">
        <v>368375</v>
      </c>
      <c r="J206" s="86" t="s">
        <v>351</v>
      </c>
      <c r="K206" s="85">
        <v>3</v>
      </c>
      <c r="L206" s="85">
        <v>2021</v>
      </c>
      <c r="M206" s="151">
        <v>263328</v>
      </c>
      <c r="N206" s="86" t="s">
        <v>351</v>
      </c>
      <c r="O206" s="85">
        <v>3</v>
      </c>
      <c r="P206" s="85">
        <v>2022</v>
      </c>
      <c r="Q206" s="151">
        <v>297165.71000000002</v>
      </c>
      <c r="R206" s="86" t="s">
        <v>351</v>
      </c>
      <c r="S206" s="85">
        <v>3</v>
      </c>
      <c r="T206" s="85">
        <v>2023</v>
      </c>
      <c r="U206" s="151">
        <v>728482</v>
      </c>
      <c r="V206" s="86" t="s">
        <v>351</v>
      </c>
      <c r="W206" s="85"/>
      <c r="X206" s="85"/>
      <c r="Y206" s="151"/>
      <c r="Z206" s="86" t="s">
        <v>351</v>
      </c>
      <c r="AA206" s="85"/>
      <c r="AB206" s="85"/>
      <c r="AC206" s="151"/>
      <c r="AD206" t="s">
        <v>351</v>
      </c>
      <c r="AE206" s="85"/>
      <c r="AF206" s="85"/>
      <c r="AG206" s="151" t="s">
        <v>596</v>
      </c>
    </row>
    <row r="207" spans="1:33" x14ac:dyDescent="0.25">
      <c r="A207" s="84" t="s">
        <v>594</v>
      </c>
      <c r="B207" s="84">
        <v>1962505313</v>
      </c>
      <c r="C207" s="85"/>
      <c r="D207" s="85"/>
      <c r="E207" s="151"/>
      <c r="F207" s="86" t="s">
        <v>351</v>
      </c>
      <c r="G207" s="85"/>
      <c r="H207" s="85"/>
      <c r="I207" s="151"/>
      <c r="J207" s="86" t="s">
        <v>351</v>
      </c>
      <c r="K207" s="85"/>
      <c r="L207" s="85"/>
      <c r="M207" s="151"/>
      <c r="N207" s="86" t="s">
        <v>351</v>
      </c>
      <c r="O207" s="85"/>
      <c r="P207" s="85"/>
      <c r="Q207" s="151"/>
      <c r="R207" s="86" t="s">
        <v>351</v>
      </c>
      <c r="S207" s="85"/>
      <c r="T207" s="85"/>
      <c r="U207" s="151"/>
      <c r="V207" s="86" t="s">
        <v>351</v>
      </c>
      <c r="W207" s="85"/>
      <c r="X207" s="85"/>
      <c r="Y207" s="151"/>
      <c r="Z207" s="86" t="s">
        <v>351</v>
      </c>
      <c r="AA207" s="85"/>
      <c r="AB207" s="85"/>
      <c r="AC207" s="151"/>
      <c r="AD207" t="s">
        <v>351</v>
      </c>
      <c r="AE207" s="85"/>
      <c r="AF207" s="85"/>
      <c r="AG207" s="151"/>
    </row>
    <row r="208" spans="1:33" x14ac:dyDescent="0.25">
      <c r="A208" s="87" t="s">
        <v>233</v>
      </c>
      <c r="B208" s="84">
        <v>1720033475</v>
      </c>
      <c r="C208" s="85">
        <v>3</v>
      </c>
      <c r="D208" s="85">
        <v>2019</v>
      </c>
      <c r="E208" s="151">
        <v>152441</v>
      </c>
      <c r="F208" s="86" t="s">
        <v>351</v>
      </c>
      <c r="G208" s="85">
        <v>3</v>
      </c>
      <c r="H208" s="85">
        <v>2022</v>
      </c>
      <c r="I208" s="151">
        <v>786849</v>
      </c>
      <c r="J208" s="86" t="s">
        <v>351</v>
      </c>
      <c r="K208" s="85">
        <v>3</v>
      </c>
      <c r="L208" s="85">
        <v>2023</v>
      </c>
      <c r="M208" s="151">
        <v>497750</v>
      </c>
      <c r="N208" s="86" t="s">
        <v>351</v>
      </c>
      <c r="O208" s="85"/>
      <c r="P208" s="85"/>
      <c r="Q208" s="151"/>
      <c r="R208" s="86" t="s">
        <v>351</v>
      </c>
      <c r="S208" s="85"/>
      <c r="T208" s="85"/>
      <c r="U208" s="151"/>
      <c r="V208" s="86" t="s">
        <v>351</v>
      </c>
      <c r="W208" s="85"/>
      <c r="X208" s="85"/>
      <c r="Y208" s="151"/>
      <c r="Z208" s="86" t="s">
        <v>351</v>
      </c>
      <c r="AA208" s="85"/>
      <c r="AB208" s="85"/>
      <c r="AC208" s="151"/>
      <c r="AD208" t="s">
        <v>351</v>
      </c>
      <c r="AE208" s="85"/>
      <c r="AF208" s="85"/>
      <c r="AG208" s="151" t="s">
        <v>596</v>
      </c>
    </row>
    <row r="209" spans="1:33" x14ac:dyDescent="0.25">
      <c r="A209" s="87" t="s">
        <v>234</v>
      </c>
      <c r="B209" s="84">
        <v>1477641694</v>
      </c>
      <c r="C209" s="85"/>
      <c r="D209" s="85"/>
      <c r="E209" s="151"/>
      <c r="F209" s="86" t="s">
        <v>351</v>
      </c>
      <c r="G209" s="85"/>
      <c r="H209" s="85"/>
      <c r="I209" s="151"/>
      <c r="J209" s="86" t="s">
        <v>351</v>
      </c>
      <c r="K209" s="85"/>
      <c r="L209" s="85"/>
      <c r="M209" s="151"/>
      <c r="N209" s="86" t="s">
        <v>351</v>
      </c>
      <c r="O209" s="85"/>
      <c r="P209" s="85"/>
      <c r="Q209" s="151"/>
      <c r="R209" s="86" t="s">
        <v>351</v>
      </c>
      <c r="S209" s="85"/>
      <c r="T209" s="85"/>
      <c r="U209" s="151"/>
      <c r="V209" s="86" t="s">
        <v>351</v>
      </c>
      <c r="W209" s="85"/>
      <c r="X209" s="85"/>
      <c r="Y209" s="151"/>
      <c r="Z209" s="86" t="s">
        <v>351</v>
      </c>
      <c r="AA209" s="85"/>
      <c r="AB209" s="85"/>
      <c r="AC209" s="151"/>
      <c r="AD209" t="s">
        <v>351</v>
      </c>
      <c r="AE209" s="85"/>
      <c r="AF209" s="85"/>
      <c r="AG209" s="151"/>
    </row>
    <row r="210" spans="1:33" x14ac:dyDescent="0.25">
      <c r="A210" s="87" t="s">
        <v>446</v>
      </c>
      <c r="B210" s="84">
        <v>1790317840</v>
      </c>
      <c r="C210" s="85">
        <v>3</v>
      </c>
      <c r="D210" s="85">
        <v>2016</v>
      </c>
      <c r="E210" s="151">
        <v>149460</v>
      </c>
      <c r="F210" s="86" t="s">
        <v>351</v>
      </c>
      <c r="G210" s="85">
        <v>3</v>
      </c>
      <c r="H210" s="85">
        <v>2017</v>
      </c>
      <c r="I210" s="151">
        <v>92407</v>
      </c>
      <c r="J210" s="86" t="s">
        <v>351</v>
      </c>
      <c r="K210" s="85">
        <v>3</v>
      </c>
      <c r="L210" s="85">
        <v>2018</v>
      </c>
      <c r="M210" s="151">
        <v>171020</v>
      </c>
      <c r="N210" s="86" t="s">
        <v>351</v>
      </c>
      <c r="O210" s="85">
        <v>3</v>
      </c>
      <c r="P210" s="85">
        <v>2019</v>
      </c>
      <c r="Q210" s="151">
        <v>241158</v>
      </c>
      <c r="R210" s="86" t="s">
        <v>351</v>
      </c>
      <c r="S210" s="85">
        <v>3</v>
      </c>
      <c r="T210" s="85">
        <v>2022</v>
      </c>
      <c r="U210" s="151">
        <v>899693</v>
      </c>
      <c r="V210" s="86" t="s">
        <v>351</v>
      </c>
      <c r="W210" s="85">
        <v>3</v>
      </c>
      <c r="X210" s="85">
        <v>2023</v>
      </c>
      <c r="Y210" s="151">
        <v>444699</v>
      </c>
      <c r="Z210" s="86" t="s">
        <v>351</v>
      </c>
      <c r="AA210" s="85"/>
      <c r="AB210" s="85"/>
      <c r="AC210" s="151"/>
      <c r="AD210" t="s">
        <v>351</v>
      </c>
      <c r="AE210" s="85"/>
      <c r="AF210" s="85"/>
      <c r="AG210" s="151" t="s">
        <v>596</v>
      </c>
    </row>
    <row r="211" spans="1:33" x14ac:dyDescent="0.25">
      <c r="A211" s="87" t="s">
        <v>447</v>
      </c>
      <c r="B211" s="84">
        <v>1336565779</v>
      </c>
      <c r="C211" s="85">
        <v>3</v>
      </c>
      <c r="D211" s="85">
        <v>2019</v>
      </c>
      <c r="E211" s="151">
        <v>77563</v>
      </c>
      <c r="F211" s="86" t="s">
        <v>351</v>
      </c>
      <c r="G211" s="85">
        <v>3</v>
      </c>
      <c r="H211" s="85">
        <v>2020</v>
      </c>
      <c r="I211" s="151">
        <v>132596</v>
      </c>
      <c r="J211" s="86" t="s">
        <v>351</v>
      </c>
      <c r="K211" s="85">
        <v>3</v>
      </c>
      <c r="L211" s="85">
        <v>2021</v>
      </c>
      <c r="M211" s="151">
        <v>109124</v>
      </c>
      <c r="N211" s="86" t="s">
        <v>351</v>
      </c>
      <c r="O211" s="85">
        <v>3</v>
      </c>
      <c r="P211" s="85">
        <v>2022</v>
      </c>
      <c r="Q211" s="151">
        <v>463994</v>
      </c>
      <c r="R211" s="86" t="s">
        <v>351</v>
      </c>
      <c r="S211" s="85">
        <v>3</v>
      </c>
      <c r="T211" s="85">
        <v>2023</v>
      </c>
      <c r="U211" s="151">
        <v>137366</v>
      </c>
      <c r="V211" s="86" t="s">
        <v>351</v>
      </c>
      <c r="W211" s="85"/>
      <c r="X211" s="85"/>
      <c r="Y211" s="151"/>
      <c r="Z211" s="86" t="s">
        <v>351</v>
      </c>
      <c r="AA211" s="85"/>
      <c r="AB211" s="85"/>
      <c r="AC211" s="151"/>
      <c r="AD211" t="s">
        <v>351</v>
      </c>
      <c r="AE211" s="85"/>
      <c r="AF211" s="85"/>
      <c r="AG211" s="151" t="s">
        <v>596</v>
      </c>
    </row>
    <row r="212" spans="1:33" x14ac:dyDescent="0.25">
      <c r="A212" s="87" t="s">
        <v>448</v>
      </c>
      <c r="B212" s="84">
        <v>1649224056</v>
      </c>
      <c r="C212" s="85">
        <v>3</v>
      </c>
      <c r="D212" s="85">
        <v>2017</v>
      </c>
      <c r="E212" s="151">
        <v>155323</v>
      </c>
      <c r="F212" s="86" t="s">
        <v>351</v>
      </c>
      <c r="G212" s="85">
        <v>3</v>
      </c>
      <c r="H212" s="85">
        <v>2020</v>
      </c>
      <c r="I212" s="151">
        <v>286440</v>
      </c>
      <c r="J212" s="86" t="s">
        <v>351</v>
      </c>
      <c r="K212" s="85">
        <v>3</v>
      </c>
      <c r="L212" s="85">
        <v>2021</v>
      </c>
      <c r="M212" s="151">
        <v>110986</v>
      </c>
      <c r="N212" s="86" t="s">
        <v>351</v>
      </c>
      <c r="O212" s="85">
        <v>3</v>
      </c>
      <c r="P212" s="85">
        <v>2022</v>
      </c>
      <c r="Q212" s="151">
        <v>150374</v>
      </c>
      <c r="R212" s="86" t="s">
        <v>351</v>
      </c>
      <c r="S212" s="85">
        <v>3</v>
      </c>
      <c r="T212" s="85">
        <v>2023</v>
      </c>
      <c r="U212" s="151">
        <v>140297</v>
      </c>
      <c r="V212" s="86" t="s">
        <v>351</v>
      </c>
      <c r="W212" s="85"/>
      <c r="X212" s="85"/>
      <c r="Y212" s="151"/>
      <c r="Z212" s="86" t="s">
        <v>351</v>
      </c>
      <c r="AA212" s="85"/>
      <c r="AB212" s="85"/>
      <c r="AC212" s="151"/>
      <c r="AD212" t="s">
        <v>351</v>
      </c>
      <c r="AE212" s="85"/>
      <c r="AF212" s="85"/>
      <c r="AG212" s="151" t="s">
        <v>596</v>
      </c>
    </row>
    <row r="213" spans="1:33" x14ac:dyDescent="0.25">
      <c r="A213" s="84" t="s">
        <v>235</v>
      </c>
      <c r="B213" s="84">
        <v>1831197714</v>
      </c>
      <c r="C213" s="85">
        <v>3</v>
      </c>
      <c r="D213" s="85">
        <v>2016</v>
      </c>
      <c r="E213" s="151">
        <v>59110</v>
      </c>
      <c r="F213" s="86" t="s">
        <v>351</v>
      </c>
      <c r="G213" s="85">
        <v>3</v>
      </c>
      <c r="H213" s="85">
        <v>2019</v>
      </c>
      <c r="I213" s="151">
        <v>69478</v>
      </c>
      <c r="J213" s="86" t="s">
        <v>351</v>
      </c>
      <c r="K213" s="85" t="s">
        <v>596</v>
      </c>
      <c r="L213" s="85" t="s">
        <v>596</v>
      </c>
      <c r="M213" s="151"/>
      <c r="N213" s="86" t="s">
        <v>351</v>
      </c>
      <c r="O213" s="85"/>
      <c r="P213" s="85"/>
      <c r="Q213" s="151"/>
      <c r="R213" s="86" t="s">
        <v>351</v>
      </c>
      <c r="S213" s="85"/>
      <c r="T213" s="85"/>
      <c r="U213" s="151"/>
      <c r="V213" s="86" t="s">
        <v>351</v>
      </c>
      <c r="W213" s="85"/>
      <c r="X213" s="85"/>
      <c r="Y213" s="151"/>
      <c r="Z213" s="86" t="s">
        <v>351</v>
      </c>
      <c r="AA213" s="85"/>
      <c r="AB213" s="85"/>
      <c r="AC213" s="151"/>
      <c r="AD213" t="s">
        <v>351</v>
      </c>
      <c r="AE213" s="85"/>
      <c r="AF213" s="85"/>
      <c r="AG213" s="151"/>
    </row>
    <row r="214" spans="1:33" x14ac:dyDescent="0.25">
      <c r="A214" s="87" t="s">
        <v>236</v>
      </c>
      <c r="B214" s="84">
        <v>1952396509</v>
      </c>
      <c r="C214" s="85"/>
      <c r="D214" s="85"/>
      <c r="E214" s="151"/>
      <c r="F214" s="86" t="s">
        <v>351</v>
      </c>
      <c r="G214" s="85"/>
      <c r="H214" s="85"/>
      <c r="I214" s="151"/>
      <c r="J214" s="86" t="s">
        <v>351</v>
      </c>
      <c r="K214" s="85"/>
      <c r="L214" s="85"/>
      <c r="M214" s="151"/>
      <c r="N214" s="86" t="s">
        <v>351</v>
      </c>
      <c r="O214" s="85"/>
      <c r="P214" s="85"/>
      <c r="Q214" s="151"/>
      <c r="R214" s="86" t="s">
        <v>351</v>
      </c>
      <c r="S214" s="85"/>
      <c r="T214" s="85"/>
      <c r="U214" s="151"/>
      <c r="V214" s="86" t="s">
        <v>351</v>
      </c>
      <c r="W214" s="85"/>
      <c r="X214" s="85"/>
      <c r="Y214" s="151"/>
      <c r="Z214" s="86" t="s">
        <v>351</v>
      </c>
      <c r="AA214" s="85"/>
      <c r="AB214" s="85"/>
      <c r="AC214" s="151"/>
      <c r="AD214" t="s">
        <v>351</v>
      </c>
      <c r="AE214" s="85"/>
      <c r="AF214" s="85"/>
      <c r="AG214" s="151"/>
    </row>
    <row r="215" spans="1:33" x14ac:dyDescent="0.25">
      <c r="A215" s="87" t="s">
        <v>237</v>
      </c>
      <c r="B215" s="84">
        <v>1396754875</v>
      </c>
      <c r="C215" s="85">
        <v>3</v>
      </c>
      <c r="D215" s="85">
        <v>2016</v>
      </c>
      <c r="E215" s="151">
        <v>85239</v>
      </c>
      <c r="F215" s="86" t="s">
        <v>351</v>
      </c>
      <c r="G215" s="85">
        <v>3</v>
      </c>
      <c r="H215" s="85">
        <v>2017</v>
      </c>
      <c r="I215" s="151">
        <v>45401</v>
      </c>
      <c r="J215" s="86" t="s">
        <v>351</v>
      </c>
      <c r="K215" s="85">
        <v>3</v>
      </c>
      <c r="L215" s="85">
        <v>2018</v>
      </c>
      <c r="M215" s="151">
        <v>1738602</v>
      </c>
      <c r="N215" s="86" t="s">
        <v>351</v>
      </c>
      <c r="O215" s="85">
        <v>3</v>
      </c>
      <c r="P215" s="85">
        <v>2019</v>
      </c>
      <c r="Q215" s="151">
        <v>144401</v>
      </c>
      <c r="R215" s="86" t="s">
        <v>351</v>
      </c>
      <c r="S215" s="85">
        <v>3</v>
      </c>
      <c r="T215" s="85">
        <v>2021</v>
      </c>
      <c r="U215" s="151">
        <v>90001</v>
      </c>
      <c r="V215" s="86" t="s">
        <v>351</v>
      </c>
      <c r="W215" s="85">
        <v>3</v>
      </c>
      <c r="X215" s="85">
        <v>2022</v>
      </c>
      <c r="Y215" s="151">
        <v>167340.45000000001</v>
      </c>
      <c r="Z215" s="86" t="s">
        <v>351</v>
      </c>
      <c r="AA215" s="85">
        <v>3</v>
      </c>
      <c r="AB215" s="85">
        <v>2023</v>
      </c>
      <c r="AC215" s="151">
        <v>228139</v>
      </c>
      <c r="AD215" t="s">
        <v>351</v>
      </c>
      <c r="AE215" s="85"/>
      <c r="AF215" s="85"/>
      <c r="AG215" s="151"/>
    </row>
    <row r="216" spans="1:33" x14ac:dyDescent="0.25">
      <c r="A216" s="95" t="s">
        <v>449</v>
      </c>
      <c r="B216" s="84">
        <v>1952486771</v>
      </c>
      <c r="C216" s="85">
        <v>3</v>
      </c>
      <c r="D216" s="85">
        <v>2018</v>
      </c>
      <c r="E216" s="151">
        <v>74899</v>
      </c>
      <c r="F216" s="86" t="s">
        <v>351</v>
      </c>
      <c r="G216" s="85">
        <v>2</v>
      </c>
      <c r="H216" s="85">
        <v>2020</v>
      </c>
      <c r="I216" s="151">
        <v>134</v>
      </c>
      <c r="J216" s="86" t="s">
        <v>351</v>
      </c>
      <c r="K216" s="85"/>
      <c r="L216" s="85"/>
      <c r="M216" s="151"/>
      <c r="N216" s="86" t="s">
        <v>351</v>
      </c>
      <c r="O216" s="85"/>
      <c r="P216" s="85"/>
      <c r="Q216" s="151"/>
      <c r="R216" s="86" t="s">
        <v>351</v>
      </c>
      <c r="S216" s="85"/>
      <c r="T216" s="85"/>
      <c r="U216" s="151"/>
      <c r="V216" s="86" t="s">
        <v>351</v>
      </c>
      <c r="W216" s="85"/>
      <c r="X216" s="85"/>
      <c r="Y216" s="151"/>
      <c r="Z216" s="86" t="s">
        <v>351</v>
      </c>
      <c r="AA216" s="85"/>
      <c r="AB216" s="85"/>
      <c r="AC216" s="151"/>
      <c r="AD216" t="s">
        <v>351</v>
      </c>
      <c r="AE216" s="85"/>
      <c r="AF216" s="85"/>
      <c r="AG216" s="151"/>
    </row>
    <row r="217" spans="1:33" x14ac:dyDescent="0.25">
      <c r="A217" s="87" t="s">
        <v>450</v>
      </c>
      <c r="B217" s="84">
        <v>1396771515</v>
      </c>
      <c r="C217" s="85">
        <v>3</v>
      </c>
      <c r="D217" s="85">
        <v>2016</v>
      </c>
      <c r="E217" s="151">
        <v>289221</v>
      </c>
      <c r="F217" s="86" t="s">
        <v>351</v>
      </c>
      <c r="G217" s="85">
        <v>3</v>
      </c>
      <c r="H217" s="85">
        <v>2018</v>
      </c>
      <c r="I217" s="151">
        <v>326573</v>
      </c>
      <c r="J217" s="86" t="s">
        <v>351</v>
      </c>
      <c r="K217" s="85">
        <v>3</v>
      </c>
      <c r="L217" s="85">
        <v>2019</v>
      </c>
      <c r="M217" s="151">
        <v>194745</v>
      </c>
      <c r="N217" s="86" t="s">
        <v>351</v>
      </c>
      <c r="O217" s="85">
        <v>3</v>
      </c>
      <c r="P217" s="85">
        <v>2021</v>
      </c>
      <c r="Q217" s="151">
        <v>112046</v>
      </c>
      <c r="R217" s="86" t="s">
        <v>351</v>
      </c>
      <c r="S217" s="85">
        <v>3</v>
      </c>
      <c r="T217" s="85">
        <v>2022</v>
      </c>
      <c r="U217" s="151">
        <v>102021</v>
      </c>
      <c r="V217" s="86" t="s">
        <v>351</v>
      </c>
      <c r="W217" s="85"/>
      <c r="X217" s="85"/>
      <c r="Y217" s="151"/>
      <c r="Z217" s="86" t="s">
        <v>351</v>
      </c>
      <c r="AA217" s="85"/>
      <c r="AB217" s="85"/>
      <c r="AC217" s="151"/>
      <c r="AD217" t="s">
        <v>351</v>
      </c>
      <c r="AE217" s="85"/>
      <c r="AF217" s="85"/>
      <c r="AG217" s="151"/>
    </row>
    <row r="218" spans="1:33" x14ac:dyDescent="0.25">
      <c r="A218" s="84" t="s">
        <v>238</v>
      </c>
      <c r="B218" s="84">
        <v>1932107547</v>
      </c>
      <c r="C218" s="85"/>
      <c r="D218" s="85"/>
      <c r="E218" s="151"/>
      <c r="F218" s="86" t="s">
        <v>351</v>
      </c>
      <c r="G218" s="85"/>
      <c r="H218" s="85"/>
      <c r="I218" s="151"/>
      <c r="J218" s="86" t="s">
        <v>351</v>
      </c>
      <c r="K218" s="85"/>
      <c r="L218" s="85"/>
      <c r="M218" s="151"/>
      <c r="N218" s="86" t="s">
        <v>351</v>
      </c>
      <c r="O218" s="85"/>
      <c r="P218" s="85"/>
      <c r="Q218" s="151"/>
      <c r="R218" s="86" t="s">
        <v>351</v>
      </c>
      <c r="S218" s="85"/>
      <c r="T218" s="85"/>
      <c r="U218" s="151"/>
      <c r="V218" s="86" t="s">
        <v>351</v>
      </c>
      <c r="W218" s="85"/>
      <c r="X218" s="85"/>
      <c r="Y218" s="151"/>
      <c r="Z218" s="86" t="s">
        <v>351</v>
      </c>
      <c r="AA218" s="85"/>
      <c r="AB218" s="85"/>
      <c r="AC218" s="151"/>
      <c r="AD218" t="s">
        <v>351</v>
      </c>
      <c r="AE218" s="85"/>
      <c r="AF218" s="85"/>
      <c r="AG218" s="151"/>
    </row>
    <row r="219" spans="1:33" x14ac:dyDescent="0.25">
      <c r="A219" s="87" t="s">
        <v>451</v>
      </c>
      <c r="B219" s="84">
        <v>1013951896</v>
      </c>
      <c r="C219" s="85">
        <v>3</v>
      </c>
      <c r="D219" s="85">
        <v>2021</v>
      </c>
      <c r="E219" s="151">
        <v>70708</v>
      </c>
      <c r="F219" s="86" t="s">
        <v>351</v>
      </c>
      <c r="G219" s="85">
        <v>3</v>
      </c>
      <c r="H219" s="85">
        <v>2022</v>
      </c>
      <c r="I219" s="151">
        <v>70115</v>
      </c>
      <c r="J219" s="86" t="s">
        <v>351</v>
      </c>
      <c r="K219" s="85"/>
      <c r="L219" s="85"/>
      <c r="M219" s="151"/>
      <c r="N219" s="86" t="s">
        <v>351</v>
      </c>
      <c r="O219" s="85"/>
      <c r="P219" s="85"/>
      <c r="Q219" s="151"/>
      <c r="R219" s="86" t="s">
        <v>351</v>
      </c>
      <c r="S219" s="85"/>
      <c r="T219" s="85"/>
      <c r="U219" s="151"/>
      <c r="V219" s="86" t="s">
        <v>351</v>
      </c>
      <c r="W219" s="85"/>
      <c r="X219" s="85"/>
      <c r="Y219" s="151"/>
      <c r="Z219" s="86" t="s">
        <v>351</v>
      </c>
      <c r="AA219" s="85"/>
      <c r="AB219" s="85"/>
      <c r="AC219" s="151"/>
      <c r="AD219" t="s">
        <v>351</v>
      </c>
      <c r="AE219" s="85"/>
      <c r="AF219" s="85"/>
      <c r="AG219" s="151"/>
    </row>
    <row r="220" spans="1:33" x14ac:dyDescent="0.25">
      <c r="A220" s="87" t="s">
        <v>452</v>
      </c>
      <c r="B220" s="84">
        <v>1477146959</v>
      </c>
      <c r="C220" s="85">
        <v>3</v>
      </c>
      <c r="D220" s="85">
        <v>2020</v>
      </c>
      <c r="E220" s="151">
        <v>93952</v>
      </c>
      <c r="F220" s="86" t="s">
        <v>351</v>
      </c>
      <c r="G220" s="85">
        <v>3</v>
      </c>
      <c r="H220" s="85">
        <v>2022</v>
      </c>
      <c r="I220" s="151">
        <v>614030</v>
      </c>
      <c r="J220" s="86" t="s">
        <v>351</v>
      </c>
      <c r="K220" s="85">
        <v>3</v>
      </c>
      <c r="L220" s="85">
        <v>2023</v>
      </c>
      <c r="M220" s="151">
        <v>85780</v>
      </c>
      <c r="N220" s="86" t="s">
        <v>351</v>
      </c>
      <c r="O220" s="85"/>
      <c r="P220" s="85"/>
      <c r="Q220" s="151"/>
      <c r="R220" s="86" t="s">
        <v>351</v>
      </c>
      <c r="S220" s="85"/>
      <c r="T220" s="85"/>
      <c r="U220" s="151"/>
      <c r="V220" s="86" t="s">
        <v>351</v>
      </c>
      <c r="W220" s="85"/>
      <c r="X220" s="85"/>
      <c r="Y220" s="151"/>
      <c r="Z220" s="86" t="s">
        <v>351</v>
      </c>
      <c r="AA220" s="85"/>
      <c r="AB220" s="85"/>
      <c r="AC220" s="151"/>
      <c r="AD220" t="s">
        <v>351</v>
      </c>
      <c r="AE220" s="85"/>
      <c r="AF220" s="85"/>
      <c r="AG220" s="151" t="s">
        <v>596</v>
      </c>
    </row>
    <row r="221" spans="1:33" x14ac:dyDescent="0.25">
      <c r="A221" s="84" t="s">
        <v>239</v>
      </c>
      <c r="B221" s="84">
        <v>1093754459</v>
      </c>
      <c r="C221" s="85">
        <v>3</v>
      </c>
      <c r="D221" s="85">
        <v>2017</v>
      </c>
      <c r="E221" s="151">
        <v>155246</v>
      </c>
      <c r="F221" s="86" t="s">
        <v>351</v>
      </c>
      <c r="G221" s="85">
        <v>3</v>
      </c>
      <c r="H221" s="85">
        <v>2021</v>
      </c>
      <c r="I221" s="151">
        <v>43449</v>
      </c>
      <c r="J221" s="86" t="s">
        <v>351</v>
      </c>
      <c r="K221" s="85">
        <v>3</v>
      </c>
      <c r="L221" s="85">
        <v>2022</v>
      </c>
      <c r="M221" s="151">
        <v>36260</v>
      </c>
      <c r="N221" s="86" t="s">
        <v>351</v>
      </c>
      <c r="O221" s="85">
        <v>3</v>
      </c>
      <c r="P221" s="85">
        <v>2023</v>
      </c>
      <c r="Q221" s="151">
        <v>52317</v>
      </c>
      <c r="R221" s="86" t="s">
        <v>351</v>
      </c>
      <c r="S221" s="85"/>
      <c r="T221" s="85"/>
      <c r="U221" s="151"/>
      <c r="V221" s="86" t="s">
        <v>351</v>
      </c>
      <c r="W221" s="85"/>
      <c r="X221" s="85"/>
      <c r="Y221" s="151"/>
      <c r="Z221" s="86" t="s">
        <v>351</v>
      </c>
      <c r="AA221" s="85"/>
      <c r="AB221" s="85"/>
      <c r="AC221" s="151"/>
      <c r="AD221" t="s">
        <v>351</v>
      </c>
      <c r="AE221" s="85"/>
      <c r="AF221" s="85"/>
      <c r="AG221" s="151" t="s">
        <v>596</v>
      </c>
    </row>
    <row r="222" spans="1:33" x14ac:dyDescent="0.25">
      <c r="A222" s="87" t="s">
        <v>661</v>
      </c>
      <c r="B222" s="84">
        <v>1861521635</v>
      </c>
      <c r="C222" s="85">
        <v>3</v>
      </c>
      <c r="D222" s="85">
        <v>2016</v>
      </c>
      <c r="E222" s="151">
        <v>58696</v>
      </c>
      <c r="F222" s="86" t="s">
        <v>351</v>
      </c>
      <c r="G222" s="85">
        <v>3</v>
      </c>
      <c r="H222" s="85">
        <v>2018</v>
      </c>
      <c r="I222" s="151">
        <v>78827</v>
      </c>
      <c r="J222" s="86" t="s">
        <v>351</v>
      </c>
      <c r="K222" s="85">
        <v>3</v>
      </c>
      <c r="L222" s="85">
        <v>2020</v>
      </c>
      <c r="M222" s="151">
        <v>73203</v>
      </c>
      <c r="N222" s="86" t="s">
        <v>351</v>
      </c>
      <c r="O222" s="85">
        <v>3</v>
      </c>
      <c r="P222" s="85">
        <v>2022</v>
      </c>
      <c r="Q222" s="151">
        <v>63955</v>
      </c>
      <c r="R222" s="86" t="s">
        <v>351</v>
      </c>
      <c r="S222" s="85">
        <v>3</v>
      </c>
      <c r="T222" s="85">
        <v>2023</v>
      </c>
      <c r="U222" s="151">
        <v>119708</v>
      </c>
      <c r="V222" s="86" t="s">
        <v>351</v>
      </c>
      <c r="W222" s="85"/>
      <c r="X222" s="85"/>
      <c r="Y222" s="151"/>
      <c r="Z222" s="86" t="s">
        <v>351</v>
      </c>
      <c r="AA222" s="85"/>
      <c r="AB222" s="85"/>
      <c r="AC222" s="151"/>
      <c r="AD222" t="s">
        <v>351</v>
      </c>
      <c r="AE222" s="85"/>
      <c r="AF222" s="85"/>
      <c r="AG222" s="151" t="s">
        <v>596</v>
      </c>
    </row>
    <row r="223" spans="1:33" x14ac:dyDescent="0.25">
      <c r="A223" s="84" t="s">
        <v>240</v>
      </c>
      <c r="B223" s="84">
        <v>1558391250</v>
      </c>
      <c r="C223" s="85">
        <v>3</v>
      </c>
      <c r="D223" s="85">
        <v>2021</v>
      </c>
      <c r="E223" s="151">
        <v>218151</v>
      </c>
      <c r="F223" s="86" t="s">
        <v>351</v>
      </c>
      <c r="G223" s="85">
        <v>3</v>
      </c>
      <c r="H223" s="85">
        <v>2022</v>
      </c>
      <c r="I223" s="151">
        <v>64990</v>
      </c>
      <c r="J223" s="86" t="s">
        <v>351</v>
      </c>
      <c r="K223" s="85"/>
      <c r="L223" s="85"/>
      <c r="M223" s="151"/>
      <c r="N223" s="86" t="s">
        <v>351</v>
      </c>
      <c r="O223" s="85"/>
      <c r="P223" s="85"/>
      <c r="Q223" s="151"/>
      <c r="R223" s="86" t="s">
        <v>351</v>
      </c>
      <c r="S223" s="85"/>
      <c r="T223" s="85"/>
      <c r="U223" s="151"/>
      <c r="V223" s="86" t="s">
        <v>351</v>
      </c>
      <c r="W223" s="85"/>
      <c r="X223" s="85"/>
      <c r="Y223" s="151"/>
      <c r="Z223" s="86" t="s">
        <v>351</v>
      </c>
      <c r="AA223" s="85"/>
      <c r="AB223" s="85"/>
      <c r="AC223" s="151"/>
      <c r="AD223" t="s">
        <v>351</v>
      </c>
      <c r="AE223" s="85"/>
      <c r="AF223" s="85"/>
      <c r="AG223" s="151"/>
    </row>
    <row r="224" spans="1:33" x14ac:dyDescent="0.25">
      <c r="A224" s="87" t="s">
        <v>453</v>
      </c>
      <c r="B224" s="84">
        <v>1033611959</v>
      </c>
      <c r="C224" s="85">
        <v>2</v>
      </c>
      <c r="D224" s="85">
        <v>2018</v>
      </c>
      <c r="E224" s="151">
        <v>133</v>
      </c>
      <c r="F224" s="86" t="s">
        <v>351</v>
      </c>
      <c r="G224" s="85">
        <v>3</v>
      </c>
      <c r="H224" s="85">
        <v>2021</v>
      </c>
      <c r="I224" s="151">
        <v>67373</v>
      </c>
      <c r="J224" s="86" t="s">
        <v>351</v>
      </c>
      <c r="K224" s="85"/>
      <c r="L224" s="85"/>
      <c r="M224" s="151"/>
      <c r="N224" s="86" t="s">
        <v>351</v>
      </c>
      <c r="O224" s="85"/>
      <c r="P224" s="85"/>
      <c r="Q224" s="151"/>
      <c r="R224" s="86" t="s">
        <v>351</v>
      </c>
      <c r="S224" s="85"/>
      <c r="T224" s="85"/>
      <c r="U224" s="151"/>
      <c r="V224" s="86" t="s">
        <v>351</v>
      </c>
      <c r="W224" s="85"/>
      <c r="X224" s="85"/>
      <c r="Y224" s="151"/>
      <c r="Z224" s="86" t="s">
        <v>351</v>
      </c>
      <c r="AA224" s="85"/>
      <c r="AB224" s="85"/>
      <c r="AC224" s="151"/>
      <c r="AD224" t="s">
        <v>351</v>
      </c>
      <c r="AE224" s="85"/>
      <c r="AF224" s="85"/>
      <c r="AG224" s="151"/>
    </row>
    <row r="225" spans="1:33" x14ac:dyDescent="0.25">
      <c r="A225" s="91" t="s">
        <v>798</v>
      </c>
      <c r="B225" s="84">
        <v>1962832899</v>
      </c>
      <c r="C225" s="85">
        <v>3</v>
      </c>
      <c r="D225" s="85">
        <v>2019</v>
      </c>
      <c r="E225" s="151">
        <v>85094</v>
      </c>
      <c r="F225" s="86"/>
      <c r="G225" s="85">
        <v>3</v>
      </c>
      <c r="H225" s="85">
        <v>2020</v>
      </c>
      <c r="I225" s="151">
        <v>104460</v>
      </c>
      <c r="J225" s="86"/>
      <c r="K225" s="85">
        <v>1</v>
      </c>
      <c r="L225" s="85">
        <v>2021</v>
      </c>
      <c r="M225" s="151">
        <v>-12</v>
      </c>
      <c r="N225" s="86"/>
      <c r="O225" s="85"/>
      <c r="P225" s="85"/>
      <c r="Q225" s="151"/>
      <c r="R225" s="86"/>
      <c r="S225" s="85"/>
      <c r="T225" s="85"/>
      <c r="U225" s="151"/>
      <c r="V225" s="86"/>
      <c r="W225" s="85"/>
      <c r="X225" s="85"/>
      <c r="Y225" s="151"/>
      <c r="Z225" s="86"/>
      <c r="AA225" s="85"/>
      <c r="AB225" s="85"/>
      <c r="AC225" s="151"/>
      <c r="AE225" s="85"/>
      <c r="AF225" s="85"/>
      <c r="AG225" s="151"/>
    </row>
    <row r="226" spans="1:33" x14ac:dyDescent="0.25">
      <c r="A226" s="87" t="s">
        <v>241</v>
      </c>
      <c r="B226" s="84">
        <v>1336612530</v>
      </c>
      <c r="C226" s="85">
        <v>3</v>
      </c>
      <c r="D226" s="85">
        <v>2016</v>
      </c>
      <c r="E226" s="151">
        <v>185332</v>
      </c>
      <c r="F226" s="86" t="s">
        <v>351</v>
      </c>
      <c r="G226" s="85">
        <v>3</v>
      </c>
      <c r="H226" s="85">
        <v>2017</v>
      </c>
      <c r="I226" s="151">
        <v>65641</v>
      </c>
      <c r="J226" s="86" t="s">
        <v>351</v>
      </c>
      <c r="K226" s="85">
        <v>3</v>
      </c>
      <c r="L226" s="85">
        <v>2023</v>
      </c>
      <c r="M226" s="151">
        <v>189652</v>
      </c>
      <c r="N226" s="86" t="s">
        <v>351</v>
      </c>
      <c r="O226" s="85"/>
      <c r="P226" s="85"/>
      <c r="Q226" s="151"/>
      <c r="R226" s="86" t="s">
        <v>351</v>
      </c>
      <c r="S226" s="85"/>
      <c r="T226" s="85"/>
      <c r="U226" s="151"/>
      <c r="V226" s="86" t="s">
        <v>351</v>
      </c>
      <c r="W226" s="85"/>
      <c r="X226" s="85"/>
      <c r="Y226" s="151"/>
      <c r="Z226" s="86" t="s">
        <v>351</v>
      </c>
      <c r="AA226" s="85"/>
      <c r="AB226" s="85"/>
      <c r="AC226" s="151"/>
      <c r="AD226" t="s">
        <v>351</v>
      </c>
      <c r="AE226" s="85"/>
      <c r="AF226" s="85"/>
      <c r="AG226" s="151" t="s">
        <v>596</v>
      </c>
    </row>
    <row r="227" spans="1:33" x14ac:dyDescent="0.25">
      <c r="A227" s="84" t="s">
        <v>242</v>
      </c>
      <c r="B227" s="84">
        <v>1427248905</v>
      </c>
      <c r="C227" s="85"/>
      <c r="D227" s="85"/>
      <c r="E227" s="151"/>
      <c r="F227" s="86" t="s">
        <v>351</v>
      </c>
      <c r="G227" s="85"/>
      <c r="H227" s="85"/>
      <c r="I227" s="151"/>
      <c r="J227" s="86" t="s">
        <v>351</v>
      </c>
      <c r="K227" s="85"/>
      <c r="L227" s="85"/>
      <c r="M227" s="151"/>
      <c r="N227" s="86" t="s">
        <v>351</v>
      </c>
      <c r="O227" s="85"/>
      <c r="P227" s="85"/>
      <c r="Q227" s="151"/>
      <c r="R227" s="86" t="s">
        <v>351</v>
      </c>
      <c r="S227" s="85"/>
      <c r="T227" s="85"/>
      <c r="U227" s="151"/>
      <c r="V227" s="86" t="s">
        <v>351</v>
      </c>
      <c r="W227" s="85"/>
      <c r="X227" s="85"/>
      <c r="Y227" s="151"/>
      <c r="Z227" s="86" t="s">
        <v>351</v>
      </c>
      <c r="AA227" s="85"/>
      <c r="AB227" s="85"/>
      <c r="AC227" s="151"/>
      <c r="AD227" t="s">
        <v>351</v>
      </c>
      <c r="AE227" s="85"/>
      <c r="AF227" s="85"/>
      <c r="AG227" s="151"/>
    </row>
    <row r="228" spans="1:33" x14ac:dyDescent="0.25">
      <c r="A228" s="84" t="s">
        <v>243</v>
      </c>
      <c r="B228" s="84">
        <v>1609976901</v>
      </c>
      <c r="C228" s="85">
        <v>1</v>
      </c>
      <c r="D228" s="85">
        <v>2019</v>
      </c>
      <c r="E228" s="151">
        <v>16</v>
      </c>
      <c r="F228" s="86" t="s">
        <v>351</v>
      </c>
      <c r="G228" s="85">
        <v>1</v>
      </c>
      <c r="H228" s="85">
        <v>2021</v>
      </c>
      <c r="I228" s="151">
        <v>16</v>
      </c>
      <c r="J228" s="86" t="s">
        <v>419</v>
      </c>
      <c r="K228" s="85"/>
      <c r="L228" s="85"/>
      <c r="M228" s="151"/>
      <c r="N228" s="86" t="s">
        <v>351</v>
      </c>
      <c r="O228" s="85"/>
      <c r="P228" s="85"/>
      <c r="Q228" s="151"/>
      <c r="R228" s="86" t="s">
        <v>351</v>
      </c>
      <c r="S228" s="85"/>
      <c r="T228" s="85"/>
      <c r="U228" s="151"/>
      <c r="V228" s="86" t="s">
        <v>351</v>
      </c>
      <c r="W228" s="85"/>
      <c r="X228" s="85"/>
      <c r="Y228" s="151"/>
      <c r="Z228" s="86" t="s">
        <v>351</v>
      </c>
      <c r="AA228" s="85"/>
      <c r="AB228" s="85"/>
      <c r="AC228" s="151"/>
      <c r="AD228" t="s">
        <v>351</v>
      </c>
      <c r="AE228" s="85"/>
      <c r="AF228" s="85"/>
      <c r="AG228" s="151"/>
    </row>
    <row r="229" spans="1:33" x14ac:dyDescent="0.25">
      <c r="A229" s="84" t="s">
        <v>244</v>
      </c>
      <c r="B229" s="84">
        <v>1235239567</v>
      </c>
      <c r="C229" s="85">
        <v>1</v>
      </c>
      <c r="D229" s="85">
        <v>2019</v>
      </c>
      <c r="E229" s="151">
        <v>-16</v>
      </c>
      <c r="F229" s="86" t="s">
        <v>351</v>
      </c>
      <c r="G229" s="85"/>
      <c r="H229" s="85"/>
      <c r="I229" s="151"/>
      <c r="J229" s="86" t="s">
        <v>351</v>
      </c>
      <c r="K229" s="85"/>
      <c r="L229" s="85"/>
      <c r="M229" s="151"/>
      <c r="N229" s="86" t="s">
        <v>351</v>
      </c>
      <c r="O229" s="85"/>
      <c r="P229" s="85"/>
      <c r="Q229" s="151"/>
      <c r="R229" s="86" t="s">
        <v>351</v>
      </c>
      <c r="S229" s="85"/>
      <c r="T229" s="85"/>
      <c r="U229" s="151"/>
      <c r="V229" s="86" t="s">
        <v>351</v>
      </c>
      <c r="W229" s="85"/>
      <c r="X229" s="85"/>
      <c r="Y229" s="151"/>
      <c r="Z229" s="86" t="s">
        <v>351</v>
      </c>
      <c r="AA229" s="85"/>
      <c r="AB229" s="85"/>
      <c r="AC229" s="151"/>
      <c r="AD229" t="s">
        <v>351</v>
      </c>
      <c r="AE229" s="85"/>
      <c r="AF229" s="85"/>
      <c r="AG229" s="151"/>
    </row>
    <row r="230" spans="1:33" x14ac:dyDescent="0.25">
      <c r="A230" s="84" t="s">
        <v>245</v>
      </c>
      <c r="B230" s="84">
        <v>1841390002</v>
      </c>
      <c r="C230" s="85">
        <v>3</v>
      </c>
      <c r="D230" s="85">
        <v>2023</v>
      </c>
      <c r="E230" s="151">
        <v>224526</v>
      </c>
      <c r="F230" s="86" t="s">
        <v>351</v>
      </c>
      <c r="G230" s="85"/>
      <c r="H230" s="85"/>
      <c r="I230" s="151"/>
      <c r="J230" s="86" t="s">
        <v>351</v>
      </c>
      <c r="K230" s="85"/>
      <c r="L230" s="85"/>
      <c r="M230" s="151"/>
      <c r="N230" s="86" t="s">
        <v>351</v>
      </c>
      <c r="O230" s="85"/>
      <c r="P230" s="85"/>
      <c r="Q230" s="151"/>
      <c r="R230" s="86" t="s">
        <v>351</v>
      </c>
      <c r="S230" s="85"/>
      <c r="T230" s="85"/>
      <c r="U230" s="151"/>
      <c r="V230" s="86" t="s">
        <v>351</v>
      </c>
      <c r="W230" s="85"/>
      <c r="X230" s="85"/>
      <c r="Y230" s="151"/>
      <c r="Z230" s="86" t="s">
        <v>351</v>
      </c>
      <c r="AA230" s="85"/>
      <c r="AB230" s="85"/>
      <c r="AC230" s="151"/>
      <c r="AD230" t="s">
        <v>351</v>
      </c>
      <c r="AE230" s="85"/>
      <c r="AF230" s="85"/>
      <c r="AG230" s="151" t="s">
        <v>596</v>
      </c>
    </row>
    <row r="231" spans="1:33" x14ac:dyDescent="0.25">
      <c r="A231" s="96" t="s">
        <v>246</v>
      </c>
      <c r="B231" s="84">
        <v>1194825448</v>
      </c>
      <c r="C231" s="85"/>
      <c r="D231" s="85"/>
      <c r="E231" s="151"/>
      <c r="F231" s="86" t="s">
        <v>351</v>
      </c>
      <c r="G231" s="85"/>
      <c r="H231" s="85"/>
      <c r="I231" s="151"/>
      <c r="J231" s="86" t="s">
        <v>351</v>
      </c>
      <c r="K231" s="85"/>
      <c r="L231" s="85"/>
      <c r="M231" s="151"/>
      <c r="N231" s="86" t="s">
        <v>351</v>
      </c>
      <c r="O231" s="85"/>
      <c r="P231" s="85"/>
      <c r="Q231" s="151"/>
      <c r="R231" s="86" t="s">
        <v>351</v>
      </c>
      <c r="S231" s="85"/>
      <c r="T231" s="85"/>
      <c r="U231" s="151"/>
      <c r="V231" s="86" t="s">
        <v>351</v>
      </c>
      <c r="W231" s="85"/>
      <c r="X231" s="85"/>
      <c r="Y231" s="151"/>
      <c r="Z231" s="86" t="s">
        <v>351</v>
      </c>
      <c r="AA231" s="85"/>
      <c r="AB231" s="85"/>
      <c r="AC231" s="151"/>
      <c r="AD231" t="s">
        <v>351</v>
      </c>
      <c r="AE231" s="85"/>
      <c r="AF231" s="85"/>
      <c r="AG231" s="151"/>
    </row>
    <row r="232" spans="1:33" x14ac:dyDescent="0.25">
      <c r="A232" s="84" t="s">
        <v>247</v>
      </c>
      <c r="B232" s="84">
        <v>1275823155</v>
      </c>
      <c r="C232" s="85">
        <v>2</v>
      </c>
      <c r="D232" s="85">
        <v>2016</v>
      </c>
      <c r="E232" s="151">
        <v>120</v>
      </c>
      <c r="F232" s="86" t="s">
        <v>351</v>
      </c>
      <c r="G232" s="85"/>
      <c r="H232" s="85"/>
      <c r="I232" s="151"/>
      <c r="J232" s="86" t="s">
        <v>351</v>
      </c>
      <c r="K232" s="85"/>
      <c r="L232" s="85"/>
      <c r="M232" s="151"/>
      <c r="N232" s="86" t="s">
        <v>351</v>
      </c>
      <c r="O232" s="85"/>
      <c r="P232" s="85"/>
      <c r="Q232" s="151"/>
      <c r="R232" s="86" t="s">
        <v>351</v>
      </c>
      <c r="S232" s="85"/>
      <c r="T232" s="85"/>
      <c r="U232" s="151"/>
      <c r="V232" s="86" t="s">
        <v>351</v>
      </c>
      <c r="W232" s="85"/>
      <c r="X232" s="85"/>
      <c r="Y232" s="151"/>
      <c r="Z232" s="86" t="s">
        <v>351</v>
      </c>
      <c r="AA232" s="85"/>
      <c r="AB232" s="85"/>
      <c r="AC232" s="151"/>
      <c r="AD232" t="s">
        <v>351</v>
      </c>
      <c r="AE232" s="85"/>
      <c r="AF232" s="85"/>
      <c r="AG232" s="151"/>
    </row>
    <row r="233" spans="1:33" x14ac:dyDescent="0.25">
      <c r="A233" s="84" t="s">
        <v>248</v>
      </c>
      <c r="B233" s="84">
        <v>1265816185</v>
      </c>
      <c r="C233" s="85">
        <v>3</v>
      </c>
      <c r="D233" s="85">
        <v>2016</v>
      </c>
      <c r="E233" s="151">
        <v>1348829</v>
      </c>
      <c r="F233" s="86" t="s">
        <v>351</v>
      </c>
      <c r="G233" s="85"/>
      <c r="H233" s="85"/>
      <c r="I233" s="151"/>
      <c r="J233" s="86" t="s">
        <v>351</v>
      </c>
      <c r="K233" s="85"/>
      <c r="L233" s="85"/>
      <c r="M233" s="151"/>
      <c r="N233" s="86" t="s">
        <v>351</v>
      </c>
      <c r="O233" s="85"/>
      <c r="P233" s="85"/>
      <c r="Q233" s="151"/>
      <c r="R233" s="86" t="s">
        <v>351</v>
      </c>
      <c r="S233" s="85"/>
      <c r="T233" s="85"/>
      <c r="U233" s="151"/>
      <c r="V233" s="86" t="s">
        <v>351</v>
      </c>
      <c r="W233" s="85"/>
      <c r="X233" s="85"/>
      <c r="Y233" s="151"/>
      <c r="Z233" s="86" t="s">
        <v>351</v>
      </c>
      <c r="AA233" s="85"/>
      <c r="AB233" s="85"/>
      <c r="AC233" s="151"/>
      <c r="AD233" t="s">
        <v>351</v>
      </c>
      <c r="AE233" s="85"/>
      <c r="AF233" s="85"/>
      <c r="AG233" s="151"/>
    </row>
    <row r="234" spans="1:33" x14ac:dyDescent="0.25">
      <c r="A234" s="87" t="s">
        <v>249</v>
      </c>
      <c r="B234" s="84">
        <v>1326519844</v>
      </c>
      <c r="C234" s="85">
        <v>3</v>
      </c>
      <c r="D234" s="85">
        <v>2016</v>
      </c>
      <c r="E234" s="151">
        <v>79821</v>
      </c>
      <c r="F234" s="86" t="s">
        <v>351</v>
      </c>
      <c r="G234" s="85">
        <v>3</v>
      </c>
      <c r="H234" s="85">
        <v>2017</v>
      </c>
      <c r="I234" s="151">
        <v>67880.56</v>
      </c>
      <c r="J234" s="86" t="s">
        <v>351</v>
      </c>
      <c r="K234" s="85">
        <v>3</v>
      </c>
      <c r="L234" s="85">
        <v>2023</v>
      </c>
      <c r="M234" s="151">
        <v>212700</v>
      </c>
      <c r="N234" s="86" t="s">
        <v>351</v>
      </c>
      <c r="O234" s="85"/>
      <c r="P234" s="85"/>
      <c r="Q234" s="151"/>
      <c r="R234" s="86" t="s">
        <v>351</v>
      </c>
      <c r="S234" s="85"/>
      <c r="T234" s="85"/>
      <c r="U234" s="151"/>
      <c r="V234" s="86" t="s">
        <v>351</v>
      </c>
      <c r="W234" s="85"/>
      <c r="X234" s="85"/>
      <c r="Y234" s="151"/>
      <c r="Z234" s="86" t="s">
        <v>351</v>
      </c>
      <c r="AA234" s="85"/>
      <c r="AB234" s="85"/>
      <c r="AC234" s="151"/>
      <c r="AD234" t="s">
        <v>351</v>
      </c>
      <c r="AE234" s="85"/>
      <c r="AF234" s="85"/>
      <c r="AG234" s="151" t="s">
        <v>596</v>
      </c>
    </row>
    <row r="235" spans="1:33" x14ac:dyDescent="0.25">
      <c r="A235" s="84" t="s">
        <v>250</v>
      </c>
      <c r="B235" s="84">
        <v>1396202024</v>
      </c>
      <c r="C235" s="85">
        <v>3</v>
      </c>
      <c r="D235" s="85">
        <v>2016</v>
      </c>
      <c r="E235" s="151">
        <v>73018</v>
      </c>
      <c r="F235" s="86" t="s">
        <v>351</v>
      </c>
      <c r="G235" s="85">
        <v>3</v>
      </c>
      <c r="H235" s="85">
        <v>2017</v>
      </c>
      <c r="I235" s="151">
        <v>62475</v>
      </c>
      <c r="J235" s="86" t="s">
        <v>351</v>
      </c>
      <c r="K235" s="85">
        <v>3</v>
      </c>
      <c r="L235" s="85">
        <v>2019</v>
      </c>
      <c r="M235" s="151">
        <v>144623</v>
      </c>
      <c r="N235" s="86" t="s">
        <v>351</v>
      </c>
      <c r="O235" s="85">
        <v>3</v>
      </c>
      <c r="P235" s="85">
        <v>2020</v>
      </c>
      <c r="Q235" s="151">
        <v>90133</v>
      </c>
      <c r="R235" s="86" t="s">
        <v>351</v>
      </c>
      <c r="S235" s="85">
        <v>3</v>
      </c>
      <c r="T235" s="85">
        <v>2021</v>
      </c>
      <c r="U235" s="151">
        <v>131527</v>
      </c>
      <c r="V235" s="86" t="s">
        <v>351</v>
      </c>
      <c r="W235" s="85">
        <v>3</v>
      </c>
      <c r="X235" s="85">
        <v>2022</v>
      </c>
      <c r="Y235" s="151">
        <v>54839</v>
      </c>
      <c r="Z235" s="86" t="s">
        <v>351</v>
      </c>
      <c r="AA235" s="85">
        <v>3</v>
      </c>
      <c r="AB235" s="85">
        <v>2023</v>
      </c>
      <c r="AC235" s="151">
        <v>133189</v>
      </c>
      <c r="AD235" t="s">
        <v>351</v>
      </c>
      <c r="AE235" s="85"/>
      <c r="AF235" s="85"/>
      <c r="AG235" s="151" t="s">
        <v>596</v>
      </c>
    </row>
    <row r="236" spans="1:33" x14ac:dyDescent="0.25">
      <c r="A236" s="84" t="s">
        <v>251</v>
      </c>
      <c r="B236" s="84">
        <v>1114480233</v>
      </c>
      <c r="C236" s="85">
        <v>3</v>
      </c>
      <c r="D236" s="85">
        <v>2018</v>
      </c>
      <c r="E236" s="151">
        <v>703158</v>
      </c>
      <c r="F236" s="86" t="s">
        <v>351</v>
      </c>
      <c r="G236" s="85">
        <v>3</v>
      </c>
      <c r="H236" s="85">
        <v>2019</v>
      </c>
      <c r="I236" s="151">
        <v>119892</v>
      </c>
      <c r="J236" s="86" t="s">
        <v>351</v>
      </c>
      <c r="K236" s="85">
        <v>3</v>
      </c>
      <c r="L236" s="85">
        <v>2020</v>
      </c>
      <c r="M236" s="151">
        <v>293091</v>
      </c>
      <c r="N236" s="86" t="s">
        <v>351</v>
      </c>
      <c r="O236" s="85">
        <v>3</v>
      </c>
      <c r="P236" s="85">
        <v>2021</v>
      </c>
      <c r="Q236" s="151">
        <v>88021</v>
      </c>
      <c r="R236" s="86" t="s">
        <v>351</v>
      </c>
      <c r="S236" s="85">
        <v>3</v>
      </c>
      <c r="T236" s="85">
        <v>2022</v>
      </c>
      <c r="U236" s="151">
        <v>130169</v>
      </c>
      <c r="V236" s="86" t="s">
        <v>351</v>
      </c>
      <c r="W236" s="85">
        <v>3</v>
      </c>
      <c r="X236" s="85">
        <v>2023</v>
      </c>
      <c r="Y236" s="151">
        <v>160032</v>
      </c>
      <c r="Z236" s="86" t="s">
        <v>351</v>
      </c>
      <c r="AA236" s="85"/>
      <c r="AB236" s="85"/>
      <c r="AC236" s="151"/>
      <c r="AD236" t="s">
        <v>351</v>
      </c>
      <c r="AE236" s="85"/>
      <c r="AF236" s="85"/>
      <c r="AG236" s="151" t="s">
        <v>596</v>
      </c>
    </row>
    <row r="237" spans="1:33" x14ac:dyDescent="0.25">
      <c r="A237" s="84" t="s">
        <v>252</v>
      </c>
      <c r="B237" s="84">
        <v>1902462401</v>
      </c>
      <c r="C237" s="85">
        <v>3</v>
      </c>
      <c r="D237" s="85">
        <v>2016</v>
      </c>
      <c r="E237" s="151">
        <v>122609</v>
      </c>
      <c r="F237" s="86" t="s">
        <v>351</v>
      </c>
      <c r="G237" s="85">
        <v>3</v>
      </c>
      <c r="H237" s="85">
        <v>2019</v>
      </c>
      <c r="I237" s="151">
        <v>124263</v>
      </c>
      <c r="J237" s="86" t="s">
        <v>351</v>
      </c>
      <c r="K237" s="85">
        <v>3</v>
      </c>
      <c r="L237" s="85">
        <v>2020</v>
      </c>
      <c r="M237" s="151">
        <v>221616</v>
      </c>
      <c r="N237" s="86" t="s">
        <v>351</v>
      </c>
      <c r="O237" s="85">
        <v>3</v>
      </c>
      <c r="P237" s="85">
        <v>2021</v>
      </c>
      <c r="Q237" s="151">
        <v>43367</v>
      </c>
      <c r="R237" s="86" t="s">
        <v>351</v>
      </c>
      <c r="S237" s="85">
        <v>3</v>
      </c>
      <c r="T237" s="85">
        <v>2022</v>
      </c>
      <c r="U237" s="151">
        <v>66395</v>
      </c>
      <c r="V237" s="86" t="s">
        <v>351</v>
      </c>
      <c r="W237" s="85">
        <v>3</v>
      </c>
      <c r="X237" s="85">
        <v>2023</v>
      </c>
      <c r="Y237" s="151">
        <v>114511</v>
      </c>
      <c r="Z237" s="86" t="s">
        <v>351</v>
      </c>
      <c r="AA237" s="85"/>
      <c r="AB237" s="85"/>
      <c r="AC237" s="151"/>
      <c r="AD237" t="s">
        <v>351</v>
      </c>
      <c r="AE237" s="85"/>
      <c r="AF237" s="85"/>
      <c r="AG237" s="151" t="s">
        <v>596</v>
      </c>
    </row>
    <row r="238" spans="1:33" x14ac:dyDescent="0.25">
      <c r="A238" s="84" t="s">
        <v>253</v>
      </c>
      <c r="B238" s="84">
        <v>1962052498</v>
      </c>
      <c r="C238" s="85">
        <v>3</v>
      </c>
      <c r="D238" s="85">
        <v>2020</v>
      </c>
      <c r="E238" s="151">
        <v>133236</v>
      </c>
      <c r="F238" s="86" t="s">
        <v>351</v>
      </c>
      <c r="G238" s="85">
        <v>3</v>
      </c>
      <c r="H238" s="85">
        <v>2021</v>
      </c>
      <c r="I238" s="151">
        <v>96241</v>
      </c>
      <c r="J238" s="86" t="s">
        <v>351</v>
      </c>
      <c r="K238" s="85">
        <v>3</v>
      </c>
      <c r="L238" s="85">
        <v>2022</v>
      </c>
      <c r="M238" s="151">
        <v>71526</v>
      </c>
      <c r="N238" s="86" t="s">
        <v>351</v>
      </c>
      <c r="O238" s="85"/>
      <c r="P238" s="85"/>
      <c r="Q238" s="151"/>
      <c r="R238" s="86" t="s">
        <v>351</v>
      </c>
      <c r="S238" s="85"/>
      <c r="T238" s="85"/>
      <c r="U238" s="151"/>
      <c r="V238" s="86" t="s">
        <v>351</v>
      </c>
      <c r="W238" s="85"/>
      <c r="X238" s="85"/>
      <c r="Y238" s="151"/>
      <c r="Z238" s="86" t="s">
        <v>351</v>
      </c>
      <c r="AA238" s="85"/>
      <c r="AB238" s="85"/>
      <c r="AC238" s="151"/>
      <c r="AD238" t="s">
        <v>351</v>
      </c>
      <c r="AE238" s="85"/>
      <c r="AF238" s="85"/>
      <c r="AG238" s="151"/>
    </row>
    <row r="239" spans="1:33" x14ac:dyDescent="0.25">
      <c r="A239" s="84" t="s">
        <v>254</v>
      </c>
      <c r="B239" s="84">
        <v>1225688757</v>
      </c>
      <c r="C239" s="85">
        <v>3</v>
      </c>
      <c r="D239" s="85">
        <v>2020</v>
      </c>
      <c r="E239" s="151">
        <v>253965</v>
      </c>
      <c r="F239" s="86" t="s">
        <v>351</v>
      </c>
      <c r="G239" s="85">
        <v>3</v>
      </c>
      <c r="H239" s="85">
        <v>2021</v>
      </c>
      <c r="I239" s="151">
        <v>264087</v>
      </c>
      <c r="J239" s="86" t="s">
        <v>351</v>
      </c>
      <c r="K239" s="85">
        <v>3</v>
      </c>
      <c r="L239" s="85">
        <v>2023</v>
      </c>
      <c r="M239" s="151">
        <v>503387</v>
      </c>
      <c r="N239" s="86" t="s">
        <v>351</v>
      </c>
      <c r="O239" s="85"/>
      <c r="P239" s="85"/>
      <c r="Q239" s="151"/>
      <c r="R239" s="86" t="s">
        <v>351</v>
      </c>
      <c r="S239" s="85"/>
      <c r="T239" s="85"/>
      <c r="U239" s="151"/>
      <c r="V239" s="86" t="s">
        <v>351</v>
      </c>
      <c r="W239" s="85"/>
      <c r="X239" s="85"/>
      <c r="Y239" s="151"/>
      <c r="Z239" s="86" t="s">
        <v>351</v>
      </c>
      <c r="AA239" s="85"/>
      <c r="AB239" s="85"/>
      <c r="AC239" s="151"/>
      <c r="AD239" t="s">
        <v>351</v>
      </c>
      <c r="AE239" s="85"/>
      <c r="AF239" s="85"/>
      <c r="AG239" s="151" t="s">
        <v>596</v>
      </c>
    </row>
    <row r="240" spans="1:33" x14ac:dyDescent="0.25">
      <c r="A240" s="84" t="s">
        <v>255</v>
      </c>
      <c r="B240" s="84">
        <v>1851941389</v>
      </c>
      <c r="C240" s="85">
        <v>3</v>
      </c>
      <c r="D240" s="85">
        <v>2019</v>
      </c>
      <c r="E240" s="151">
        <v>89398</v>
      </c>
      <c r="F240" s="86" t="s">
        <v>351</v>
      </c>
      <c r="G240" s="85">
        <v>3</v>
      </c>
      <c r="H240" s="85">
        <v>2020</v>
      </c>
      <c r="I240" s="151">
        <v>189127</v>
      </c>
      <c r="J240" s="86" t="s">
        <v>351</v>
      </c>
      <c r="K240" s="85">
        <v>3</v>
      </c>
      <c r="L240" s="85">
        <v>2021</v>
      </c>
      <c r="M240" s="151">
        <v>160064</v>
      </c>
      <c r="N240" s="86" t="s">
        <v>351</v>
      </c>
      <c r="O240" s="85">
        <v>3</v>
      </c>
      <c r="P240" s="85">
        <v>2022</v>
      </c>
      <c r="Q240" s="151">
        <v>115657</v>
      </c>
      <c r="R240" s="86" t="s">
        <v>351</v>
      </c>
      <c r="S240" s="85"/>
      <c r="T240" s="85"/>
      <c r="U240" s="151"/>
      <c r="V240" s="86" t="s">
        <v>351</v>
      </c>
      <c r="W240" s="85"/>
      <c r="X240" s="85"/>
      <c r="Y240" s="151"/>
      <c r="Z240" s="86" t="s">
        <v>351</v>
      </c>
      <c r="AA240" s="85"/>
      <c r="AB240" s="85"/>
      <c r="AC240" s="151"/>
      <c r="AD240" t="s">
        <v>351</v>
      </c>
      <c r="AE240" s="85"/>
      <c r="AF240" s="85"/>
      <c r="AG240" s="151"/>
    </row>
    <row r="241" spans="1:33" x14ac:dyDescent="0.25">
      <c r="A241" s="84" t="s">
        <v>454</v>
      </c>
      <c r="B241" s="84">
        <v>1194779504</v>
      </c>
      <c r="C241" s="85">
        <v>3</v>
      </c>
      <c r="D241" s="85">
        <v>2020</v>
      </c>
      <c r="E241" s="151">
        <v>168750</v>
      </c>
      <c r="F241" s="86" t="s">
        <v>351</v>
      </c>
      <c r="G241" s="85">
        <v>3</v>
      </c>
      <c r="H241" s="85">
        <v>2021</v>
      </c>
      <c r="I241" s="151">
        <v>190364</v>
      </c>
      <c r="J241" s="86" t="s">
        <v>351</v>
      </c>
      <c r="K241" s="85"/>
      <c r="L241" s="85"/>
      <c r="M241" s="151"/>
      <c r="N241" s="86" t="s">
        <v>351</v>
      </c>
      <c r="O241" s="85"/>
      <c r="P241" s="85"/>
      <c r="Q241" s="151"/>
      <c r="R241" s="86" t="s">
        <v>351</v>
      </c>
      <c r="S241" s="85"/>
      <c r="T241" s="85"/>
      <c r="U241" s="151"/>
      <c r="V241" s="86" t="s">
        <v>351</v>
      </c>
      <c r="W241" s="85"/>
      <c r="X241" s="85"/>
      <c r="Y241" s="151"/>
      <c r="Z241" s="86" t="s">
        <v>351</v>
      </c>
      <c r="AA241" s="85"/>
      <c r="AB241" s="85"/>
      <c r="AC241" s="151"/>
      <c r="AD241" t="s">
        <v>351</v>
      </c>
      <c r="AE241" s="85"/>
      <c r="AF241" s="85"/>
      <c r="AG241" s="151"/>
    </row>
    <row r="242" spans="1:33" x14ac:dyDescent="0.25">
      <c r="A242" s="84" t="s">
        <v>256</v>
      </c>
      <c r="B242" s="84">
        <v>1538137468</v>
      </c>
      <c r="C242" s="85"/>
      <c r="D242" s="85"/>
      <c r="E242" s="151"/>
      <c r="F242" s="86" t="s">
        <v>351</v>
      </c>
      <c r="G242" s="85"/>
      <c r="H242" s="85"/>
      <c r="I242" s="151"/>
      <c r="J242" s="86" t="s">
        <v>351</v>
      </c>
      <c r="K242" s="85"/>
      <c r="L242" s="85"/>
      <c r="M242" s="151"/>
      <c r="N242" s="86" t="s">
        <v>351</v>
      </c>
      <c r="O242" s="85"/>
      <c r="P242" s="85"/>
      <c r="Q242" s="151"/>
      <c r="R242" s="86" t="s">
        <v>351</v>
      </c>
      <c r="S242" s="85"/>
      <c r="T242" s="85"/>
      <c r="U242" s="151"/>
      <c r="V242" s="86" t="s">
        <v>351</v>
      </c>
      <c r="W242" s="85"/>
      <c r="X242" s="85"/>
      <c r="Y242" s="151"/>
      <c r="Z242" s="86" t="s">
        <v>351</v>
      </c>
      <c r="AA242" s="85"/>
      <c r="AB242" s="85"/>
      <c r="AC242" s="151"/>
      <c r="AD242" t="s">
        <v>351</v>
      </c>
      <c r="AE242" s="85"/>
      <c r="AF242" s="85"/>
      <c r="AG242" s="151"/>
    </row>
    <row r="243" spans="1:33" x14ac:dyDescent="0.25">
      <c r="A243" s="87" t="s">
        <v>257</v>
      </c>
      <c r="B243" s="84">
        <v>1780693663</v>
      </c>
      <c r="C243" s="85">
        <v>3</v>
      </c>
      <c r="D243" s="85">
        <v>2016</v>
      </c>
      <c r="E243" s="151">
        <v>223969</v>
      </c>
      <c r="F243" s="86" t="s">
        <v>351</v>
      </c>
      <c r="G243" s="85">
        <v>3</v>
      </c>
      <c r="H243" s="85">
        <v>2017</v>
      </c>
      <c r="I243" s="151">
        <v>56608</v>
      </c>
      <c r="J243" s="86" t="s">
        <v>351</v>
      </c>
      <c r="K243" s="85">
        <v>3</v>
      </c>
      <c r="L243" s="85">
        <v>2018</v>
      </c>
      <c r="M243" s="151">
        <v>62907</v>
      </c>
      <c r="N243" s="86" t="s">
        <v>351</v>
      </c>
      <c r="O243" s="85">
        <v>3</v>
      </c>
      <c r="P243" s="85">
        <v>2019</v>
      </c>
      <c r="Q243" s="151">
        <v>367036</v>
      </c>
      <c r="R243" s="86" t="s">
        <v>351</v>
      </c>
      <c r="S243" s="85">
        <v>3</v>
      </c>
      <c r="T243" s="85">
        <v>2020</v>
      </c>
      <c r="U243" s="151">
        <v>41320</v>
      </c>
      <c r="V243" s="86" t="s">
        <v>351</v>
      </c>
      <c r="W243" s="85">
        <v>3</v>
      </c>
      <c r="X243" s="85">
        <v>2021</v>
      </c>
      <c r="Y243" s="151">
        <v>66440</v>
      </c>
      <c r="Z243" s="86" t="s">
        <v>351</v>
      </c>
      <c r="AA243" s="85"/>
      <c r="AB243" s="85"/>
      <c r="AC243" s="151"/>
      <c r="AD243" t="s">
        <v>351</v>
      </c>
      <c r="AE243" s="85"/>
      <c r="AF243" s="85"/>
      <c r="AG243" s="151"/>
    </row>
    <row r="244" spans="1:33" x14ac:dyDescent="0.25">
      <c r="A244" s="87" t="s">
        <v>258</v>
      </c>
      <c r="B244" s="84">
        <v>1407966864</v>
      </c>
      <c r="C244" s="85"/>
      <c r="D244" s="85"/>
      <c r="E244" s="151"/>
      <c r="F244" s="86" t="s">
        <v>351</v>
      </c>
      <c r="G244" s="85"/>
      <c r="H244" s="85"/>
      <c r="I244" s="151"/>
      <c r="J244" s="86" t="s">
        <v>351</v>
      </c>
      <c r="K244" s="85"/>
      <c r="L244" s="85"/>
      <c r="M244" s="151"/>
      <c r="N244" s="86" t="s">
        <v>351</v>
      </c>
      <c r="O244" s="85"/>
      <c r="P244" s="85"/>
      <c r="Q244" s="151"/>
      <c r="R244" s="86" t="s">
        <v>351</v>
      </c>
      <c r="S244" s="85"/>
      <c r="T244" s="85"/>
      <c r="U244" s="151"/>
      <c r="V244" s="86" t="s">
        <v>351</v>
      </c>
      <c r="W244" s="85"/>
      <c r="X244" s="85"/>
      <c r="Y244" s="151"/>
      <c r="Z244" s="86" t="s">
        <v>351</v>
      </c>
      <c r="AA244" s="85"/>
      <c r="AB244" s="85"/>
      <c r="AC244" s="151"/>
      <c r="AD244" t="s">
        <v>351</v>
      </c>
      <c r="AE244" s="85"/>
      <c r="AF244" s="85"/>
      <c r="AG244" s="151"/>
    </row>
    <row r="245" spans="1:33" x14ac:dyDescent="0.25">
      <c r="A245" s="87" t="s">
        <v>595</v>
      </c>
      <c r="B245" s="84">
        <v>1942583752</v>
      </c>
      <c r="C245" s="85">
        <v>3</v>
      </c>
      <c r="D245" s="85">
        <v>2017</v>
      </c>
      <c r="E245" s="151">
        <v>3222922</v>
      </c>
      <c r="F245" s="86" t="s">
        <v>351</v>
      </c>
      <c r="G245" s="85"/>
      <c r="H245" s="85"/>
      <c r="I245" s="151"/>
      <c r="J245" s="86" t="s">
        <v>351</v>
      </c>
      <c r="K245" s="85"/>
      <c r="L245" s="85"/>
      <c r="M245" s="151"/>
      <c r="N245" s="86" t="s">
        <v>351</v>
      </c>
      <c r="O245" s="85"/>
      <c r="P245" s="85"/>
      <c r="Q245" s="151"/>
      <c r="R245" s="86" t="s">
        <v>351</v>
      </c>
      <c r="S245" s="85"/>
      <c r="T245" s="85"/>
      <c r="U245" s="151"/>
      <c r="V245" s="86" t="s">
        <v>351</v>
      </c>
      <c r="W245" s="85"/>
      <c r="X245" s="85"/>
      <c r="Y245" s="151"/>
      <c r="Z245" s="86" t="s">
        <v>351</v>
      </c>
      <c r="AA245" s="85"/>
      <c r="AB245" s="85"/>
      <c r="AC245" s="151"/>
      <c r="AD245" t="s">
        <v>351</v>
      </c>
      <c r="AE245" s="85"/>
      <c r="AF245" s="85"/>
      <c r="AG245" s="151"/>
    </row>
    <row r="246" spans="1:33" x14ac:dyDescent="0.25">
      <c r="A246" s="87" t="s">
        <v>259</v>
      </c>
      <c r="B246" s="84">
        <v>1144646274</v>
      </c>
      <c r="C246" s="85">
        <v>3</v>
      </c>
      <c r="D246" s="85">
        <v>2019</v>
      </c>
      <c r="E246" s="151">
        <v>95197</v>
      </c>
      <c r="F246" s="86" t="s">
        <v>351</v>
      </c>
      <c r="G246" s="85">
        <v>3</v>
      </c>
      <c r="H246" s="85">
        <v>2021</v>
      </c>
      <c r="I246" s="151">
        <v>130038</v>
      </c>
      <c r="J246" s="86" t="s">
        <v>351</v>
      </c>
      <c r="K246" s="85">
        <v>3</v>
      </c>
      <c r="L246" s="85">
        <v>2022</v>
      </c>
      <c r="M246" s="151">
        <v>245923</v>
      </c>
      <c r="N246" s="86" t="s">
        <v>351</v>
      </c>
      <c r="O246" s="85">
        <v>3</v>
      </c>
      <c r="P246" s="85">
        <v>2023</v>
      </c>
      <c r="Q246" s="151">
        <v>128413</v>
      </c>
      <c r="R246" s="86" t="s">
        <v>351</v>
      </c>
      <c r="S246" s="85"/>
      <c r="T246" s="85"/>
      <c r="U246" s="151"/>
      <c r="V246" s="86" t="s">
        <v>351</v>
      </c>
      <c r="W246" s="85"/>
      <c r="X246" s="85"/>
      <c r="Y246" s="151"/>
      <c r="Z246" s="86" t="s">
        <v>351</v>
      </c>
      <c r="AA246" s="85"/>
      <c r="AB246" s="85"/>
      <c r="AC246" s="151"/>
      <c r="AD246" t="s">
        <v>351</v>
      </c>
      <c r="AE246" s="85"/>
      <c r="AF246" s="85"/>
      <c r="AG246" s="151" t="s">
        <v>596</v>
      </c>
    </row>
    <row r="247" spans="1:33" x14ac:dyDescent="0.25">
      <c r="A247" s="84" t="s">
        <v>260</v>
      </c>
      <c r="B247" s="84">
        <v>1124015458</v>
      </c>
      <c r="C247" s="85">
        <v>3</v>
      </c>
      <c r="D247" s="85">
        <v>2018</v>
      </c>
      <c r="E247" s="151">
        <v>227186</v>
      </c>
      <c r="F247" s="86" t="s">
        <v>351</v>
      </c>
      <c r="G247" s="85">
        <v>3</v>
      </c>
      <c r="H247" s="85">
        <v>2019</v>
      </c>
      <c r="I247" s="151">
        <v>140756</v>
      </c>
      <c r="J247" s="86" t="s">
        <v>351</v>
      </c>
      <c r="K247" s="85">
        <v>3</v>
      </c>
      <c r="L247" s="85">
        <v>2021</v>
      </c>
      <c r="M247" s="151">
        <v>223563</v>
      </c>
      <c r="N247" s="86" t="s">
        <v>351</v>
      </c>
      <c r="O247" s="85">
        <v>3</v>
      </c>
      <c r="P247" s="85">
        <v>2022</v>
      </c>
      <c r="Q247" s="151">
        <v>74383</v>
      </c>
      <c r="R247" s="86" t="s">
        <v>351</v>
      </c>
      <c r="S247" s="85">
        <v>3</v>
      </c>
      <c r="T247" s="85">
        <v>2023</v>
      </c>
      <c r="U247" s="151">
        <v>132938</v>
      </c>
      <c r="V247" s="86" t="s">
        <v>351</v>
      </c>
      <c r="W247" s="85"/>
      <c r="X247" s="85"/>
      <c r="Y247" s="151"/>
      <c r="Z247" s="86" t="s">
        <v>351</v>
      </c>
      <c r="AA247" s="85"/>
      <c r="AB247" s="85"/>
      <c r="AC247" s="151"/>
      <c r="AD247" t="s">
        <v>351</v>
      </c>
      <c r="AE247" s="85"/>
      <c r="AF247" s="85"/>
      <c r="AG247" s="151" t="s">
        <v>596</v>
      </c>
    </row>
    <row r="248" spans="1:33" x14ac:dyDescent="0.25">
      <c r="A248" s="84" t="s">
        <v>455</v>
      </c>
      <c r="B248" s="84">
        <v>1982640785</v>
      </c>
      <c r="C248" s="85">
        <v>3</v>
      </c>
      <c r="D248" s="85">
        <v>2017</v>
      </c>
      <c r="E248" s="151">
        <v>129229</v>
      </c>
      <c r="F248" s="86" t="s">
        <v>351</v>
      </c>
      <c r="G248" s="85">
        <v>3</v>
      </c>
      <c r="H248" s="85">
        <v>2021</v>
      </c>
      <c r="I248" s="151">
        <v>384169</v>
      </c>
      <c r="J248" s="86" t="s">
        <v>351</v>
      </c>
      <c r="K248" s="85">
        <v>3</v>
      </c>
      <c r="L248" s="85">
        <v>2022</v>
      </c>
      <c r="M248" s="151">
        <v>470850</v>
      </c>
      <c r="N248" s="86" t="s">
        <v>351</v>
      </c>
      <c r="O248" s="85">
        <v>3</v>
      </c>
      <c r="P248" s="85">
        <v>2023</v>
      </c>
      <c r="Q248" s="151">
        <v>264487</v>
      </c>
      <c r="R248" s="86" t="s">
        <v>351</v>
      </c>
      <c r="S248" s="85"/>
      <c r="T248" s="85"/>
      <c r="U248" s="151"/>
      <c r="V248" s="86" t="s">
        <v>351</v>
      </c>
      <c r="W248" s="85"/>
      <c r="X248" s="85"/>
      <c r="Y248" s="151"/>
      <c r="Z248" s="86" t="s">
        <v>351</v>
      </c>
      <c r="AA248" s="85"/>
      <c r="AB248" s="85"/>
      <c r="AC248" s="151"/>
      <c r="AD248" t="s">
        <v>351</v>
      </c>
      <c r="AE248" s="85"/>
      <c r="AF248" s="85"/>
      <c r="AG248" s="151" t="s">
        <v>596</v>
      </c>
    </row>
    <row r="249" spans="1:33" x14ac:dyDescent="0.25">
      <c r="A249" s="84" t="s">
        <v>261</v>
      </c>
      <c r="B249" s="84">
        <v>1922456664</v>
      </c>
      <c r="C249" s="85">
        <v>3</v>
      </c>
      <c r="D249" s="85">
        <v>2023</v>
      </c>
      <c r="E249" s="151">
        <v>508446</v>
      </c>
      <c r="F249" s="86" t="s">
        <v>351</v>
      </c>
      <c r="G249" s="85"/>
      <c r="H249" s="85"/>
      <c r="I249" s="151"/>
      <c r="J249" s="86" t="s">
        <v>351</v>
      </c>
      <c r="K249" s="85"/>
      <c r="L249" s="85"/>
      <c r="M249" s="151"/>
      <c r="N249" s="86" t="s">
        <v>351</v>
      </c>
      <c r="O249" s="85"/>
      <c r="P249" s="85"/>
      <c r="Q249" s="151"/>
      <c r="R249" s="86" t="s">
        <v>351</v>
      </c>
      <c r="S249" s="85"/>
      <c r="T249" s="85"/>
      <c r="U249" s="151"/>
      <c r="V249" s="86" t="s">
        <v>351</v>
      </c>
      <c r="W249" s="85"/>
      <c r="X249" s="85"/>
      <c r="Y249" s="151"/>
      <c r="Z249" s="86" t="s">
        <v>351</v>
      </c>
      <c r="AA249" s="85"/>
      <c r="AB249" s="85"/>
      <c r="AC249" s="151"/>
      <c r="AD249" t="s">
        <v>351</v>
      </c>
      <c r="AE249" s="85"/>
      <c r="AF249" s="85"/>
      <c r="AG249" s="151" t="s">
        <v>596</v>
      </c>
    </row>
    <row r="250" spans="1:33" x14ac:dyDescent="0.25">
      <c r="A250" s="84" t="s">
        <v>456</v>
      </c>
      <c r="B250" s="84">
        <v>1811923931</v>
      </c>
      <c r="C250" s="85">
        <v>3</v>
      </c>
      <c r="D250" s="85">
        <v>2018</v>
      </c>
      <c r="E250" s="151">
        <v>1193236</v>
      </c>
      <c r="F250" s="86" t="s">
        <v>351</v>
      </c>
      <c r="G250" s="85">
        <v>3</v>
      </c>
      <c r="H250" s="85">
        <v>2019</v>
      </c>
      <c r="I250" s="151">
        <v>52024</v>
      </c>
      <c r="J250" s="86" t="s">
        <v>351</v>
      </c>
      <c r="K250" s="85">
        <v>3</v>
      </c>
      <c r="L250" s="85">
        <v>2020</v>
      </c>
      <c r="M250" s="151">
        <v>153874</v>
      </c>
      <c r="N250" s="86" t="s">
        <v>351</v>
      </c>
      <c r="O250" s="85">
        <v>3</v>
      </c>
      <c r="P250" s="85">
        <v>2021</v>
      </c>
      <c r="Q250" s="151">
        <v>382162</v>
      </c>
      <c r="R250" s="86" t="s">
        <v>351</v>
      </c>
      <c r="S250" s="85">
        <v>3</v>
      </c>
      <c r="T250" s="85">
        <v>2023</v>
      </c>
      <c r="U250" s="151">
        <v>331374</v>
      </c>
      <c r="V250" s="86" t="s">
        <v>351</v>
      </c>
      <c r="W250" s="85"/>
      <c r="X250" s="85"/>
      <c r="Y250" s="151"/>
      <c r="Z250" s="86" t="s">
        <v>351</v>
      </c>
      <c r="AA250" s="85"/>
      <c r="AB250" s="85"/>
      <c r="AC250" s="151"/>
      <c r="AD250" t="s">
        <v>351</v>
      </c>
      <c r="AE250" s="85"/>
      <c r="AF250" s="85"/>
      <c r="AG250" s="151" t="s">
        <v>596</v>
      </c>
    </row>
    <row r="251" spans="1:33" x14ac:dyDescent="0.25">
      <c r="A251" s="84" t="s">
        <v>262</v>
      </c>
      <c r="B251" s="84">
        <v>1073034138</v>
      </c>
      <c r="C251" s="85">
        <v>3</v>
      </c>
      <c r="D251" s="85">
        <v>2019</v>
      </c>
      <c r="E251" s="151">
        <v>442564</v>
      </c>
      <c r="F251" s="86" t="s">
        <v>351</v>
      </c>
      <c r="G251" s="85">
        <v>3</v>
      </c>
      <c r="H251" s="85">
        <v>2020</v>
      </c>
      <c r="I251" s="151">
        <v>731037</v>
      </c>
      <c r="J251" s="86" t="s">
        <v>351</v>
      </c>
      <c r="K251" s="85">
        <v>3</v>
      </c>
      <c r="L251" s="85">
        <v>2021</v>
      </c>
      <c r="M251" s="151">
        <v>515828</v>
      </c>
      <c r="N251" s="86" t="s">
        <v>351</v>
      </c>
      <c r="O251" s="85">
        <v>3</v>
      </c>
      <c r="P251" s="85">
        <v>2022</v>
      </c>
      <c r="Q251" s="151">
        <v>112307</v>
      </c>
      <c r="R251" s="86" t="s">
        <v>351</v>
      </c>
      <c r="S251" s="85">
        <v>3</v>
      </c>
      <c r="T251" s="85">
        <v>2023</v>
      </c>
      <c r="U251" s="151">
        <v>98547</v>
      </c>
      <c r="V251" s="86" t="s">
        <v>351</v>
      </c>
      <c r="W251" s="85"/>
      <c r="X251" s="85"/>
      <c r="Y251" s="151"/>
      <c r="Z251" s="86" t="s">
        <v>351</v>
      </c>
      <c r="AA251" s="85"/>
      <c r="AB251" s="85"/>
      <c r="AC251" s="151"/>
      <c r="AD251" t="s">
        <v>351</v>
      </c>
      <c r="AE251" s="85"/>
      <c r="AF251" s="85"/>
      <c r="AG251" s="151" t="s">
        <v>596</v>
      </c>
    </row>
    <row r="252" spans="1:33" x14ac:dyDescent="0.25">
      <c r="A252" s="87" t="s">
        <v>348</v>
      </c>
      <c r="B252" s="84">
        <v>1720085293</v>
      </c>
      <c r="C252" s="85">
        <v>3</v>
      </c>
      <c r="D252" s="85">
        <v>2019</v>
      </c>
      <c r="E252" s="151">
        <v>123746</v>
      </c>
      <c r="F252" s="86" t="s">
        <v>351</v>
      </c>
      <c r="G252" s="85">
        <v>3</v>
      </c>
      <c r="H252" s="85">
        <v>2020</v>
      </c>
      <c r="I252" s="151">
        <v>126337</v>
      </c>
      <c r="J252" s="86" t="s">
        <v>351</v>
      </c>
      <c r="K252" s="85">
        <v>3</v>
      </c>
      <c r="L252" s="85">
        <v>2021</v>
      </c>
      <c r="M252" s="151">
        <v>347793</v>
      </c>
      <c r="N252" s="86" t="s">
        <v>351</v>
      </c>
      <c r="O252" s="85">
        <v>3</v>
      </c>
      <c r="P252" s="85">
        <v>2022</v>
      </c>
      <c r="Q252" s="151">
        <v>145319</v>
      </c>
      <c r="R252" s="86" t="s">
        <v>351</v>
      </c>
      <c r="S252" s="85"/>
      <c r="T252" s="85"/>
      <c r="U252" s="151"/>
      <c r="V252" s="86" t="s">
        <v>351</v>
      </c>
      <c r="W252" s="85"/>
      <c r="X252" s="85"/>
      <c r="Y252" s="151"/>
      <c r="Z252" s="86" t="s">
        <v>351</v>
      </c>
      <c r="AA252" s="85"/>
      <c r="AB252" s="85"/>
      <c r="AC252" s="151"/>
      <c r="AD252" t="s">
        <v>351</v>
      </c>
      <c r="AE252" s="85"/>
      <c r="AF252" s="85"/>
      <c r="AG252" s="151"/>
    </row>
    <row r="253" spans="1:33" x14ac:dyDescent="0.25">
      <c r="A253" s="87" t="s">
        <v>457</v>
      </c>
      <c r="B253" s="84">
        <v>1962447565</v>
      </c>
      <c r="C253" s="85">
        <v>3</v>
      </c>
      <c r="D253" s="85">
        <v>2017</v>
      </c>
      <c r="E253" s="151">
        <v>152481</v>
      </c>
      <c r="F253" s="86" t="s">
        <v>351</v>
      </c>
      <c r="G253" s="85">
        <v>3</v>
      </c>
      <c r="H253" s="85">
        <v>2019</v>
      </c>
      <c r="I253" s="151">
        <v>308877</v>
      </c>
      <c r="J253" s="86" t="s">
        <v>351</v>
      </c>
      <c r="K253" s="85">
        <v>3</v>
      </c>
      <c r="L253" s="85">
        <v>2020</v>
      </c>
      <c r="M253" s="151">
        <v>129799</v>
      </c>
      <c r="N253" s="86" t="s">
        <v>351</v>
      </c>
      <c r="O253" s="85"/>
      <c r="P253" s="85"/>
      <c r="Q253" s="151"/>
      <c r="R253" s="86" t="s">
        <v>351</v>
      </c>
      <c r="S253" s="85"/>
      <c r="T253" s="85"/>
      <c r="U253" s="151"/>
      <c r="V253" s="86" t="s">
        <v>351</v>
      </c>
      <c r="W253" s="85"/>
      <c r="X253" s="85"/>
      <c r="Y253" s="151"/>
      <c r="Z253" s="86" t="s">
        <v>351</v>
      </c>
      <c r="AA253" s="85"/>
      <c r="AB253" s="85"/>
      <c r="AC253" s="151"/>
      <c r="AD253" t="s">
        <v>351</v>
      </c>
      <c r="AE253" s="85"/>
      <c r="AF253" s="85"/>
      <c r="AG253" s="151"/>
    </row>
    <row r="254" spans="1:33" x14ac:dyDescent="0.25">
      <c r="A254" s="95" t="s">
        <v>799</v>
      </c>
      <c r="B254" s="84">
        <v>1891871901</v>
      </c>
      <c r="C254" s="85"/>
      <c r="D254" s="85"/>
      <c r="E254" s="151"/>
      <c r="F254" s="86" t="s">
        <v>351</v>
      </c>
      <c r="G254" s="85"/>
      <c r="H254" s="85"/>
      <c r="I254" s="151"/>
      <c r="J254" s="86" t="s">
        <v>351</v>
      </c>
      <c r="K254" s="85"/>
      <c r="L254" s="85"/>
      <c r="M254" s="151"/>
      <c r="N254" s="86" t="s">
        <v>351</v>
      </c>
      <c r="O254" s="85"/>
      <c r="P254" s="85"/>
      <c r="Q254" s="151"/>
      <c r="R254" s="86" t="s">
        <v>351</v>
      </c>
      <c r="S254" s="85"/>
      <c r="T254" s="85"/>
      <c r="U254" s="151"/>
      <c r="V254" s="86" t="s">
        <v>351</v>
      </c>
      <c r="W254" s="85"/>
      <c r="X254" s="85"/>
      <c r="Y254" s="151"/>
      <c r="Z254" s="86" t="s">
        <v>351</v>
      </c>
      <c r="AA254" s="85"/>
      <c r="AB254" s="85"/>
      <c r="AC254" s="151"/>
      <c r="AD254" t="s">
        <v>351</v>
      </c>
      <c r="AE254" s="85"/>
      <c r="AF254" s="85"/>
      <c r="AG254" s="151"/>
    </row>
    <row r="255" spans="1:33" x14ac:dyDescent="0.25">
      <c r="A255" s="87" t="s">
        <v>263</v>
      </c>
      <c r="B255" s="84">
        <v>1720166838</v>
      </c>
      <c r="C255" s="85"/>
      <c r="D255" s="85"/>
      <c r="E255" s="151"/>
      <c r="F255" s="86" t="s">
        <v>351</v>
      </c>
      <c r="G255" s="85"/>
      <c r="H255" s="85"/>
      <c r="I255" s="151"/>
      <c r="J255" s="86" t="s">
        <v>351</v>
      </c>
      <c r="K255" s="85"/>
      <c r="L255" s="85"/>
      <c r="M255" s="151"/>
      <c r="N255" s="86" t="s">
        <v>351</v>
      </c>
      <c r="O255" s="85"/>
      <c r="P255" s="85"/>
      <c r="Q255" s="151"/>
      <c r="R255" s="86" t="s">
        <v>351</v>
      </c>
      <c r="S255" s="85"/>
      <c r="T255" s="85"/>
      <c r="U255" s="151"/>
      <c r="V255" s="86" t="s">
        <v>351</v>
      </c>
      <c r="W255" s="85"/>
      <c r="X255" s="85"/>
      <c r="Y255" s="151"/>
      <c r="Z255" s="86" t="s">
        <v>351</v>
      </c>
      <c r="AA255" s="85"/>
      <c r="AB255" s="85"/>
      <c r="AC255" s="151"/>
      <c r="AD255" t="s">
        <v>351</v>
      </c>
      <c r="AE255" s="85"/>
      <c r="AF255" s="85"/>
      <c r="AG255" s="151"/>
    </row>
    <row r="256" spans="1:33" x14ac:dyDescent="0.25">
      <c r="A256" s="87" t="s">
        <v>458</v>
      </c>
      <c r="B256" s="84">
        <v>1518112036</v>
      </c>
      <c r="C256" s="85">
        <v>3</v>
      </c>
      <c r="D256" s="85">
        <v>2016</v>
      </c>
      <c r="E256" s="151">
        <v>177066</v>
      </c>
      <c r="F256" s="86" t="s">
        <v>351</v>
      </c>
      <c r="G256" s="85">
        <v>3</v>
      </c>
      <c r="H256" s="85">
        <v>2017</v>
      </c>
      <c r="I256" s="151">
        <v>71779</v>
      </c>
      <c r="J256" s="86" t="s">
        <v>351</v>
      </c>
      <c r="K256" s="85">
        <v>3</v>
      </c>
      <c r="L256" s="85">
        <v>2018</v>
      </c>
      <c r="M256" s="151">
        <v>143298</v>
      </c>
      <c r="N256" s="86" t="s">
        <v>351</v>
      </c>
      <c r="O256" s="85">
        <v>3</v>
      </c>
      <c r="P256" s="85">
        <v>2019</v>
      </c>
      <c r="Q256" s="151">
        <v>157662</v>
      </c>
      <c r="R256" s="86" t="s">
        <v>351</v>
      </c>
      <c r="S256" s="85">
        <v>3</v>
      </c>
      <c r="T256" s="85">
        <v>2020</v>
      </c>
      <c r="U256" s="151">
        <v>104168</v>
      </c>
      <c r="V256" s="86" t="s">
        <v>351</v>
      </c>
      <c r="W256" s="85">
        <v>3</v>
      </c>
      <c r="X256" s="85">
        <v>2022</v>
      </c>
      <c r="Y256" s="151">
        <v>116415</v>
      </c>
      <c r="Z256" s="86" t="s">
        <v>351</v>
      </c>
      <c r="AA256" s="85"/>
      <c r="AB256" s="85"/>
      <c r="AC256" s="151"/>
      <c r="AD256" t="s">
        <v>351</v>
      </c>
      <c r="AE256" s="85"/>
      <c r="AF256" s="85"/>
      <c r="AG256" s="151"/>
    </row>
    <row r="257" spans="1:33" x14ac:dyDescent="0.25">
      <c r="A257" s="84" t="s">
        <v>459</v>
      </c>
      <c r="B257" s="84">
        <v>1447435722</v>
      </c>
      <c r="C257" s="85">
        <v>3</v>
      </c>
      <c r="D257" s="85">
        <v>2016</v>
      </c>
      <c r="E257" s="151">
        <v>151020</v>
      </c>
      <c r="F257" s="86" t="s">
        <v>351</v>
      </c>
      <c r="G257" s="85">
        <v>3</v>
      </c>
      <c r="H257" s="85">
        <v>2017</v>
      </c>
      <c r="I257" s="151">
        <v>143328</v>
      </c>
      <c r="J257" s="86" t="s">
        <v>351</v>
      </c>
      <c r="K257" s="85">
        <v>3</v>
      </c>
      <c r="L257" s="85">
        <v>2018</v>
      </c>
      <c r="M257" s="151">
        <v>104755</v>
      </c>
      <c r="N257" s="86" t="s">
        <v>351</v>
      </c>
      <c r="O257" s="85">
        <v>3</v>
      </c>
      <c r="P257" s="85">
        <v>2019</v>
      </c>
      <c r="Q257" s="151">
        <v>204631</v>
      </c>
      <c r="R257" s="86" t="s">
        <v>351</v>
      </c>
      <c r="S257" s="85">
        <v>3</v>
      </c>
      <c r="T257" s="85">
        <v>2020</v>
      </c>
      <c r="U257" s="151">
        <v>66292</v>
      </c>
      <c r="V257" s="86" t="s">
        <v>351</v>
      </c>
      <c r="W257" s="85">
        <v>3</v>
      </c>
      <c r="X257" s="85">
        <v>2022</v>
      </c>
      <c r="Y257" s="151">
        <v>65598</v>
      </c>
      <c r="Z257" s="86" t="s">
        <v>351</v>
      </c>
      <c r="AA257" s="85">
        <v>3</v>
      </c>
      <c r="AB257" s="85">
        <v>2023</v>
      </c>
      <c r="AC257" s="151">
        <v>119024</v>
      </c>
      <c r="AD257" t="s">
        <v>351</v>
      </c>
      <c r="AE257" s="85"/>
      <c r="AF257" s="85"/>
      <c r="AG257" s="151" t="s">
        <v>596</v>
      </c>
    </row>
    <row r="258" spans="1:33" x14ac:dyDescent="0.25">
      <c r="A258" s="84" t="s">
        <v>460</v>
      </c>
      <c r="B258" s="84">
        <v>1245287762</v>
      </c>
      <c r="C258" s="85">
        <v>3</v>
      </c>
      <c r="D258" s="85">
        <v>2016</v>
      </c>
      <c r="E258" s="151">
        <v>137564</v>
      </c>
      <c r="F258" s="86" t="s">
        <v>351</v>
      </c>
      <c r="G258" s="85">
        <v>3</v>
      </c>
      <c r="H258" s="85">
        <v>2019</v>
      </c>
      <c r="I258" s="151">
        <v>125286</v>
      </c>
      <c r="J258" s="86" t="s">
        <v>351</v>
      </c>
      <c r="K258" s="85">
        <v>3</v>
      </c>
      <c r="L258" s="85">
        <v>2020</v>
      </c>
      <c r="M258" s="151">
        <v>94646</v>
      </c>
      <c r="N258" s="86" t="s">
        <v>351</v>
      </c>
      <c r="O258" s="85">
        <v>3</v>
      </c>
      <c r="P258" s="85">
        <v>2022</v>
      </c>
      <c r="Q258" s="151">
        <v>151108</v>
      </c>
      <c r="R258" s="86" t="s">
        <v>351</v>
      </c>
      <c r="S258" s="85">
        <v>3</v>
      </c>
      <c r="T258" s="85">
        <v>2023</v>
      </c>
      <c r="U258" s="151">
        <v>174935</v>
      </c>
      <c r="V258" s="86" t="s">
        <v>351</v>
      </c>
      <c r="W258" s="85"/>
      <c r="X258" s="85"/>
      <c r="Y258" s="151"/>
      <c r="Z258" s="86" t="s">
        <v>351</v>
      </c>
      <c r="AA258" s="85"/>
      <c r="AB258" s="85"/>
      <c r="AC258" s="151"/>
      <c r="AD258" t="s">
        <v>351</v>
      </c>
      <c r="AE258" s="85"/>
      <c r="AF258" s="85"/>
      <c r="AG258" s="151" t="s">
        <v>596</v>
      </c>
    </row>
    <row r="259" spans="1:33" x14ac:dyDescent="0.25">
      <c r="A259" s="87" t="s">
        <v>461</v>
      </c>
      <c r="B259" s="84">
        <v>1134175524</v>
      </c>
      <c r="C259" s="85">
        <v>3</v>
      </c>
      <c r="D259" s="85">
        <v>2016</v>
      </c>
      <c r="E259" s="151">
        <v>52755</v>
      </c>
      <c r="F259" s="86" t="s">
        <v>351</v>
      </c>
      <c r="G259" s="85">
        <v>3</v>
      </c>
      <c r="H259" s="85">
        <v>2017</v>
      </c>
      <c r="I259" s="151">
        <v>149097</v>
      </c>
      <c r="J259" s="86" t="s">
        <v>351</v>
      </c>
      <c r="K259" s="85">
        <v>3</v>
      </c>
      <c r="L259" s="85">
        <v>2018</v>
      </c>
      <c r="M259" s="151">
        <v>56812</v>
      </c>
      <c r="N259" s="86" t="s">
        <v>351</v>
      </c>
      <c r="O259" s="85">
        <v>3</v>
      </c>
      <c r="P259" s="85">
        <v>2019</v>
      </c>
      <c r="Q259" s="151">
        <v>50173</v>
      </c>
      <c r="R259" s="86" t="s">
        <v>351</v>
      </c>
      <c r="S259" s="85">
        <v>3</v>
      </c>
      <c r="T259" s="85">
        <v>2020</v>
      </c>
      <c r="U259" s="151">
        <v>43011</v>
      </c>
      <c r="V259" s="86" t="s">
        <v>351</v>
      </c>
      <c r="W259" s="85">
        <v>3</v>
      </c>
      <c r="X259" s="85">
        <v>2022</v>
      </c>
      <c r="Y259" s="151">
        <v>139269</v>
      </c>
      <c r="Z259" s="86" t="s">
        <v>351</v>
      </c>
      <c r="AA259" s="85"/>
      <c r="AB259" s="85"/>
      <c r="AC259" s="151"/>
      <c r="AD259" t="s">
        <v>351</v>
      </c>
      <c r="AE259" s="85"/>
      <c r="AF259" s="85"/>
      <c r="AG259" s="151"/>
    </row>
    <row r="260" spans="1:33" x14ac:dyDescent="0.25">
      <c r="A260" s="87" t="s">
        <v>462</v>
      </c>
      <c r="B260" s="84">
        <v>1144277666</v>
      </c>
      <c r="C260" s="85">
        <v>3</v>
      </c>
      <c r="D260" s="85">
        <v>2016</v>
      </c>
      <c r="E260" s="151">
        <v>76726</v>
      </c>
      <c r="F260" s="86" t="s">
        <v>351</v>
      </c>
      <c r="G260" s="85">
        <v>3</v>
      </c>
      <c r="H260" s="85">
        <v>2017</v>
      </c>
      <c r="I260" s="151">
        <v>271109</v>
      </c>
      <c r="J260" s="86" t="s">
        <v>351</v>
      </c>
      <c r="K260" s="85">
        <v>3</v>
      </c>
      <c r="L260" s="85">
        <v>2018</v>
      </c>
      <c r="M260" s="151">
        <v>205278</v>
      </c>
      <c r="N260" s="86" t="s">
        <v>351</v>
      </c>
      <c r="O260" s="85">
        <v>3</v>
      </c>
      <c r="P260" s="85">
        <v>2019</v>
      </c>
      <c r="Q260" s="151">
        <v>114911</v>
      </c>
      <c r="R260" s="86" t="s">
        <v>351</v>
      </c>
      <c r="S260" s="85">
        <v>3</v>
      </c>
      <c r="T260" s="85">
        <v>2020</v>
      </c>
      <c r="U260" s="151">
        <v>88963</v>
      </c>
      <c r="V260" s="86" t="s">
        <v>351</v>
      </c>
      <c r="W260" s="85"/>
      <c r="X260" s="85"/>
      <c r="Y260" s="151"/>
      <c r="Z260" s="86" t="s">
        <v>351</v>
      </c>
      <c r="AA260" s="85"/>
      <c r="AB260" s="85"/>
      <c r="AC260" s="151"/>
      <c r="AD260" t="s">
        <v>351</v>
      </c>
      <c r="AE260" s="85"/>
      <c r="AF260" s="85"/>
      <c r="AG260" s="151"/>
    </row>
    <row r="261" spans="1:33" x14ac:dyDescent="0.25">
      <c r="A261" s="87" t="s">
        <v>463</v>
      </c>
      <c r="B261" s="84">
        <v>1245285253</v>
      </c>
      <c r="C261" s="85">
        <v>3</v>
      </c>
      <c r="D261" s="85">
        <v>2016</v>
      </c>
      <c r="E261" s="151">
        <v>84245</v>
      </c>
      <c r="F261" s="86" t="s">
        <v>351</v>
      </c>
      <c r="G261" s="85">
        <v>3</v>
      </c>
      <c r="H261" s="85">
        <v>2017</v>
      </c>
      <c r="I261" s="151">
        <v>348434</v>
      </c>
      <c r="J261" s="86" t="s">
        <v>351</v>
      </c>
      <c r="K261" s="85">
        <v>3</v>
      </c>
      <c r="L261" s="85">
        <v>2018</v>
      </c>
      <c r="M261" s="151">
        <v>120732</v>
      </c>
      <c r="N261" s="86" t="s">
        <v>351</v>
      </c>
      <c r="O261" s="85">
        <v>3</v>
      </c>
      <c r="P261" s="85">
        <v>2019</v>
      </c>
      <c r="Q261" s="151">
        <v>72762</v>
      </c>
      <c r="R261" s="86" t="s">
        <v>351</v>
      </c>
      <c r="S261" s="85">
        <v>3</v>
      </c>
      <c r="T261" s="85">
        <v>2020</v>
      </c>
      <c r="U261" s="151">
        <v>60493</v>
      </c>
      <c r="V261" s="86" t="s">
        <v>351</v>
      </c>
      <c r="W261" s="85">
        <v>3</v>
      </c>
      <c r="X261" s="85">
        <v>2022</v>
      </c>
      <c r="Y261" s="151">
        <v>323360</v>
      </c>
      <c r="Z261" s="86" t="s">
        <v>351</v>
      </c>
      <c r="AA261" s="85"/>
      <c r="AB261" s="85"/>
      <c r="AC261" s="151"/>
      <c r="AD261" t="s">
        <v>351</v>
      </c>
      <c r="AE261" s="85"/>
      <c r="AF261" s="85"/>
      <c r="AG261" s="151"/>
    </row>
    <row r="262" spans="1:33" x14ac:dyDescent="0.25">
      <c r="A262" s="87" t="s">
        <v>464</v>
      </c>
      <c r="B262" s="84">
        <v>1730136250</v>
      </c>
      <c r="C262" s="85">
        <v>3</v>
      </c>
      <c r="D262" s="85">
        <v>2016</v>
      </c>
      <c r="E262" s="151">
        <v>109068</v>
      </c>
      <c r="F262" s="86" t="s">
        <v>351</v>
      </c>
      <c r="G262" s="85">
        <v>3</v>
      </c>
      <c r="H262" s="85">
        <v>2017</v>
      </c>
      <c r="I262" s="151">
        <v>85197</v>
      </c>
      <c r="J262" s="86" t="s">
        <v>351</v>
      </c>
      <c r="K262" s="85">
        <v>3</v>
      </c>
      <c r="L262" s="85">
        <v>2018</v>
      </c>
      <c r="M262" s="151">
        <v>192545</v>
      </c>
      <c r="N262" s="86" t="s">
        <v>351</v>
      </c>
      <c r="O262" s="85">
        <v>3</v>
      </c>
      <c r="P262" s="85">
        <v>2019</v>
      </c>
      <c r="Q262" s="151">
        <v>153851</v>
      </c>
      <c r="R262" s="86" t="s">
        <v>351</v>
      </c>
      <c r="S262" s="85">
        <v>3</v>
      </c>
      <c r="T262" s="85">
        <v>2020</v>
      </c>
      <c r="U262" s="151">
        <v>200682</v>
      </c>
      <c r="V262" s="86" t="s">
        <v>351</v>
      </c>
      <c r="W262" s="85">
        <v>3</v>
      </c>
      <c r="X262" s="85">
        <v>2022</v>
      </c>
      <c r="Y262" s="151">
        <v>148834</v>
      </c>
      <c r="Z262" s="86" t="s">
        <v>351</v>
      </c>
      <c r="AA262" s="85">
        <v>3</v>
      </c>
      <c r="AB262" s="85">
        <v>2023</v>
      </c>
      <c r="AC262" s="151">
        <v>239940</v>
      </c>
      <c r="AD262" t="s">
        <v>351</v>
      </c>
      <c r="AE262" s="85"/>
      <c r="AF262" s="85"/>
      <c r="AG262" s="151" t="s">
        <v>596</v>
      </c>
    </row>
    <row r="263" spans="1:33" x14ac:dyDescent="0.25">
      <c r="A263" s="87" t="s">
        <v>465</v>
      </c>
      <c r="B263" s="84">
        <v>1033513320</v>
      </c>
      <c r="C263" s="85">
        <v>3</v>
      </c>
      <c r="D263" s="85">
        <v>2016</v>
      </c>
      <c r="E263" s="151">
        <v>156448</v>
      </c>
      <c r="F263" s="86" t="s">
        <v>351</v>
      </c>
      <c r="G263" s="85">
        <v>3</v>
      </c>
      <c r="H263" s="85">
        <v>2017</v>
      </c>
      <c r="I263" s="151">
        <v>132172</v>
      </c>
      <c r="J263" s="86" t="s">
        <v>351</v>
      </c>
      <c r="K263" s="85">
        <v>3</v>
      </c>
      <c r="L263" s="85">
        <v>2018</v>
      </c>
      <c r="M263" s="151">
        <v>247632</v>
      </c>
      <c r="N263" s="86" t="s">
        <v>351</v>
      </c>
      <c r="O263" s="85">
        <v>3</v>
      </c>
      <c r="P263" s="85">
        <v>2019</v>
      </c>
      <c r="Q263" s="151">
        <v>444938</v>
      </c>
      <c r="R263" s="86" t="s">
        <v>351</v>
      </c>
      <c r="S263" s="85">
        <v>3</v>
      </c>
      <c r="T263" s="85">
        <v>2020</v>
      </c>
      <c r="U263" s="151">
        <v>117034</v>
      </c>
      <c r="V263" s="86" t="s">
        <v>351</v>
      </c>
      <c r="W263" s="85"/>
      <c r="X263" s="85"/>
      <c r="Y263" s="151"/>
      <c r="Z263" s="86" t="s">
        <v>351</v>
      </c>
      <c r="AA263" s="85"/>
      <c r="AB263" s="85"/>
      <c r="AC263" s="151"/>
      <c r="AD263" t="s">
        <v>351</v>
      </c>
      <c r="AE263" s="85"/>
      <c r="AF263" s="85"/>
      <c r="AG263" s="151" t="s">
        <v>596</v>
      </c>
    </row>
    <row r="264" spans="1:33" x14ac:dyDescent="0.25">
      <c r="A264" s="84" t="s">
        <v>466</v>
      </c>
      <c r="B264" s="84">
        <v>1023358991</v>
      </c>
      <c r="C264" s="85">
        <v>3</v>
      </c>
      <c r="D264" s="85">
        <v>2016</v>
      </c>
      <c r="E264" s="151">
        <v>90490</v>
      </c>
      <c r="F264" s="86" t="s">
        <v>351</v>
      </c>
      <c r="G264" s="85">
        <v>3</v>
      </c>
      <c r="H264" s="85">
        <v>2017</v>
      </c>
      <c r="I264" s="151">
        <v>263236</v>
      </c>
      <c r="J264" s="86" t="s">
        <v>351</v>
      </c>
      <c r="K264" s="85">
        <v>3</v>
      </c>
      <c r="L264" s="85">
        <v>2018</v>
      </c>
      <c r="M264" s="151">
        <v>99652</v>
      </c>
      <c r="N264" s="86" t="s">
        <v>351</v>
      </c>
      <c r="O264" s="85">
        <v>3</v>
      </c>
      <c r="P264" s="85">
        <v>2019</v>
      </c>
      <c r="Q264" s="151">
        <v>66631</v>
      </c>
      <c r="R264" s="86" t="s">
        <v>351</v>
      </c>
      <c r="S264" s="85">
        <v>3</v>
      </c>
      <c r="T264" s="85">
        <v>2020</v>
      </c>
      <c r="U264" s="151">
        <v>74344</v>
      </c>
      <c r="V264" s="86" t="s">
        <v>351</v>
      </c>
      <c r="W264" s="85">
        <v>3</v>
      </c>
      <c r="X264" s="85">
        <v>2022</v>
      </c>
      <c r="Y264" s="151">
        <v>145605</v>
      </c>
      <c r="Z264" s="86" t="s">
        <v>351</v>
      </c>
      <c r="AA264" s="85">
        <v>3</v>
      </c>
      <c r="AB264" s="85">
        <v>2023</v>
      </c>
      <c r="AC264" s="151">
        <v>52739</v>
      </c>
      <c r="AD264" t="s">
        <v>351</v>
      </c>
      <c r="AE264" s="85"/>
      <c r="AF264" s="85"/>
      <c r="AG264" s="151" t="s">
        <v>596</v>
      </c>
    </row>
    <row r="265" spans="1:33" x14ac:dyDescent="0.25">
      <c r="A265" s="87" t="s">
        <v>467</v>
      </c>
      <c r="B265" s="84">
        <v>1700833233</v>
      </c>
      <c r="C265" s="85">
        <v>3</v>
      </c>
      <c r="D265" s="85">
        <v>2016</v>
      </c>
      <c r="E265" s="151">
        <v>181812</v>
      </c>
      <c r="F265" s="86" t="s">
        <v>351</v>
      </c>
      <c r="G265" s="85">
        <v>3</v>
      </c>
      <c r="H265" s="85">
        <v>2017</v>
      </c>
      <c r="I265" s="151">
        <v>240393</v>
      </c>
      <c r="J265" s="86" t="s">
        <v>351</v>
      </c>
      <c r="K265" s="85">
        <v>3</v>
      </c>
      <c r="L265" s="85">
        <v>2018</v>
      </c>
      <c r="M265" s="151">
        <v>48861</v>
      </c>
      <c r="N265" s="86" t="s">
        <v>351</v>
      </c>
      <c r="O265" s="85">
        <v>3</v>
      </c>
      <c r="P265" s="85">
        <v>2019</v>
      </c>
      <c r="Q265" s="151">
        <v>76097</v>
      </c>
      <c r="R265" s="86" t="s">
        <v>351</v>
      </c>
      <c r="S265" s="85">
        <v>3</v>
      </c>
      <c r="T265" s="85">
        <v>2020</v>
      </c>
      <c r="U265" s="151">
        <v>80267</v>
      </c>
      <c r="V265" s="86" t="s">
        <v>351</v>
      </c>
      <c r="W265" s="85">
        <v>3</v>
      </c>
      <c r="X265" s="85">
        <v>2022</v>
      </c>
      <c r="Y265" s="151">
        <v>82824</v>
      </c>
      <c r="Z265" s="86" t="s">
        <v>351</v>
      </c>
      <c r="AA265" s="85">
        <v>3</v>
      </c>
      <c r="AB265" s="85">
        <v>2023</v>
      </c>
      <c r="AC265" s="151">
        <v>74609</v>
      </c>
      <c r="AD265" t="s">
        <v>351</v>
      </c>
      <c r="AE265" s="85"/>
      <c r="AF265" s="85"/>
      <c r="AG265" s="151" t="s">
        <v>596</v>
      </c>
    </row>
    <row r="266" spans="1:33" x14ac:dyDescent="0.25">
      <c r="A266" s="87" t="s">
        <v>468</v>
      </c>
      <c r="B266" s="84">
        <v>1851348379</v>
      </c>
      <c r="C266" s="85">
        <v>3</v>
      </c>
      <c r="D266" s="85">
        <v>2016</v>
      </c>
      <c r="E266" s="151">
        <v>88033</v>
      </c>
      <c r="F266" s="86" t="s">
        <v>351</v>
      </c>
      <c r="G266" s="85">
        <v>3</v>
      </c>
      <c r="H266" s="85">
        <v>2017</v>
      </c>
      <c r="I266" s="151">
        <v>326485</v>
      </c>
      <c r="J266" s="86" t="s">
        <v>351</v>
      </c>
      <c r="K266" s="85">
        <v>3</v>
      </c>
      <c r="L266" s="85">
        <v>2018</v>
      </c>
      <c r="M266" s="151">
        <v>147942</v>
      </c>
      <c r="N266" s="86" t="s">
        <v>351</v>
      </c>
      <c r="O266" s="85">
        <v>3</v>
      </c>
      <c r="P266" s="85">
        <v>2019</v>
      </c>
      <c r="Q266" s="151">
        <v>82767</v>
      </c>
      <c r="R266" s="86" t="s">
        <v>351</v>
      </c>
      <c r="S266" s="85">
        <v>3</v>
      </c>
      <c r="T266" s="85">
        <v>2020</v>
      </c>
      <c r="U266" s="151">
        <v>126117</v>
      </c>
      <c r="V266" s="86" t="s">
        <v>351</v>
      </c>
      <c r="W266" s="85">
        <v>3</v>
      </c>
      <c r="X266" s="85">
        <v>2022</v>
      </c>
      <c r="Y266" s="151">
        <v>164809</v>
      </c>
      <c r="Z266" s="86" t="s">
        <v>351</v>
      </c>
      <c r="AA266" s="85">
        <v>3</v>
      </c>
      <c r="AB266" s="85">
        <v>2023</v>
      </c>
      <c r="AC266" s="151">
        <v>63730</v>
      </c>
      <c r="AD266" t="s">
        <v>351</v>
      </c>
      <c r="AE266" s="85"/>
      <c r="AF266" s="85"/>
      <c r="AG266" s="151" t="s">
        <v>596</v>
      </c>
    </row>
    <row r="267" spans="1:33" x14ac:dyDescent="0.25">
      <c r="A267" s="87" t="s">
        <v>469</v>
      </c>
      <c r="B267" s="84">
        <v>1992106348</v>
      </c>
      <c r="C267" s="85">
        <v>3</v>
      </c>
      <c r="D267" s="85">
        <v>2016</v>
      </c>
      <c r="E267" s="151">
        <v>57656</v>
      </c>
      <c r="F267" s="86" t="s">
        <v>351</v>
      </c>
      <c r="G267" s="85">
        <v>3</v>
      </c>
      <c r="H267" s="85">
        <v>2017</v>
      </c>
      <c r="I267" s="151">
        <v>124613</v>
      </c>
      <c r="J267" s="86" t="s">
        <v>351</v>
      </c>
      <c r="K267" s="85">
        <v>3</v>
      </c>
      <c r="L267" s="85">
        <v>2019</v>
      </c>
      <c r="M267" s="151">
        <v>69792</v>
      </c>
      <c r="N267" s="86" t="s">
        <v>351</v>
      </c>
      <c r="O267" s="85">
        <v>3</v>
      </c>
      <c r="P267" s="85">
        <v>2020</v>
      </c>
      <c r="Q267" s="151">
        <v>89537</v>
      </c>
      <c r="R267" s="86" t="s">
        <v>351</v>
      </c>
      <c r="S267" s="85">
        <v>3</v>
      </c>
      <c r="T267" s="85">
        <v>2022</v>
      </c>
      <c r="U267" s="151">
        <v>87131</v>
      </c>
      <c r="V267" s="86" t="s">
        <v>351</v>
      </c>
      <c r="W267" s="85">
        <v>3</v>
      </c>
      <c r="X267" s="85">
        <v>2023</v>
      </c>
      <c r="Y267" s="151">
        <v>86196</v>
      </c>
      <c r="Z267" s="86" t="s">
        <v>351</v>
      </c>
      <c r="AA267" s="85"/>
      <c r="AB267" s="85"/>
      <c r="AC267" s="151"/>
      <c r="AD267" t="s">
        <v>351</v>
      </c>
      <c r="AE267" s="85"/>
      <c r="AF267" s="85"/>
      <c r="AG267" s="151" t="s">
        <v>596</v>
      </c>
    </row>
    <row r="268" spans="1:33" x14ac:dyDescent="0.25">
      <c r="A268" s="87" t="s">
        <v>470</v>
      </c>
      <c r="B268" s="84">
        <v>1548696834</v>
      </c>
      <c r="C268" s="85">
        <v>3</v>
      </c>
      <c r="D268" s="85">
        <v>2021</v>
      </c>
      <c r="E268" s="151">
        <v>31169</v>
      </c>
      <c r="F268" s="86" t="s">
        <v>351</v>
      </c>
      <c r="G268" s="85"/>
      <c r="H268" s="85"/>
      <c r="I268" s="151"/>
      <c r="J268" s="86" t="s">
        <v>351</v>
      </c>
      <c r="K268" s="85"/>
      <c r="L268" s="85"/>
      <c r="M268" s="151"/>
      <c r="N268" s="86" t="s">
        <v>351</v>
      </c>
      <c r="O268" s="85"/>
      <c r="P268" s="85"/>
      <c r="Q268" s="151"/>
      <c r="R268" s="86" t="s">
        <v>351</v>
      </c>
      <c r="S268" s="85"/>
      <c r="T268" s="85"/>
      <c r="U268" s="151"/>
      <c r="V268" s="86" t="s">
        <v>351</v>
      </c>
      <c r="W268" s="85"/>
      <c r="X268" s="85"/>
      <c r="Y268" s="151"/>
      <c r="Z268" s="86" t="s">
        <v>351</v>
      </c>
      <c r="AA268" s="85"/>
      <c r="AB268" s="85"/>
      <c r="AC268" s="151"/>
      <c r="AD268" t="s">
        <v>351</v>
      </c>
      <c r="AE268" s="85"/>
      <c r="AF268" s="85"/>
      <c r="AG268" s="151"/>
    </row>
    <row r="269" spans="1:33" x14ac:dyDescent="0.25">
      <c r="A269" s="87" t="s">
        <v>264</v>
      </c>
      <c r="B269" s="84">
        <v>1396161527</v>
      </c>
      <c r="C269" s="85">
        <v>3</v>
      </c>
      <c r="D269" s="85">
        <v>2016</v>
      </c>
      <c r="E269" s="151">
        <v>88271</v>
      </c>
      <c r="F269" s="86" t="s">
        <v>351</v>
      </c>
      <c r="G269" s="85">
        <v>3</v>
      </c>
      <c r="H269" s="85">
        <v>2019</v>
      </c>
      <c r="I269" s="151">
        <v>81801</v>
      </c>
      <c r="J269" s="86" t="s">
        <v>351</v>
      </c>
      <c r="K269" s="85">
        <v>3</v>
      </c>
      <c r="L269" s="85">
        <v>2021</v>
      </c>
      <c r="M269" s="151">
        <v>270273</v>
      </c>
      <c r="N269" s="86" t="s">
        <v>351</v>
      </c>
      <c r="O269" s="85">
        <v>3</v>
      </c>
      <c r="P269" s="85">
        <v>2022</v>
      </c>
      <c r="Q269" s="151">
        <v>514584</v>
      </c>
      <c r="R269" s="86" t="s">
        <v>351</v>
      </c>
      <c r="S269" s="85">
        <v>3</v>
      </c>
      <c r="T269" s="85">
        <v>2023</v>
      </c>
      <c r="U269" s="151">
        <v>209726</v>
      </c>
      <c r="V269" s="86" t="s">
        <v>351</v>
      </c>
      <c r="W269" s="85"/>
      <c r="X269" s="85"/>
      <c r="Y269" s="151"/>
      <c r="Z269" s="86" t="s">
        <v>351</v>
      </c>
      <c r="AA269" s="85"/>
      <c r="AB269" s="85"/>
      <c r="AC269" s="151"/>
      <c r="AD269" t="s">
        <v>351</v>
      </c>
      <c r="AE269" s="85"/>
      <c r="AF269" s="85"/>
      <c r="AG269" s="151" t="s">
        <v>596</v>
      </c>
    </row>
    <row r="270" spans="1:33" x14ac:dyDescent="0.25">
      <c r="A270" s="87" t="s">
        <v>265</v>
      </c>
      <c r="B270" s="84">
        <v>1770582363</v>
      </c>
      <c r="C270" s="85">
        <v>3</v>
      </c>
      <c r="D270" s="85">
        <v>2016</v>
      </c>
      <c r="E270" s="151">
        <v>104436</v>
      </c>
      <c r="F270" s="86" t="s">
        <v>351</v>
      </c>
      <c r="G270" s="85">
        <v>3</v>
      </c>
      <c r="H270" s="85">
        <v>2018</v>
      </c>
      <c r="I270" s="151">
        <v>111607</v>
      </c>
      <c r="J270" s="86" t="s">
        <v>351</v>
      </c>
      <c r="K270" s="85">
        <v>3</v>
      </c>
      <c r="L270" s="85">
        <v>2019</v>
      </c>
      <c r="M270" s="151">
        <v>1186472</v>
      </c>
      <c r="N270" s="86" t="s">
        <v>351</v>
      </c>
      <c r="O270" s="85">
        <v>3</v>
      </c>
      <c r="P270" s="85">
        <v>2022</v>
      </c>
      <c r="Q270" s="151">
        <v>768516</v>
      </c>
      <c r="R270" s="86" t="s">
        <v>351</v>
      </c>
      <c r="S270" s="85">
        <v>3</v>
      </c>
      <c r="T270" s="85">
        <v>2023</v>
      </c>
      <c r="U270" s="151">
        <v>218988</v>
      </c>
      <c r="V270" s="86" t="s">
        <v>351</v>
      </c>
      <c r="W270" s="85"/>
      <c r="X270" s="85"/>
      <c r="Y270" s="151"/>
      <c r="Z270" s="86" t="s">
        <v>351</v>
      </c>
      <c r="AA270" s="85"/>
      <c r="AB270" s="85"/>
      <c r="AC270" s="151"/>
      <c r="AD270" t="s">
        <v>351</v>
      </c>
      <c r="AE270" s="85"/>
      <c r="AF270" s="85"/>
      <c r="AG270" s="151" t="s">
        <v>596</v>
      </c>
    </row>
    <row r="271" spans="1:33" x14ac:dyDescent="0.25">
      <c r="A271" s="87" t="s">
        <v>266</v>
      </c>
      <c r="B271" s="84">
        <v>1376542878</v>
      </c>
      <c r="C271" s="85">
        <v>3</v>
      </c>
      <c r="D271" s="85">
        <v>2017</v>
      </c>
      <c r="E271" s="151">
        <v>230244</v>
      </c>
      <c r="F271" s="86" t="s">
        <v>351</v>
      </c>
      <c r="G271" s="85">
        <v>3</v>
      </c>
      <c r="H271" s="85">
        <v>2018</v>
      </c>
      <c r="I271" s="151">
        <v>158576</v>
      </c>
      <c r="J271" s="86" t="s">
        <v>351</v>
      </c>
      <c r="K271" s="85">
        <v>3</v>
      </c>
      <c r="L271" s="85">
        <v>2019</v>
      </c>
      <c r="M271" s="151">
        <v>1084165</v>
      </c>
      <c r="N271" s="86" t="s">
        <v>351</v>
      </c>
      <c r="O271" s="85">
        <v>3</v>
      </c>
      <c r="P271" s="85">
        <v>2022</v>
      </c>
      <c r="Q271" s="151">
        <v>131867</v>
      </c>
      <c r="R271" s="86" t="s">
        <v>351</v>
      </c>
      <c r="S271" s="85"/>
      <c r="T271" s="85"/>
      <c r="U271" s="151"/>
      <c r="V271" s="86" t="s">
        <v>351</v>
      </c>
      <c r="W271" s="85"/>
      <c r="X271" s="85"/>
      <c r="Y271" s="151"/>
      <c r="Z271" s="86" t="s">
        <v>351</v>
      </c>
      <c r="AA271" s="85"/>
      <c r="AB271" s="85"/>
      <c r="AC271" s="151"/>
      <c r="AD271" t="s">
        <v>351</v>
      </c>
      <c r="AE271" s="85"/>
      <c r="AF271" s="85"/>
      <c r="AG271" s="151"/>
    </row>
    <row r="272" spans="1:33" x14ac:dyDescent="0.25">
      <c r="A272" s="87" t="s">
        <v>471</v>
      </c>
      <c r="B272" s="84">
        <v>1598127276</v>
      </c>
      <c r="C272" s="85"/>
      <c r="D272" s="85"/>
      <c r="E272" s="151"/>
      <c r="F272" s="86" t="s">
        <v>351</v>
      </c>
      <c r="G272" s="85"/>
      <c r="H272" s="85"/>
      <c r="I272" s="151"/>
      <c r="J272" s="86" t="s">
        <v>351</v>
      </c>
      <c r="K272" s="85"/>
      <c r="L272" s="85"/>
      <c r="M272" s="151"/>
      <c r="N272" s="86" t="s">
        <v>351</v>
      </c>
      <c r="O272" s="85"/>
      <c r="P272" s="85"/>
      <c r="Q272" s="151"/>
      <c r="R272" s="86" t="s">
        <v>351</v>
      </c>
      <c r="S272" s="85"/>
      <c r="T272" s="85"/>
      <c r="U272" s="151"/>
      <c r="V272" s="86" t="s">
        <v>351</v>
      </c>
      <c r="W272" s="85"/>
      <c r="X272" s="85"/>
      <c r="Y272" s="151"/>
      <c r="Z272" s="86" t="s">
        <v>351</v>
      </c>
      <c r="AA272" s="85"/>
      <c r="AB272" s="85"/>
      <c r="AC272" s="151"/>
      <c r="AD272" t="s">
        <v>351</v>
      </c>
      <c r="AE272" s="85"/>
      <c r="AF272" s="85"/>
      <c r="AG272" s="151"/>
    </row>
    <row r="273" spans="1:33" x14ac:dyDescent="0.25">
      <c r="A273" s="87" t="s">
        <v>472</v>
      </c>
      <c r="B273" s="84">
        <v>1689603060</v>
      </c>
      <c r="C273" s="85">
        <v>3</v>
      </c>
      <c r="D273" s="85">
        <v>2019</v>
      </c>
      <c r="E273" s="151">
        <v>80203</v>
      </c>
      <c r="F273" s="86" t="s">
        <v>351</v>
      </c>
      <c r="G273" s="85">
        <v>3</v>
      </c>
      <c r="H273" s="85">
        <v>2021</v>
      </c>
      <c r="I273" s="151">
        <v>88210</v>
      </c>
      <c r="J273" s="86" t="s">
        <v>351</v>
      </c>
      <c r="K273" s="85"/>
      <c r="L273" s="85"/>
      <c r="M273" s="151"/>
      <c r="N273" s="86" t="s">
        <v>351</v>
      </c>
      <c r="O273" s="85"/>
      <c r="P273" s="85"/>
      <c r="Q273" s="151"/>
      <c r="R273" s="86" t="s">
        <v>351</v>
      </c>
      <c r="S273" s="85"/>
      <c r="T273" s="85"/>
      <c r="U273" s="151"/>
      <c r="V273" s="86" t="s">
        <v>351</v>
      </c>
      <c r="W273" s="85"/>
      <c r="X273" s="85"/>
      <c r="Y273" s="151"/>
      <c r="Z273" s="86" t="s">
        <v>351</v>
      </c>
      <c r="AA273" s="85"/>
      <c r="AB273" s="85"/>
      <c r="AC273" s="151"/>
      <c r="AD273" t="s">
        <v>351</v>
      </c>
      <c r="AE273" s="85"/>
      <c r="AF273" s="85"/>
      <c r="AG273" s="151"/>
    </row>
    <row r="274" spans="1:33" x14ac:dyDescent="0.25">
      <c r="A274" s="87" t="s">
        <v>794</v>
      </c>
      <c r="B274" s="84">
        <v>1700874880</v>
      </c>
      <c r="C274" s="85">
        <v>3</v>
      </c>
      <c r="D274" s="85">
        <v>2016</v>
      </c>
      <c r="E274" s="151">
        <v>1045770</v>
      </c>
      <c r="F274" s="86" t="s">
        <v>351</v>
      </c>
      <c r="G274" s="85">
        <v>3</v>
      </c>
      <c r="H274" s="85">
        <v>2021</v>
      </c>
      <c r="I274" s="151">
        <v>100567</v>
      </c>
      <c r="J274" s="86" t="s">
        <v>351</v>
      </c>
      <c r="K274" s="85"/>
      <c r="L274" s="85"/>
      <c r="M274" s="151"/>
      <c r="N274" s="86" t="s">
        <v>351</v>
      </c>
      <c r="O274" s="85"/>
      <c r="P274" s="85"/>
      <c r="Q274" s="151"/>
      <c r="R274" s="86" t="s">
        <v>351</v>
      </c>
      <c r="S274" s="85"/>
      <c r="T274" s="85"/>
      <c r="U274" s="151"/>
      <c r="V274" s="86" t="s">
        <v>351</v>
      </c>
      <c r="W274" s="85"/>
      <c r="X274" s="85"/>
      <c r="Y274" s="151"/>
      <c r="Z274" s="86" t="s">
        <v>351</v>
      </c>
      <c r="AA274" s="85"/>
      <c r="AB274" s="85"/>
      <c r="AC274" s="151"/>
      <c r="AD274" t="s">
        <v>351</v>
      </c>
      <c r="AE274" s="85"/>
      <c r="AF274" s="85"/>
      <c r="AG274" s="151"/>
    </row>
    <row r="275" spans="1:33" x14ac:dyDescent="0.25">
      <c r="A275" s="87" t="s">
        <v>267</v>
      </c>
      <c r="B275" s="84">
        <v>1306293170</v>
      </c>
      <c r="C275" s="85">
        <v>1</v>
      </c>
      <c r="D275" s="85">
        <v>2019</v>
      </c>
      <c r="E275" s="151">
        <v>-22</v>
      </c>
      <c r="F275" s="86" t="s">
        <v>351</v>
      </c>
      <c r="G275" s="85">
        <v>3</v>
      </c>
      <c r="H275" s="85">
        <v>2023</v>
      </c>
      <c r="I275" s="151">
        <v>153408</v>
      </c>
      <c r="J275" s="86" t="s">
        <v>351</v>
      </c>
      <c r="K275" s="85"/>
      <c r="L275" s="85"/>
      <c r="M275" s="151"/>
      <c r="N275" s="86" t="s">
        <v>351</v>
      </c>
      <c r="O275" s="85"/>
      <c r="P275" s="85"/>
      <c r="Q275" s="151"/>
      <c r="R275" s="86" t="s">
        <v>351</v>
      </c>
      <c r="S275" s="85"/>
      <c r="T275" s="85"/>
      <c r="U275" s="151"/>
      <c r="V275" s="86" t="s">
        <v>351</v>
      </c>
      <c r="W275" s="85"/>
      <c r="X275" s="85"/>
      <c r="Y275" s="151"/>
      <c r="Z275" s="86" t="s">
        <v>351</v>
      </c>
      <c r="AA275" s="85"/>
      <c r="AB275" s="85"/>
      <c r="AC275" s="151"/>
      <c r="AD275" t="s">
        <v>351</v>
      </c>
      <c r="AE275" s="85"/>
      <c r="AF275" s="85"/>
      <c r="AG275" s="151" t="s">
        <v>596</v>
      </c>
    </row>
    <row r="276" spans="1:33" x14ac:dyDescent="0.25">
      <c r="A276" s="87" t="s">
        <v>268</v>
      </c>
      <c r="B276" s="84">
        <v>1518968890</v>
      </c>
      <c r="C276" s="85"/>
      <c r="D276" s="85"/>
      <c r="E276" s="151"/>
      <c r="F276" s="91" t="s">
        <v>351</v>
      </c>
      <c r="G276" s="85"/>
      <c r="H276" s="85"/>
      <c r="I276" s="151"/>
      <c r="J276" s="91" t="s">
        <v>351</v>
      </c>
      <c r="K276" s="85"/>
      <c r="L276" s="85"/>
      <c r="M276" s="151"/>
      <c r="N276" s="91" t="s">
        <v>351</v>
      </c>
      <c r="O276" s="85"/>
      <c r="P276" s="85"/>
      <c r="Q276" s="151"/>
      <c r="R276" s="91" t="s">
        <v>351</v>
      </c>
      <c r="S276" s="85"/>
      <c r="T276" s="85"/>
      <c r="U276" s="151"/>
      <c r="V276" s="86" t="s">
        <v>351</v>
      </c>
      <c r="W276" s="85"/>
      <c r="X276" s="85"/>
      <c r="Y276" s="151"/>
      <c r="Z276" s="86" t="s">
        <v>351</v>
      </c>
      <c r="AA276" s="85"/>
      <c r="AB276" s="85"/>
      <c r="AC276" s="151"/>
      <c r="AD276" t="s">
        <v>351</v>
      </c>
      <c r="AE276" s="85"/>
      <c r="AF276" s="85"/>
      <c r="AG276" s="151"/>
    </row>
    <row r="277" spans="1:33" x14ac:dyDescent="0.25">
      <c r="A277" s="84" t="s">
        <v>473</v>
      </c>
      <c r="B277" s="84">
        <v>1750317897</v>
      </c>
      <c r="C277" s="85">
        <v>3</v>
      </c>
      <c r="D277" s="85">
        <v>2016</v>
      </c>
      <c r="E277" s="151">
        <v>125003</v>
      </c>
      <c r="F277" s="86" t="s">
        <v>351</v>
      </c>
      <c r="G277" s="85">
        <v>3</v>
      </c>
      <c r="H277" s="85">
        <v>2021</v>
      </c>
      <c r="I277" s="151">
        <v>193147</v>
      </c>
      <c r="J277" s="86" t="s">
        <v>351</v>
      </c>
      <c r="K277" s="85"/>
      <c r="L277" s="85"/>
      <c r="M277" s="151"/>
      <c r="N277" s="86" t="s">
        <v>351</v>
      </c>
      <c r="O277" s="85"/>
      <c r="P277" s="85"/>
      <c r="Q277" s="151"/>
      <c r="R277" s="86" t="s">
        <v>351</v>
      </c>
      <c r="S277" s="85"/>
      <c r="T277" s="85"/>
      <c r="U277" s="151"/>
      <c r="V277" s="86" t="s">
        <v>351</v>
      </c>
      <c r="W277" s="85"/>
      <c r="X277" s="85"/>
      <c r="Y277" s="151"/>
      <c r="Z277" s="86" t="s">
        <v>351</v>
      </c>
      <c r="AA277" s="85"/>
      <c r="AB277" s="85"/>
      <c r="AC277" s="151"/>
      <c r="AD277" t="s">
        <v>351</v>
      </c>
      <c r="AE277" s="85"/>
      <c r="AF277" s="85"/>
      <c r="AG277" s="151"/>
    </row>
    <row r="278" spans="1:33" x14ac:dyDescent="0.25">
      <c r="A278" s="87" t="s">
        <v>474</v>
      </c>
      <c r="B278" s="84">
        <v>1659307395</v>
      </c>
      <c r="C278" s="85">
        <v>3</v>
      </c>
      <c r="D278" s="85">
        <v>2019</v>
      </c>
      <c r="E278" s="151">
        <v>78986</v>
      </c>
      <c r="F278" s="86" t="s">
        <v>351</v>
      </c>
      <c r="G278" s="85">
        <v>3</v>
      </c>
      <c r="H278" s="85">
        <v>2020</v>
      </c>
      <c r="I278" s="151">
        <v>228017</v>
      </c>
      <c r="J278" s="86" t="s">
        <v>351</v>
      </c>
      <c r="K278" s="85">
        <v>3</v>
      </c>
      <c r="L278" s="85">
        <v>2021</v>
      </c>
      <c r="M278" s="151">
        <v>194369</v>
      </c>
      <c r="N278" s="86" t="s">
        <v>351</v>
      </c>
      <c r="O278" s="85">
        <v>3</v>
      </c>
      <c r="P278" s="85">
        <v>2023</v>
      </c>
      <c r="Q278" s="151">
        <v>311761</v>
      </c>
      <c r="R278" s="86" t="s">
        <v>351</v>
      </c>
      <c r="S278" s="85"/>
      <c r="T278" s="85"/>
      <c r="U278" s="151"/>
      <c r="V278" s="86" t="s">
        <v>351</v>
      </c>
      <c r="W278" s="85"/>
      <c r="X278" s="85"/>
      <c r="Y278" s="151"/>
      <c r="Z278" s="86" t="s">
        <v>351</v>
      </c>
      <c r="AA278" s="85"/>
      <c r="AB278" s="85"/>
      <c r="AC278" s="151"/>
      <c r="AD278" t="s">
        <v>351</v>
      </c>
      <c r="AE278" s="85"/>
      <c r="AF278" s="85"/>
      <c r="AG278" s="151" t="s">
        <v>596</v>
      </c>
    </row>
    <row r="279" spans="1:33" x14ac:dyDescent="0.25">
      <c r="A279" s="87" t="s">
        <v>475</v>
      </c>
      <c r="B279" s="84">
        <v>1669083291</v>
      </c>
      <c r="C279" s="85">
        <v>3</v>
      </c>
      <c r="D279" s="85">
        <v>2023</v>
      </c>
      <c r="E279" s="151">
        <v>82276</v>
      </c>
      <c r="F279" s="86" t="s">
        <v>351</v>
      </c>
      <c r="G279" s="85"/>
      <c r="H279" s="85"/>
      <c r="I279" s="151"/>
      <c r="J279" s="86" t="s">
        <v>351</v>
      </c>
      <c r="K279" s="85"/>
      <c r="L279" s="85"/>
      <c r="M279" s="151"/>
      <c r="N279" s="86" t="s">
        <v>351</v>
      </c>
      <c r="O279" s="85"/>
      <c r="P279" s="85"/>
      <c r="Q279" s="151"/>
      <c r="R279" s="86" t="s">
        <v>351</v>
      </c>
      <c r="S279" s="85"/>
      <c r="T279" s="85"/>
      <c r="U279" s="151"/>
      <c r="V279" s="86" t="s">
        <v>351</v>
      </c>
      <c r="W279" s="85"/>
      <c r="X279" s="85"/>
      <c r="Y279" s="151"/>
      <c r="Z279" s="86" t="s">
        <v>351</v>
      </c>
      <c r="AA279" s="85"/>
      <c r="AB279" s="85"/>
      <c r="AC279" s="151"/>
      <c r="AD279" t="s">
        <v>351</v>
      </c>
      <c r="AE279" s="85"/>
      <c r="AF279" s="85"/>
      <c r="AG279" s="151" t="s">
        <v>596</v>
      </c>
    </row>
    <row r="280" spans="1:33" x14ac:dyDescent="0.25">
      <c r="A280" s="87" t="s">
        <v>269</v>
      </c>
      <c r="B280" s="84">
        <v>1205252640</v>
      </c>
      <c r="C280" s="85">
        <v>3</v>
      </c>
      <c r="D280" s="85">
        <v>2019</v>
      </c>
      <c r="E280" s="151">
        <v>118550</v>
      </c>
      <c r="F280" s="86" t="s">
        <v>351</v>
      </c>
      <c r="G280" s="85">
        <v>3</v>
      </c>
      <c r="H280" s="85">
        <v>2020</v>
      </c>
      <c r="I280" s="151">
        <v>223279</v>
      </c>
      <c r="J280" s="86" t="s">
        <v>351</v>
      </c>
      <c r="K280" s="85">
        <v>3</v>
      </c>
      <c r="L280" s="85">
        <v>2021</v>
      </c>
      <c r="M280" s="151">
        <v>218955</v>
      </c>
      <c r="N280" s="86" t="s">
        <v>351</v>
      </c>
      <c r="O280" s="85">
        <v>3</v>
      </c>
      <c r="P280" s="85">
        <v>2022</v>
      </c>
      <c r="Q280" s="151">
        <v>283746</v>
      </c>
      <c r="R280" s="86" t="s">
        <v>351</v>
      </c>
      <c r="S280" s="85">
        <v>3</v>
      </c>
      <c r="T280" s="85">
        <v>2023</v>
      </c>
      <c r="U280" s="151">
        <v>76355</v>
      </c>
      <c r="V280" s="86" t="s">
        <v>351</v>
      </c>
      <c r="W280" s="85"/>
      <c r="X280" s="85"/>
      <c r="Y280" s="151"/>
      <c r="Z280" s="86" t="s">
        <v>351</v>
      </c>
      <c r="AA280" s="85"/>
      <c r="AB280" s="85"/>
      <c r="AC280" s="151"/>
      <c r="AD280" t="s">
        <v>351</v>
      </c>
      <c r="AE280" s="85"/>
      <c r="AF280" s="85"/>
      <c r="AG280" s="151" t="s">
        <v>596</v>
      </c>
    </row>
    <row r="281" spans="1:33" x14ac:dyDescent="0.25">
      <c r="A281" s="84" t="s">
        <v>476</v>
      </c>
      <c r="B281" s="84">
        <v>1336193754</v>
      </c>
      <c r="C281" s="85">
        <v>3</v>
      </c>
      <c r="D281" s="85">
        <v>2019</v>
      </c>
      <c r="E281" s="151">
        <v>257986</v>
      </c>
      <c r="F281" s="86" t="s">
        <v>351</v>
      </c>
      <c r="G281" s="85">
        <v>3</v>
      </c>
      <c r="H281" s="85">
        <v>2020</v>
      </c>
      <c r="I281" s="151">
        <v>139463</v>
      </c>
      <c r="J281" s="86" t="s">
        <v>351</v>
      </c>
      <c r="K281" s="85">
        <v>1</v>
      </c>
      <c r="L281" s="85">
        <v>2021</v>
      </c>
      <c r="M281" s="151">
        <v>-10</v>
      </c>
      <c r="N281" s="86" t="s">
        <v>439</v>
      </c>
      <c r="O281" s="85">
        <v>3</v>
      </c>
      <c r="P281" s="85">
        <v>2021</v>
      </c>
      <c r="Q281" s="151">
        <v>123675</v>
      </c>
      <c r="R281" s="86" t="s">
        <v>351</v>
      </c>
      <c r="S281" s="85"/>
      <c r="T281" s="85"/>
      <c r="U281" s="151"/>
      <c r="V281" s="86" t="s">
        <v>351</v>
      </c>
      <c r="W281" s="85"/>
      <c r="X281" s="85"/>
      <c r="Y281" s="151"/>
      <c r="Z281" s="86" t="s">
        <v>351</v>
      </c>
      <c r="AA281" s="85"/>
      <c r="AB281" s="85"/>
      <c r="AC281" s="151"/>
      <c r="AD281" t="s">
        <v>351</v>
      </c>
      <c r="AE281" s="85"/>
      <c r="AF281" s="85"/>
      <c r="AG281" s="151"/>
    </row>
    <row r="282" spans="1:33" x14ac:dyDescent="0.25">
      <c r="A282" s="87" t="s">
        <v>270</v>
      </c>
      <c r="B282" s="84">
        <v>1568454262</v>
      </c>
      <c r="C282" s="85">
        <v>3</v>
      </c>
      <c r="D282" s="85">
        <v>2016</v>
      </c>
      <c r="E282" s="151">
        <v>119243</v>
      </c>
      <c r="F282" s="86" t="s">
        <v>351</v>
      </c>
      <c r="G282" s="85">
        <v>1</v>
      </c>
      <c r="H282" s="85">
        <v>2017</v>
      </c>
      <c r="I282" s="151">
        <v>16</v>
      </c>
      <c r="J282" s="86" t="s">
        <v>351</v>
      </c>
      <c r="K282" s="85">
        <v>2</v>
      </c>
      <c r="L282" s="85">
        <v>2017</v>
      </c>
      <c r="M282" s="151">
        <v>84</v>
      </c>
      <c r="N282" s="86" t="s">
        <v>351</v>
      </c>
      <c r="O282" s="85">
        <v>3</v>
      </c>
      <c r="P282" s="85">
        <v>2017</v>
      </c>
      <c r="Q282" s="151">
        <v>62998</v>
      </c>
      <c r="R282" s="86" t="s">
        <v>351</v>
      </c>
      <c r="S282" s="85">
        <v>3</v>
      </c>
      <c r="T282" s="85">
        <v>2019</v>
      </c>
      <c r="U282" s="151">
        <v>65491</v>
      </c>
      <c r="V282" s="86" t="s">
        <v>351</v>
      </c>
      <c r="W282" s="85">
        <v>3</v>
      </c>
      <c r="X282" s="85">
        <v>2022</v>
      </c>
      <c r="Y282" s="151">
        <v>54724</v>
      </c>
      <c r="Z282" s="86" t="s">
        <v>351</v>
      </c>
      <c r="AA282" s="85"/>
      <c r="AB282" s="85"/>
      <c r="AC282" s="151"/>
      <c r="AD282" t="s">
        <v>351</v>
      </c>
      <c r="AE282" s="85"/>
      <c r="AF282" s="85"/>
      <c r="AG282" s="151" t="s">
        <v>596</v>
      </c>
    </row>
    <row r="283" spans="1:33" x14ac:dyDescent="0.25">
      <c r="A283" s="84" t="s">
        <v>477</v>
      </c>
      <c r="B283" s="84">
        <v>1187450150</v>
      </c>
      <c r="C283" s="85"/>
      <c r="D283" s="85"/>
      <c r="E283" s="151"/>
      <c r="F283" s="86" t="s">
        <v>351</v>
      </c>
      <c r="G283" s="85"/>
      <c r="H283" s="85"/>
      <c r="I283" s="151"/>
      <c r="J283" s="86" t="s">
        <v>351</v>
      </c>
      <c r="K283" s="85"/>
      <c r="L283" s="85"/>
      <c r="M283" s="151"/>
      <c r="N283" s="86" t="s">
        <v>351</v>
      </c>
      <c r="O283" s="85"/>
      <c r="P283" s="85"/>
      <c r="Q283" s="151"/>
      <c r="R283" s="86" t="s">
        <v>351</v>
      </c>
      <c r="S283" s="85"/>
      <c r="T283" s="85"/>
      <c r="U283" s="151"/>
      <c r="V283" s="86" t="s">
        <v>351</v>
      </c>
      <c r="W283" s="85"/>
      <c r="X283" s="85"/>
      <c r="Y283" s="151"/>
      <c r="Z283" s="86" t="s">
        <v>351</v>
      </c>
      <c r="AA283" s="85"/>
      <c r="AB283" s="85"/>
      <c r="AC283" s="151"/>
      <c r="AD283" t="s">
        <v>351</v>
      </c>
      <c r="AE283" s="85"/>
      <c r="AF283" s="85"/>
      <c r="AG283" s="151"/>
    </row>
    <row r="284" spans="1:33" x14ac:dyDescent="0.25">
      <c r="A284" s="84" t="s">
        <v>271</v>
      </c>
      <c r="B284" s="84">
        <v>1811920267</v>
      </c>
      <c r="C284" s="85">
        <v>3</v>
      </c>
      <c r="D284" s="85">
        <v>2016</v>
      </c>
      <c r="E284" s="151">
        <v>171512</v>
      </c>
      <c r="F284" s="86" t="s">
        <v>351</v>
      </c>
      <c r="G284" s="85">
        <v>3</v>
      </c>
      <c r="H284" s="85">
        <v>2018</v>
      </c>
      <c r="I284" s="151">
        <v>103088</v>
      </c>
      <c r="J284" s="86" t="s">
        <v>351</v>
      </c>
      <c r="K284" s="85">
        <v>3</v>
      </c>
      <c r="L284" s="85">
        <v>2019</v>
      </c>
      <c r="M284" s="151">
        <v>202166</v>
      </c>
      <c r="N284" s="86" t="s">
        <v>351</v>
      </c>
      <c r="O284" s="85">
        <v>3</v>
      </c>
      <c r="P284" s="85">
        <v>2020</v>
      </c>
      <c r="Q284" s="151">
        <v>90027</v>
      </c>
      <c r="R284" s="86" t="s">
        <v>351</v>
      </c>
      <c r="S284" s="85">
        <v>3</v>
      </c>
      <c r="T284" s="85">
        <v>2021</v>
      </c>
      <c r="U284" s="151">
        <v>175526</v>
      </c>
      <c r="V284" s="86" t="s">
        <v>351</v>
      </c>
      <c r="W284" s="85">
        <v>3</v>
      </c>
      <c r="X284" s="85">
        <v>2022</v>
      </c>
      <c r="Y284" s="151">
        <v>111182</v>
      </c>
      <c r="Z284" s="86" t="s">
        <v>351</v>
      </c>
      <c r="AA284" s="85">
        <v>3</v>
      </c>
      <c r="AB284" s="85">
        <v>2023</v>
      </c>
      <c r="AC284" s="151">
        <v>151905</v>
      </c>
      <c r="AD284" t="s">
        <v>351</v>
      </c>
      <c r="AE284" s="85"/>
      <c r="AF284" s="85"/>
      <c r="AG284" s="151" t="s">
        <v>596</v>
      </c>
    </row>
    <row r="285" spans="1:33" x14ac:dyDescent="0.25">
      <c r="A285" s="87" t="s">
        <v>272</v>
      </c>
      <c r="B285" s="84">
        <v>1669023685</v>
      </c>
      <c r="C285" s="85">
        <v>3</v>
      </c>
      <c r="D285" s="85">
        <v>2016</v>
      </c>
      <c r="E285" s="151">
        <v>94205</v>
      </c>
      <c r="F285" s="86" t="s">
        <v>351</v>
      </c>
      <c r="G285" s="85">
        <v>3</v>
      </c>
      <c r="H285" s="85">
        <v>2017</v>
      </c>
      <c r="I285" s="151">
        <v>163461</v>
      </c>
      <c r="J285" s="86" t="s">
        <v>351</v>
      </c>
      <c r="K285" s="85">
        <v>3</v>
      </c>
      <c r="L285" s="85">
        <v>2018</v>
      </c>
      <c r="M285" s="151">
        <v>120103</v>
      </c>
      <c r="N285" s="86" t="s">
        <v>351</v>
      </c>
      <c r="O285" s="85">
        <v>3</v>
      </c>
      <c r="P285" s="85">
        <v>2019</v>
      </c>
      <c r="Q285" s="151">
        <v>563590</v>
      </c>
      <c r="R285" s="86" t="s">
        <v>351</v>
      </c>
      <c r="S285" s="85">
        <v>3</v>
      </c>
      <c r="T285" s="85">
        <v>2020</v>
      </c>
      <c r="U285" s="151">
        <v>421921</v>
      </c>
      <c r="V285" s="86" t="s">
        <v>351</v>
      </c>
      <c r="W285" s="85"/>
      <c r="X285" s="85"/>
      <c r="Y285" s="151"/>
      <c r="Z285" s="86" t="s">
        <v>351</v>
      </c>
      <c r="AA285" s="85"/>
      <c r="AB285" s="85"/>
      <c r="AC285" s="151"/>
      <c r="AD285" t="s">
        <v>351</v>
      </c>
      <c r="AE285" s="85"/>
      <c r="AF285" s="85"/>
      <c r="AG285" s="151"/>
    </row>
    <row r="286" spans="1:33" x14ac:dyDescent="0.25">
      <c r="A286" s="84" t="s">
        <v>273</v>
      </c>
      <c r="B286" s="84">
        <v>1053380626</v>
      </c>
      <c r="C286" s="85">
        <v>3</v>
      </c>
      <c r="D286" s="85">
        <v>2016</v>
      </c>
      <c r="E286" s="151">
        <v>75226</v>
      </c>
      <c r="F286" s="86" t="s">
        <v>351</v>
      </c>
      <c r="G286" s="85">
        <v>3</v>
      </c>
      <c r="H286" s="85">
        <v>2019</v>
      </c>
      <c r="I286" s="151">
        <v>184670</v>
      </c>
      <c r="J286" s="86" t="s">
        <v>351</v>
      </c>
      <c r="K286" s="85"/>
      <c r="L286" s="85"/>
      <c r="M286" s="151"/>
      <c r="N286" s="86" t="s">
        <v>351</v>
      </c>
      <c r="O286" s="85"/>
      <c r="P286" s="85"/>
      <c r="Q286" s="151"/>
      <c r="R286" s="86" t="s">
        <v>351</v>
      </c>
      <c r="S286" s="85"/>
      <c r="T286" s="85"/>
      <c r="U286" s="151"/>
      <c r="V286" s="86" t="s">
        <v>351</v>
      </c>
      <c r="W286" s="85"/>
      <c r="X286" s="85"/>
      <c r="Y286" s="151"/>
      <c r="Z286" s="86" t="s">
        <v>351</v>
      </c>
      <c r="AA286" s="85"/>
      <c r="AB286" s="85"/>
      <c r="AC286" s="151"/>
      <c r="AD286" t="s">
        <v>351</v>
      </c>
      <c r="AE286" s="85"/>
      <c r="AF286" s="85"/>
      <c r="AG286" s="151"/>
    </row>
    <row r="287" spans="1:33" x14ac:dyDescent="0.25">
      <c r="A287" s="87" t="s">
        <v>274</v>
      </c>
      <c r="B287" s="84">
        <v>1346241627</v>
      </c>
      <c r="C287" s="85">
        <v>2</v>
      </c>
      <c r="D287" s="85">
        <v>2017</v>
      </c>
      <c r="E287" s="151">
        <v>58</v>
      </c>
      <c r="F287" s="86" t="s">
        <v>351</v>
      </c>
      <c r="G287" s="85"/>
      <c r="H287" s="85"/>
      <c r="I287" s="151"/>
      <c r="J287" s="86" t="s">
        <v>351</v>
      </c>
      <c r="K287" s="85"/>
      <c r="L287" s="85"/>
      <c r="M287" s="151"/>
      <c r="N287" s="86" t="s">
        <v>351</v>
      </c>
      <c r="O287" s="85"/>
      <c r="P287" s="85"/>
      <c r="Q287" s="151"/>
      <c r="R287" s="86" t="s">
        <v>351</v>
      </c>
      <c r="S287" s="85"/>
      <c r="T287" s="85"/>
      <c r="U287" s="151"/>
      <c r="V287" s="86" t="s">
        <v>351</v>
      </c>
      <c r="W287" s="85"/>
      <c r="X287" s="85"/>
      <c r="Y287" s="151"/>
      <c r="Z287" s="86" t="s">
        <v>351</v>
      </c>
      <c r="AA287" s="85"/>
      <c r="AB287" s="85"/>
      <c r="AC287" s="151"/>
      <c r="AD287" t="s">
        <v>351</v>
      </c>
      <c r="AE287" s="85"/>
      <c r="AF287" s="85"/>
      <c r="AG287" s="151"/>
    </row>
    <row r="288" spans="1:33" x14ac:dyDescent="0.25">
      <c r="A288" s="84" t="s">
        <v>478</v>
      </c>
      <c r="B288" s="84">
        <v>1316921190</v>
      </c>
      <c r="C288" s="85">
        <v>3</v>
      </c>
      <c r="D288" s="85">
        <v>2022</v>
      </c>
      <c r="E288" s="151">
        <v>77649</v>
      </c>
      <c r="F288" s="86" t="s">
        <v>351</v>
      </c>
      <c r="G288" s="85">
        <v>3</v>
      </c>
      <c r="H288" s="85">
        <v>2023</v>
      </c>
      <c r="I288" s="151">
        <v>81354</v>
      </c>
      <c r="J288" s="86" t="s">
        <v>351</v>
      </c>
      <c r="K288" s="85"/>
      <c r="L288" s="85"/>
      <c r="M288" s="151"/>
      <c r="N288" s="86" t="s">
        <v>351</v>
      </c>
      <c r="O288" s="85"/>
      <c r="P288" s="85"/>
      <c r="Q288" s="151"/>
      <c r="R288" s="86" t="s">
        <v>351</v>
      </c>
      <c r="S288" s="85"/>
      <c r="T288" s="85"/>
      <c r="U288" s="151"/>
      <c r="V288" s="86" t="s">
        <v>351</v>
      </c>
      <c r="W288" s="85"/>
      <c r="X288" s="85"/>
      <c r="Y288" s="151"/>
      <c r="Z288" s="86" t="s">
        <v>351</v>
      </c>
      <c r="AA288" s="85"/>
      <c r="AB288" s="85"/>
      <c r="AC288" s="151"/>
      <c r="AD288" t="s">
        <v>351</v>
      </c>
      <c r="AE288" s="85"/>
      <c r="AF288" s="85"/>
      <c r="AG288" s="151" t="s">
        <v>596</v>
      </c>
    </row>
    <row r="289" spans="1:33" x14ac:dyDescent="0.25">
      <c r="A289" s="87" t="s">
        <v>479</v>
      </c>
      <c r="B289" s="84">
        <v>1740278126</v>
      </c>
      <c r="C289" s="85"/>
      <c r="D289" s="85"/>
      <c r="E289" s="151"/>
      <c r="F289" s="86" t="s">
        <v>351</v>
      </c>
      <c r="G289" s="85"/>
      <c r="H289" s="85"/>
      <c r="I289" s="151"/>
      <c r="J289" s="86" t="s">
        <v>351</v>
      </c>
      <c r="K289" s="85"/>
      <c r="L289" s="85"/>
      <c r="M289" s="151"/>
      <c r="N289" s="86" t="s">
        <v>351</v>
      </c>
      <c r="O289" s="85"/>
      <c r="P289" s="85"/>
      <c r="Q289" s="151"/>
      <c r="R289" s="86" t="s">
        <v>351</v>
      </c>
      <c r="S289" s="85"/>
      <c r="T289" s="85"/>
      <c r="U289" s="151"/>
      <c r="V289" s="86" t="s">
        <v>351</v>
      </c>
      <c r="W289" s="85"/>
      <c r="X289" s="85"/>
      <c r="Y289" s="151"/>
      <c r="Z289" s="86" t="s">
        <v>351</v>
      </c>
      <c r="AA289" s="85"/>
      <c r="AB289" s="85"/>
      <c r="AC289" s="151"/>
      <c r="AD289" t="s">
        <v>351</v>
      </c>
      <c r="AE289" s="85"/>
      <c r="AF289" s="85"/>
      <c r="AG289" s="151"/>
    </row>
    <row r="290" spans="1:33" x14ac:dyDescent="0.25">
      <c r="A290" s="87" t="s">
        <v>275</v>
      </c>
      <c r="B290" s="84">
        <v>1740386473</v>
      </c>
      <c r="C290" s="85">
        <v>3</v>
      </c>
      <c r="D290" s="85">
        <v>2016</v>
      </c>
      <c r="E290" s="151">
        <v>41854</v>
      </c>
      <c r="F290" s="86" t="s">
        <v>351</v>
      </c>
      <c r="G290" s="85">
        <v>3</v>
      </c>
      <c r="H290" s="85">
        <v>2019</v>
      </c>
      <c r="I290" s="151">
        <v>272849</v>
      </c>
      <c r="J290" s="86" t="s">
        <v>351</v>
      </c>
      <c r="K290" s="85">
        <v>3</v>
      </c>
      <c r="L290" s="85">
        <v>2020</v>
      </c>
      <c r="M290" s="151">
        <v>2172941</v>
      </c>
      <c r="N290" s="86" t="s">
        <v>351</v>
      </c>
      <c r="O290" s="85">
        <v>3</v>
      </c>
      <c r="P290" s="85">
        <v>2021</v>
      </c>
      <c r="Q290" s="151">
        <v>95175</v>
      </c>
      <c r="R290" s="86" t="s">
        <v>351</v>
      </c>
      <c r="S290" s="85"/>
      <c r="T290" s="85"/>
      <c r="U290" s="151"/>
      <c r="V290" s="86" t="s">
        <v>351</v>
      </c>
      <c r="W290" s="85"/>
      <c r="X290" s="85"/>
      <c r="Y290" s="151"/>
      <c r="Z290" s="86" t="s">
        <v>351</v>
      </c>
      <c r="AA290" s="85"/>
      <c r="AB290" s="85"/>
      <c r="AC290" s="151"/>
      <c r="AD290" t="s">
        <v>351</v>
      </c>
      <c r="AE290" s="85"/>
      <c r="AF290" s="85"/>
      <c r="AG290" s="151"/>
    </row>
    <row r="291" spans="1:33" x14ac:dyDescent="0.25">
      <c r="A291" s="87" t="s">
        <v>276</v>
      </c>
      <c r="B291" s="84">
        <v>1689628141</v>
      </c>
      <c r="C291" s="85">
        <v>3</v>
      </c>
      <c r="D291" s="85">
        <v>2019</v>
      </c>
      <c r="E291" s="151">
        <v>376372</v>
      </c>
      <c r="F291" s="86" t="s">
        <v>351</v>
      </c>
      <c r="G291" s="85">
        <v>3</v>
      </c>
      <c r="H291" s="85">
        <v>2020</v>
      </c>
      <c r="I291" s="151">
        <v>2060562</v>
      </c>
      <c r="J291" s="86" t="s">
        <v>351</v>
      </c>
      <c r="K291" s="85">
        <v>3</v>
      </c>
      <c r="L291" s="85">
        <v>2022</v>
      </c>
      <c r="M291" s="151">
        <v>225165</v>
      </c>
      <c r="N291" s="86" t="s">
        <v>351</v>
      </c>
      <c r="O291" s="85">
        <v>3</v>
      </c>
      <c r="P291" s="85">
        <v>2023</v>
      </c>
      <c r="Q291" s="151">
        <v>63749</v>
      </c>
      <c r="R291" s="86" t="s">
        <v>351</v>
      </c>
      <c r="S291" s="85"/>
      <c r="T291" s="85"/>
      <c r="U291" s="151"/>
      <c r="V291" s="86" t="s">
        <v>351</v>
      </c>
      <c r="W291" s="85"/>
      <c r="X291" s="85"/>
      <c r="Y291" s="151"/>
      <c r="Z291" s="86" t="s">
        <v>351</v>
      </c>
      <c r="AA291" s="85"/>
      <c r="AB291" s="85"/>
      <c r="AC291" s="151"/>
      <c r="AD291" t="s">
        <v>351</v>
      </c>
      <c r="AE291" s="85"/>
      <c r="AF291" s="85"/>
      <c r="AG291" s="151" t="s">
        <v>596</v>
      </c>
    </row>
    <row r="292" spans="1:33" x14ac:dyDescent="0.25">
      <c r="A292" s="84" t="s">
        <v>480</v>
      </c>
      <c r="B292" s="84">
        <v>1316351034</v>
      </c>
      <c r="C292" s="85">
        <v>3</v>
      </c>
      <c r="D292" s="85">
        <v>2016</v>
      </c>
      <c r="E292" s="151">
        <v>247780</v>
      </c>
      <c r="F292" s="86" t="s">
        <v>351</v>
      </c>
      <c r="G292" s="85">
        <v>3</v>
      </c>
      <c r="H292" s="85">
        <v>2017</v>
      </c>
      <c r="I292" s="151">
        <v>484285</v>
      </c>
      <c r="J292" s="86" t="s">
        <v>351</v>
      </c>
      <c r="K292" s="85">
        <v>3</v>
      </c>
      <c r="L292" s="85">
        <v>2018</v>
      </c>
      <c r="M292" s="151">
        <v>167925</v>
      </c>
      <c r="N292" s="86" t="s">
        <v>351</v>
      </c>
      <c r="O292" s="85">
        <v>3</v>
      </c>
      <c r="P292" s="85">
        <v>2019</v>
      </c>
      <c r="Q292" s="151">
        <v>127143</v>
      </c>
      <c r="R292" s="86" t="s">
        <v>351</v>
      </c>
      <c r="S292" s="85">
        <v>3</v>
      </c>
      <c r="T292" s="85">
        <v>2020</v>
      </c>
      <c r="U292" s="151">
        <v>151558</v>
      </c>
      <c r="V292" s="86" t="s">
        <v>351</v>
      </c>
      <c r="W292" s="85">
        <v>3</v>
      </c>
      <c r="X292" s="85">
        <v>2021</v>
      </c>
      <c r="Y292" s="151">
        <v>85423</v>
      </c>
      <c r="Z292" s="86" t="s">
        <v>351</v>
      </c>
      <c r="AA292" s="85">
        <v>3</v>
      </c>
      <c r="AB292" s="85">
        <v>2022</v>
      </c>
      <c r="AC292" s="151">
        <v>90233</v>
      </c>
      <c r="AD292" t="s">
        <v>351</v>
      </c>
      <c r="AE292" s="85">
        <v>3</v>
      </c>
      <c r="AF292" s="85">
        <v>2023</v>
      </c>
      <c r="AG292" s="151">
        <v>90233</v>
      </c>
    </row>
    <row r="293" spans="1:33" x14ac:dyDescent="0.25">
      <c r="A293" s="87" t="s">
        <v>481</v>
      </c>
      <c r="B293" s="84">
        <v>1437564739</v>
      </c>
      <c r="C293" s="85">
        <v>3</v>
      </c>
      <c r="D293" s="85">
        <v>2016</v>
      </c>
      <c r="E293" s="151">
        <v>490753</v>
      </c>
      <c r="F293" s="86" t="s">
        <v>351</v>
      </c>
      <c r="G293" s="85">
        <v>3</v>
      </c>
      <c r="H293" s="85">
        <v>2019</v>
      </c>
      <c r="I293" s="151">
        <v>160606</v>
      </c>
      <c r="J293" s="86" t="s">
        <v>351</v>
      </c>
      <c r="K293" s="85">
        <v>3</v>
      </c>
      <c r="L293" s="85">
        <v>2020</v>
      </c>
      <c r="M293" s="151">
        <v>68158</v>
      </c>
      <c r="N293" s="86" t="s">
        <v>351</v>
      </c>
      <c r="O293" s="85">
        <v>3</v>
      </c>
      <c r="P293" s="85">
        <v>2021</v>
      </c>
      <c r="Q293" s="151">
        <v>97519</v>
      </c>
      <c r="R293" s="86" t="s">
        <v>351</v>
      </c>
      <c r="S293" s="85">
        <v>3</v>
      </c>
      <c r="T293" s="85">
        <v>2022</v>
      </c>
      <c r="U293" s="151">
        <v>82053</v>
      </c>
      <c r="V293" s="86" t="s">
        <v>351</v>
      </c>
      <c r="W293" s="85"/>
      <c r="X293" s="85"/>
      <c r="Y293" s="151"/>
      <c r="Z293" s="86" t="s">
        <v>351</v>
      </c>
      <c r="AA293" s="85"/>
      <c r="AB293" s="85"/>
      <c r="AC293" s="151"/>
      <c r="AD293" t="s">
        <v>351</v>
      </c>
      <c r="AE293" s="85"/>
      <c r="AF293" s="85"/>
      <c r="AG293" s="151"/>
    </row>
    <row r="294" spans="1:33" x14ac:dyDescent="0.25">
      <c r="A294" s="87" t="s">
        <v>482</v>
      </c>
      <c r="B294" s="84">
        <v>1649685132</v>
      </c>
      <c r="C294" s="85">
        <v>3</v>
      </c>
      <c r="D294" s="85">
        <v>2016</v>
      </c>
      <c r="E294" s="151">
        <v>524476</v>
      </c>
      <c r="F294" s="86" t="s">
        <v>351</v>
      </c>
      <c r="G294" s="85">
        <v>3</v>
      </c>
      <c r="H294" s="85">
        <v>2019</v>
      </c>
      <c r="I294" s="151">
        <v>276347</v>
      </c>
      <c r="J294" s="86" t="s">
        <v>351</v>
      </c>
      <c r="K294" s="85">
        <v>3</v>
      </c>
      <c r="L294" s="85">
        <v>2020</v>
      </c>
      <c r="M294" s="151">
        <v>77584</v>
      </c>
      <c r="N294" s="86" t="s">
        <v>351</v>
      </c>
      <c r="O294" s="85">
        <v>3</v>
      </c>
      <c r="P294" s="85">
        <v>2021</v>
      </c>
      <c r="Q294" s="151">
        <v>87509</v>
      </c>
      <c r="R294" s="86" t="s">
        <v>351</v>
      </c>
      <c r="S294" s="85">
        <v>3</v>
      </c>
      <c r="T294" s="85">
        <v>2022</v>
      </c>
      <c r="U294" s="151">
        <v>57842</v>
      </c>
      <c r="V294" s="86" t="s">
        <v>351</v>
      </c>
      <c r="W294" s="85"/>
      <c r="X294" s="85"/>
      <c r="Y294" s="151"/>
      <c r="Z294" s="86" t="s">
        <v>351</v>
      </c>
      <c r="AA294" s="85"/>
      <c r="AB294" s="85"/>
      <c r="AC294" s="151"/>
      <c r="AD294" t="s">
        <v>351</v>
      </c>
      <c r="AE294" s="85"/>
      <c r="AF294" s="85"/>
      <c r="AG294" s="151"/>
    </row>
    <row r="295" spans="1:33" x14ac:dyDescent="0.25">
      <c r="A295" s="87" t="s">
        <v>277</v>
      </c>
      <c r="B295" s="84">
        <v>1063838381</v>
      </c>
      <c r="C295" s="85">
        <v>3</v>
      </c>
      <c r="D295" s="85">
        <v>2019</v>
      </c>
      <c r="E295" s="151">
        <v>61521</v>
      </c>
      <c r="F295" s="86" t="s">
        <v>351</v>
      </c>
      <c r="G295" s="85">
        <v>3</v>
      </c>
      <c r="H295" s="85">
        <v>2020</v>
      </c>
      <c r="I295" s="151">
        <v>84478</v>
      </c>
      <c r="J295" s="86" t="s">
        <v>351</v>
      </c>
      <c r="K295" s="85">
        <v>3</v>
      </c>
      <c r="L295" s="85">
        <v>2021</v>
      </c>
      <c r="M295" s="151">
        <v>291646</v>
      </c>
      <c r="N295" s="86" t="s">
        <v>351</v>
      </c>
      <c r="O295" s="85">
        <v>3</v>
      </c>
      <c r="P295" s="85">
        <v>2022</v>
      </c>
      <c r="Q295" s="151">
        <v>120069</v>
      </c>
      <c r="R295" s="86" t="s">
        <v>351</v>
      </c>
      <c r="S295" s="85">
        <v>3</v>
      </c>
      <c r="T295" s="85">
        <v>2023</v>
      </c>
      <c r="U295" s="151">
        <v>182900</v>
      </c>
      <c r="V295" s="86" t="s">
        <v>351</v>
      </c>
      <c r="W295" s="85"/>
      <c r="X295" s="85"/>
      <c r="Y295" s="151"/>
      <c r="Z295" s="86" t="s">
        <v>351</v>
      </c>
      <c r="AA295" s="85"/>
      <c r="AB295" s="85"/>
      <c r="AC295" s="151"/>
      <c r="AD295" t="s">
        <v>351</v>
      </c>
      <c r="AE295" s="85"/>
      <c r="AF295" s="85"/>
      <c r="AG295" s="151" t="s">
        <v>596</v>
      </c>
    </row>
    <row r="296" spans="1:33" x14ac:dyDescent="0.25">
      <c r="A296" s="84" t="s">
        <v>483</v>
      </c>
      <c r="B296" s="84">
        <v>1003869983</v>
      </c>
      <c r="C296" s="85">
        <v>3</v>
      </c>
      <c r="D296" s="85">
        <v>2020</v>
      </c>
      <c r="E296" s="151">
        <v>279073</v>
      </c>
      <c r="F296" s="86" t="s">
        <v>351</v>
      </c>
      <c r="G296" s="85">
        <v>3</v>
      </c>
      <c r="H296" s="85">
        <v>2021</v>
      </c>
      <c r="I296" s="151">
        <v>203809</v>
      </c>
      <c r="J296" s="86" t="s">
        <v>351</v>
      </c>
      <c r="K296" s="85"/>
      <c r="L296" s="85"/>
      <c r="M296" s="151"/>
      <c r="N296" s="86" t="s">
        <v>351</v>
      </c>
      <c r="O296" s="85"/>
      <c r="P296" s="85"/>
      <c r="Q296" s="151"/>
      <c r="R296" s="86" t="s">
        <v>351</v>
      </c>
      <c r="S296" s="85"/>
      <c r="T296" s="85"/>
      <c r="U296" s="151"/>
      <c r="V296" s="86" t="s">
        <v>351</v>
      </c>
      <c r="W296" s="85"/>
      <c r="X296" s="85"/>
      <c r="Y296" s="151"/>
      <c r="Z296" s="86" t="s">
        <v>351</v>
      </c>
      <c r="AA296" s="85"/>
      <c r="AB296" s="85"/>
      <c r="AC296" s="151"/>
      <c r="AD296" t="s">
        <v>351</v>
      </c>
      <c r="AE296" s="85"/>
      <c r="AF296" s="85"/>
      <c r="AG296" s="151"/>
    </row>
    <row r="297" spans="1:33" x14ac:dyDescent="0.25">
      <c r="A297" s="84" t="s">
        <v>278</v>
      </c>
      <c r="B297" s="84">
        <v>1093708497</v>
      </c>
      <c r="C297" s="85">
        <v>3</v>
      </c>
      <c r="D297" s="85">
        <v>2017</v>
      </c>
      <c r="E297" s="151">
        <v>215034</v>
      </c>
      <c r="F297" s="86" t="s">
        <v>351</v>
      </c>
      <c r="G297" s="85">
        <v>3</v>
      </c>
      <c r="H297" s="85">
        <v>2018</v>
      </c>
      <c r="I297" s="151">
        <v>267748</v>
      </c>
      <c r="J297" s="86" t="s">
        <v>351</v>
      </c>
      <c r="K297" s="85">
        <v>3</v>
      </c>
      <c r="L297" s="85">
        <v>2019</v>
      </c>
      <c r="M297" s="151">
        <v>199321</v>
      </c>
      <c r="N297" s="86" t="s">
        <v>351</v>
      </c>
      <c r="O297" s="85">
        <v>3</v>
      </c>
      <c r="P297" s="85">
        <v>2020</v>
      </c>
      <c r="Q297" s="151">
        <v>65839</v>
      </c>
      <c r="R297" s="86" t="s">
        <v>351</v>
      </c>
      <c r="S297" s="85">
        <v>3</v>
      </c>
      <c r="T297" s="85">
        <v>2022</v>
      </c>
      <c r="U297" s="151">
        <v>131362</v>
      </c>
      <c r="V297" s="86" t="s">
        <v>351</v>
      </c>
      <c r="W297" s="85">
        <v>3</v>
      </c>
      <c r="X297" s="85">
        <v>2023</v>
      </c>
      <c r="Y297" s="151">
        <v>101428</v>
      </c>
      <c r="Z297" s="86" t="s">
        <v>351</v>
      </c>
      <c r="AA297" s="85"/>
      <c r="AB297" s="85"/>
      <c r="AC297" s="151"/>
      <c r="AD297" t="s">
        <v>351</v>
      </c>
      <c r="AE297" s="85"/>
      <c r="AF297" s="85"/>
      <c r="AG297" s="151" t="s">
        <v>596</v>
      </c>
    </row>
    <row r="298" spans="1:33" x14ac:dyDescent="0.25">
      <c r="A298" s="84" t="s">
        <v>279</v>
      </c>
      <c r="B298" s="84">
        <v>1295733517</v>
      </c>
      <c r="C298" s="85">
        <v>3</v>
      </c>
      <c r="D298" s="85">
        <v>2016</v>
      </c>
      <c r="E298" s="151">
        <v>350278</v>
      </c>
      <c r="F298" s="86" t="s">
        <v>351</v>
      </c>
      <c r="G298" s="85">
        <v>3</v>
      </c>
      <c r="H298" s="85">
        <v>2017</v>
      </c>
      <c r="I298" s="151">
        <v>103881</v>
      </c>
      <c r="J298" s="86" t="s">
        <v>351</v>
      </c>
      <c r="K298" s="85">
        <v>3</v>
      </c>
      <c r="L298" s="85">
        <v>2018</v>
      </c>
      <c r="M298" s="151">
        <v>3656620</v>
      </c>
      <c r="N298" s="86" t="s">
        <v>351</v>
      </c>
      <c r="O298" s="85">
        <v>3</v>
      </c>
      <c r="P298" s="85">
        <v>2019</v>
      </c>
      <c r="Q298" s="151">
        <v>136952</v>
      </c>
      <c r="R298" s="86" t="s">
        <v>351</v>
      </c>
      <c r="S298" s="85">
        <v>3</v>
      </c>
      <c r="T298" s="85">
        <v>2020</v>
      </c>
      <c r="U298" s="151">
        <v>54703</v>
      </c>
      <c r="V298" s="86" t="s">
        <v>351</v>
      </c>
      <c r="W298" s="85">
        <v>3</v>
      </c>
      <c r="X298" s="85">
        <v>2022</v>
      </c>
      <c r="Y298" s="151">
        <v>147278</v>
      </c>
      <c r="Z298" s="86" t="s">
        <v>351</v>
      </c>
      <c r="AA298" s="85">
        <v>3</v>
      </c>
      <c r="AB298" s="85">
        <v>2023</v>
      </c>
      <c r="AC298" s="151">
        <v>129799</v>
      </c>
      <c r="AD298" t="s">
        <v>351</v>
      </c>
      <c r="AE298" s="85"/>
      <c r="AF298" s="85"/>
      <c r="AG298" s="151" t="s">
        <v>596</v>
      </c>
    </row>
    <row r="299" spans="1:33" x14ac:dyDescent="0.25">
      <c r="A299" s="87" t="s">
        <v>484</v>
      </c>
      <c r="B299" s="84">
        <v>1649268335</v>
      </c>
      <c r="C299" s="85">
        <v>3</v>
      </c>
      <c r="D299" s="85">
        <v>2016</v>
      </c>
      <c r="E299" s="151">
        <v>141906</v>
      </c>
      <c r="F299" s="86" t="s">
        <v>351</v>
      </c>
      <c r="G299" s="85">
        <v>3</v>
      </c>
      <c r="H299" s="85">
        <v>2017</v>
      </c>
      <c r="I299" s="151">
        <v>201251</v>
      </c>
      <c r="J299" s="86" t="s">
        <v>351</v>
      </c>
      <c r="K299" s="85">
        <v>3</v>
      </c>
      <c r="L299" s="85">
        <v>2018</v>
      </c>
      <c r="M299" s="151">
        <v>100640</v>
      </c>
      <c r="N299" s="86" t="s">
        <v>351</v>
      </c>
      <c r="O299" s="85">
        <v>3</v>
      </c>
      <c r="P299" s="85">
        <v>2021</v>
      </c>
      <c r="Q299" s="151">
        <v>104207</v>
      </c>
      <c r="R299" s="86" t="s">
        <v>351</v>
      </c>
      <c r="S299" s="85">
        <v>3</v>
      </c>
      <c r="T299" s="85">
        <v>2023</v>
      </c>
      <c r="U299" s="151">
        <v>121780</v>
      </c>
      <c r="V299" s="86" t="s">
        <v>351</v>
      </c>
      <c r="W299" s="85"/>
      <c r="X299" s="85"/>
      <c r="Y299" s="151"/>
      <c r="Z299" s="86" t="s">
        <v>351</v>
      </c>
      <c r="AA299" s="85"/>
      <c r="AB299" s="85"/>
      <c r="AC299" s="151"/>
      <c r="AD299" t="s">
        <v>351</v>
      </c>
      <c r="AE299" s="85"/>
      <c r="AF299" s="85"/>
      <c r="AG299" s="151" t="s">
        <v>596</v>
      </c>
    </row>
    <row r="300" spans="1:33" x14ac:dyDescent="0.25">
      <c r="A300" s="87" t="s">
        <v>485</v>
      </c>
      <c r="B300" s="84">
        <v>1861504946</v>
      </c>
      <c r="C300" s="85">
        <v>3</v>
      </c>
      <c r="D300" s="85">
        <v>2021</v>
      </c>
      <c r="E300" s="151">
        <v>69721</v>
      </c>
      <c r="F300" s="86" t="s">
        <v>351</v>
      </c>
      <c r="G300" s="85">
        <v>3</v>
      </c>
      <c r="H300" s="85">
        <v>2022</v>
      </c>
      <c r="I300" s="151">
        <v>67017</v>
      </c>
      <c r="J300" s="86" t="s">
        <v>351</v>
      </c>
      <c r="K300" s="85">
        <v>3</v>
      </c>
      <c r="L300" s="85">
        <v>2023</v>
      </c>
      <c r="M300" s="151">
        <v>253360</v>
      </c>
      <c r="N300" s="86" t="s">
        <v>351</v>
      </c>
      <c r="O300" s="85"/>
      <c r="P300" s="85"/>
      <c r="Q300" s="151"/>
      <c r="R300" s="86" t="s">
        <v>351</v>
      </c>
      <c r="S300" s="85"/>
      <c r="T300" s="85"/>
      <c r="U300" s="151"/>
      <c r="V300" s="86" t="s">
        <v>351</v>
      </c>
      <c r="W300" s="85"/>
      <c r="X300" s="85"/>
      <c r="Y300" s="151"/>
      <c r="Z300" s="86" t="s">
        <v>351</v>
      </c>
      <c r="AA300" s="85"/>
      <c r="AB300" s="85"/>
      <c r="AC300" s="151"/>
      <c r="AD300" t="s">
        <v>351</v>
      </c>
      <c r="AE300" s="85"/>
      <c r="AF300" s="85"/>
      <c r="AG300" s="151" t="s">
        <v>596</v>
      </c>
    </row>
    <row r="301" spans="1:33" x14ac:dyDescent="0.25">
      <c r="A301" s="87" t="s">
        <v>280</v>
      </c>
      <c r="B301" s="84">
        <v>1558029488</v>
      </c>
      <c r="C301" s="85">
        <v>3</v>
      </c>
      <c r="D301" s="85">
        <v>2022</v>
      </c>
      <c r="E301" s="151">
        <v>103583</v>
      </c>
      <c r="F301" s="86" t="s">
        <v>351</v>
      </c>
      <c r="G301" s="85"/>
      <c r="H301" s="85"/>
      <c r="I301" s="151"/>
      <c r="J301" s="86" t="s">
        <v>351</v>
      </c>
      <c r="K301" s="85"/>
      <c r="L301" s="85"/>
      <c r="M301" s="151"/>
      <c r="N301" s="86" t="s">
        <v>351</v>
      </c>
      <c r="O301" s="85"/>
      <c r="P301" s="85"/>
      <c r="Q301" s="151"/>
      <c r="R301" s="86" t="s">
        <v>351</v>
      </c>
      <c r="S301" s="85"/>
      <c r="T301" s="85"/>
      <c r="U301" s="151"/>
      <c r="V301" s="86" t="s">
        <v>351</v>
      </c>
      <c r="W301" s="85"/>
      <c r="X301" s="85"/>
      <c r="Y301" s="151"/>
      <c r="Z301" s="86" t="s">
        <v>351</v>
      </c>
      <c r="AA301" s="85"/>
      <c r="AB301" s="85"/>
      <c r="AC301" s="151"/>
      <c r="AD301" t="s">
        <v>351</v>
      </c>
      <c r="AE301" s="85"/>
      <c r="AF301" s="85"/>
      <c r="AG301" s="151"/>
    </row>
    <row r="302" spans="1:33" x14ac:dyDescent="0.25">
      <c r="A302" s="87" t="s">
        <v>486</v>
      </c>
      <c r="B302" s="84">
        <v>1437110913</v>
      </c>
      <c r="C302" s="85"/>
      <c r="D302" s="85"/>
      <c r="E302" s="151"/>
      <c r="F302" s="86" t="s">
        <v>351</v>
      </c>
      <c r="G302" s="85"/>
      <c r="H302" s="85"/>
      <c r="I302" s="151"/>
      <c r="J302" s="86" t="s">
        <v>351</v>
      </c>
      <c r="K302" s="85"/>
      <c r="L302" s="85"/>
      <c r="M302" s="151"/>
      <c r="N302" s="86" t="s">
        <v>351</v>
      </c>
      <c r="O302" s="85"/>
      <c r="P302" s="85"/>
      <c r="Q302" s="151"/>
      <c r="R302" s="86" t="s">
        <v>351</v>
      </c>
      <c r="S302" s="85"/>
      <c r="T302" s="85"/>
      <c r="U302" s="151"/>
      <c r="V302" s="86" t="s">
        <v>351</v>
      </c>
      <c r="W302" s="85"/>
      <c r="X302" s="85"/>
      <c r="Y302" s="151"/>
      <c r="Z302" s="86" t="s">
        <v>351</v>
      </c>
      <c r="AA302" s="85"/>
      <c r="AB302" s="85"/>
      <c r="AC302" s="151"/>
      <c r="AD302" t="s">
        <v>351</v>
      </c>
      <c r="AE302" s="85"/>
      <c r="AF302" s="85"/>
      <c r="AG302" s="151"/>
    </row>
    <row r="303" spans="1:33" x14ac:dyDescent="0.25">
      <c r="A303" s="87" t="s">
        <v>487</v>
      </c>
      <c r="B303" s="84">
        <v>1457709891</v>
      </c>
      <c r="C303" s="85"/>
      <c r="D303" s="85"/>
      <c r="E303" s="151"/>
      <c r="F303" s="86" t="s">
        <v>351</v>
      </c>
      <c r="G303" s="85"/>
      <c r="H303" s="85"/>
      <c r="I303" s="151"/>
      <c r="J303" s="86" t="s">
        <v>351</v>
      </c>
      <c r="K303" s="85"/>
      <c r="L303" s="85"/>
      <c r="M303" s="151"/>
      <c r="N303" s="86" t="s">
        <v>351</v>
      </c>
      <c r="O303" s="85"/>
      <c r="P303" s="85"/>
      <c r="Q303" s="151"/>
      <c r="R303" s="86" t="s">
        <v>351</v>
      </c>
      <c r="S303" s="85"/>
      <c r="T303" s="85"/>
      <c r="U303" s="151"/>
      <c r="V303" s="86" t="s">
        <v>351</v>
      </c>
      <c r="W303" s="85"/>
      <c r="X303" s="85"/>
      <c r="Y303" s="151"/>
      <c r="Z303" s="86" t="s">
        <v>351</v>
      </c>
      <c r="AA303" s="85"/>
      <c r="AB303" s="85"/>
      <c r="AC303" s="151"/>
      <c r="AD303" t="s">
        <v>351</v>
      </c>
      <c r="AE303" s="85"/>
      <c r="AF303" s="85"/>
      <c r="AG303" s="151"/>
    </row>
    <row r="304" spans="1:33" x14ac:dyDescent="0.25">
      <c r="A304" s="87" t="s">
        <v>281</v>
      </c>
      <c r="B304" s="84">
        <v>1043263981</v>
      </c>
      <c r="C304" s="85">
        <v>3</v>
      </c>
      <c r="D304" s="85">
        <v>2021</v>
      </c>
      <c r="E304" s="151">
        <v>608384</v>
      </c>
      <c r="F304" s="86" t="s">
        <v>351</v>
      </c>
      <c r="G304" s="85">
        <v>3</v>
      </c>
      <c r="H304" s="85">
        <v>2023</v>
      </c>
      <c r="I304" s="151">
        <v>225642</v>
      </c>
      <c r="J304" s="86" t="s">
        <v>351</v>
      </c>
      <c r="K304" s="85"/>
      <c r="L304" s="85"/>
      <c r="M304" s="151"/>
      <c r="N304" s="86" t="s">
        <v>351</v>
      </c>
      <c r="O304" s="85"/>
      <c r="P304" s="85"/>
      <c r="Q304" s="151"/>
      <c r="R304" s="86" t="s">
        <v>351</v>
      </c>
      <c r="S304" s="85"/>
      <c r="T304" s="85"/>
      <c r="U304" s="151"/>
      <c r="V304" s="86" t="s">
        <v>351</v>
      </c>
      <c r="W304" s="85"/>
      <c r="X304" s="85"/>
      <c r="Y304" s="151"/>
      <c r="Z304" s="86" t="s">
        <v>351</v>
      </c>
      <c r="AA304" s="85"/>
      <c r="AB304" s="85"/>
      <c r="AC304" s="151"/>
      <c r="AD304" t="s">
        <v>351</v>
      </c>
      <c r="AE304" s="85"/>
      <c r="AF304" s="85"/>
      <c r="AG304" s="151" t="s">
        <v>596</v>
      </c>
    </row>
    <row r="305" spans="1:33" x14ac:dyDescent="0.25">
      <c r="A305" s="84" t="s">
        <v>488</v>
      </c>
      <c r="B305" s="84">
        <v>1003205337</v>
      </c>
      <c r="C305" s="85"/>
      <c r="D305" s="85"/>
      <c r="E305" s="151"/>
      <c r="F305" s="86" t="s">
        <v>351</v>
      </c>
      <c r="G305" s="85"/>
      <c r="H305" s="85"/>
      <c r="I305" s="151"/>
      <c r="J305" s="86" t="s">
        <v>351</v>
      </c>
      <c r="K305" s="85"/>
      <c r="L305" s="85"/>
      <c r="M305" s="151"/>
      <c r="N305" s="86" t="s">
        <v>351</v>
      </c>
      <c r="O305" s="85"/>
      <c r="P305" s="85"/>
      <c r="Q305" s="151"/>
      <c r="R305" s="86" t="s">
        <v>351</v>
      </c>
      <c r="S305" s="85"/>
      <c r="T305" s="85"/>
      <c r="U305" s="151"/>
      <c r="V305" s="86" t="s">
        <v>351</v>
      </c>
      <c r="W305" s="85"/>
      <c r="X305" s="85"/>
      <c r="Y305" s="151"/>
      <c r="Z305" s="86" t="s">
        <v>351</v>
      </c>
      <c r="AA305" s="85"/>
      <c r="AB305" s="85"/>
      <c r="AC305" s="151"/>
      <c r="AD305" t="s">
        <v>351</v>
      </c>
      <c r="AE305" s="85"/>
      <c r="AF305" s="85"/>
      <c r="AG305" s="151"/>
    </row>
    <row r="306" spans="1:33" x14ac:dyDescent="0.25">
      <c r="A306" s="87" t="s">
        <v>282</v>
      </c>
      <c r="B306" s="84">
        <v>1184712580</v>
      </c>
      <c r="C306" s="85">
        <v>3</v>
      </c>
      <c r="D306" s="85">
        <v>2022</v>
      </c>
      <c r="E306" s="151">
        <v>331154</v>
      </c>
      <c r="F306" s="86" t="s">
        <v>351</v>
      </c>
      <c r="G306" s="85"/>
      <c r="H306" s="85"/>
      <c r="I306" s="151"/>
      <c r="J306" s="86" t="s">
        <v>351</v>
      </c>
      <c r="K306" s="85"/>
      <c r="L306" s="85"/>
      <c r="M306" s="151"/>
      <c r="N306" s="86" t="s">
        <v>351</v>
      </c>
      <c r="O306" s="85"/>
      <c r="P306" s="85"/>
      <c r="Q306" s="151"/>
      <c r="R306" s="86" t="s">
        <v>351</v>
      </c>
      <c r="S306" s="85"/>
      <c r="T306" s="85"/>
      <c r="U306" s="151"/>
      <c r="V306" s="86" t="s">
        <v>351</v>
      </c>
      <c r="W306" s="85"/>
      <c r="X306" s="85"/>
      <c r="Y306" s="151"/>
      <c r="Z306" s="86" t="s">
        <v>351</v>
      </c>
      <c r="AA306" s="85"/>
      <c r="AB306" s="85"/>
      <c r="AC306" s="151"/>
      <c r="AD306" t="s">
        <v>351</v>
      </c>
      <c r="AE306" s="85"/>
      <c r="AF306" s="85"/>
      <c r="AG306" s="151"/>
    </row>
    <row r="307" spans="1:33" x14ac:dyDescent="0.25">
      <c r="A307" s="87" t="s">
        <v>283</v>
      </c>
      <c r="B307" s="84">
        <v>1407843097</v>
      </c>
      <c r="C307" s="85">
        <v>3</v>
      </c>
      <c r="D307" s="85">
        <v>2016</v>
      </c>
      <c r="E307" s="151">
        <v>517730</v>
      </c>
      <c r="F307" s="86" t="s">
        <v>351</v>
      </c>
      <c r="G307" s="85">
        <v>3</v>
      </c>
      <c r="H307" s="85">
        <v>2017</v>
      </c>
      <c r="I307" s="151">
        <v>1413348</v>
      </c>
      <c r="J307" s="86" t="s">
        <v>351</v>
      </c>
      <c r="K307" s="85">
        <v>3</v>
      </c>
      <c r="L307" s="85">
        <v>2018</v>
      </c>
      <c r="M307" s="151">
        <v>1123012</v>
      </c>
      <c r="N307" s="86" t="s">
        <v>351</v>
      </c>
      <c r="O307" s="85">
        <v>3</v>
      </c>
      <c r="P307" s="85">
        <v>2019</v>
      </c>
      <c r="Q307" s="151">
        <v>217110</v>
      </c>
      <c r="R307" s="86" t="s">
        <v>351</v>
      </c>
      <c r="S307" s="85">
        <v>3</v>
      </c>
      <c r="T307" s="85">
        <v>2020</v>
      </c>
      <c r="U307" s="151">
        <v>412593</v>
      </c>
      <c r="V307" s="86" t="s">
        <v>351</v>
      </c>
      <c r="W307" s="85">
        <v>3</v>
      </c>
      <c r="X307" s="85">
        <v>2022</v>
      </c>
      <c r="Y307" s="151">
        <v>130748</v>
      </c>
      <c r="Z307" s="86" t="s">
        <v>351</v>
      </c>
      <c r="AA307" s="85">
        <v>3</v>
      </c>
      <c r="AB307" s="85">
        <v>2023</v>
      </c>
      <c r="AC307" s="151">
        <v>145277</v>
      </c>
      <c r="AD307" t="s">
        <v>351</v>
      </c>
      <c r="AE307" s="85"/>
      <c r="AF307" s="85"/>
      <c r="AG307" s="151"/>
    </row>
    <row r="308" spans="1:33" x14ac:dyDescent="0.25">
      <c r="A308" s="84" t="s">
        <v>284</v>
      </c>
      <c r="B308" s="84">
        <v>1891346797</v>
      </c>
      <c r="C308" s="85">
        <v>3</v>
      </c>
      <c r="D308" s="85">
        <v>2017</v>
      </c>
      <c r="E308" s="151">
        <v>219419</v>
      </c>
      <c r="F308" s="86" t="s">
        <v>351</v>
      </c>
      <c r="G308" s="85">
        <v>3</v>
      </c>
      <c r="H308" s="85">
        <v>2018</v>
      </c>
      <c r="I308" s="151">
        <v>570779</v>
      </c>
      <c r="J308" s="86" t="s">
        <v>351</v>
      </c>
      <c r="K308" s="85">
        <v>3</v>
      </c>
      <c r="L308" s="85">
        <v>2019</v>
      </c>
      <c r="M308" s="151">
        <v>1186477</v>
      </c>
      <c r="N308" s="86" t="s">
        <v>351</v>
      </c>
      <c r="O308" s="85">
        <v>3</v>
      </c>
      <c r="P308" s="85">
        <v>2020</v>
      </c>
      <c r="Q308" s="151">
        <v>81860</v>
      </c>
      <c r="R308" s="86" t="s">
        <v>351</v>
      </c>
      <c r="S308" s="85">
        <v>3</v>
      </c>
      <c r="T308" s="85">
        <v>2023</v>
      </c>
      <c r="U308" s="151">
        <v>487916</v>
      </c>
      <c r="V308" s="86" t="s">
        <v>351</v>
      </c>
      <c r="W308" s="85"/>
      <c r="X308" s="85"/>
      <c r="Y308" s="151"/>
      <c r="Z308" s="86" t="s">
        <v>351</v>
      </c>
      <c r="AA308" s="85"/>
      <c r="AB308" s="85"/>
      <c r="AC308" s="151"/>
      <c r="AD308" t="s">
        <v>351</v>
      </c>
      <c r="AE308" s="85"/>
      <c r="AF308" s="85"/>
      <c r="AG308" s="151" t="s">
        <v>596</v>
      </c>
    </row>
    <row r="309" spans="1:33" x14ac:dyDescent="0.25">
      <c r="A309" s="84" t="s">
        <v>285</v>
      </c>
      <c r="B309" s="84">
        <v>1629511597</v>
      </c>
      <c r="C309" s="85"/>
      <c r="D309" s="85"/>
      <c r="E309" s="151"/>
      <c r="F309" s="86" t="s">
        <v>351</v>
      </c>
      <c r="G309" s="85"/>
      <c r="H309" s="85"/>
      <c r="I309" s="151"/>
      <c r="J309" s="86" t="s">
        <v>351</v>
      </c>
      <c r="K309" s="85"/>
      <c r="L309" s="85"/>
      <c r="M309" s="151"/>
      <c r="N309" s="86" t="s">
        <v>351</v>
      </c>
      <c r="O309" s="85"/>
      <c r="P309" s="85"/>
      <c r="Q309" s="151"/>
      <c r="R309" s="86" t="s">
        <v>351</v>
      </c>
      <c r="S309" s="85"/>
      <c r="T309" s="85"/>
      <c r="U309" s="151"/>
      <c r="V309" s="86" t="s">
        <v>351</v>
      </c>
      <c r="W309" s="85"/>
      <c r="X309" s="85"/>
      <c r="Y309" s="151"/>
      <c r="Z309" s="86" t="s">
        <v>351</v>
      </c>
      <c r="AA309" s="85"/>
      <c r="AB309" s="85"/>
      <c r="AC309" s="151"/>
      <c r="AD309" t="s">
        <v>351</v>
      </c>
      <c r="AE309" s="85"/>
      <c r="AF309" s="85"/>
      <c r="AG309" s="151"/>
    </row>
    <row r="310" spans="1:33" x14ac:dyDescent="0.25">
      <c r="A310" s="84" t="s">
        <v>489</v>
      </c>
      <c r="B310" s="84">
        <v>1164725198</v>
      </c>
      <c r="C310" s="85">
        <v>3</v>
      </c>
      <c r="D310" s="85">
        <v>2016</v>
      </c>
      <c r="E310" s="151">
        <v>238920</v>
      </c>
      <c r="F310" s="86" t="s">
        <v>351</v>
      </c>
      <c r="G310" s="85">
        <v>3</v>
      </c>
      <c r="H310" s="85">
        <v>2018</v>
      </c>
      <c r="I310" s="151">
        <v>152356</v>
      </c>
      <c r="J310" s="86" t="s">
        <v>351</v>
      </c>
      <c r="K310" s="85">
        <v>3</v>
      </c>
      <c r="L310" s="85">
        <v>2019</v>
      </c>
      <c r="M310" s="151">
        <v>92669</v>
      </c>
      <c r="N310" s="86" t="s">
        <v>351</v>
      </c>
      <c r="O310" s="85">
        <v>3</v>
      </c>
      <c r="P310" s="85">
        <v>2021</v>
      </c>
      <c r="Q310" s="151">
        <v>306740.8</v>
      </c>
      <c r="R310" s="86" t="s">
        <v>351</v>
      </c>
      <c r="S310" s="85">
        <v>3</v>
      </c>
      <c r="T310" s="85">
        <v>2022</v>
      </c>
      <c r="U310" s="151">
        <v>69304</v>
      </c>
      <c r="V310" s="86" t="s">
        <v>351</v>
      </c>
      <c r="W310" s="85">
        <v>3</v>
      </c>
      <c r="X310" s="85">
        <v>2023</v>
      </c>
      <c r="Y310" s="151">
        <v>100340</v>
      </c>
      <c r="Z310" s="86" t="s">
        <v>351</v>
      </c>
      <c r="AA310" s="85"/>
      <c r="AB310" s="85"/>
      <c r="AC310" s="151"/>
      <c r="AD310" t="s">
        <v>351</v>
      </c>
      <c r="AE310" s="85"/>
      <c r="AF310" s="85"/>
      <c r="AG310" s="151" t="s">
        <v>596</v>
      </c>
    </row>
    <row r="311" spans="1:33" x14ac:dyDescent="0.25">
      <c r="A311" s="87" t="s">
        <v>490</v>
      </c>
      <c r="B311" s="84">
        <v>1710244827</v>
      </c>
      <c r="C311" s="85">
        <v>2</v>
      </c>
      <c r="D311" s="85">
        <v>2017</v>
      </c>
      <c r="E311" s="151">
        <v>200</v>
      </c>
      <c r="F311" s="86" t="s">
        <v>351</v>
      </c>
      <c r="G311" s="85">
        <v>1</v>
      </c>
      <c r="H311" s="85">
        <v>2017</v>
      </c>
      <c r="I311" s="151">
        <v>-100</v>
      </c>
      <c r="J311" s="86" t="s">
        <v>351</v>
      </c>
      <c r="K311" s="85">
        <v>1</v>
      </c>
      <c r="L311" s="85">
        <v>2018</v>
      </c>
      <c r="M311" s="151">
        <v>20</v>
      </c>
      <c r="N311" s="86" t="s">
        <v>351</v>
      </c>
      <c r="O311" s="85">
        <v>3</v>
      </c>
      <c r="P311" s="85">
        <v>2019</v>
      </c>
      <c r="Q311" s="151">
        <v>68342</v>
      </c>
      <c r="R311" s="86" t="s">
        <v>351</v>
      </c>
      <c r="S311" s="85">
        <v>3</v>
      </c>
      <c r="T311" s="85">
        <v>2021</v>
      </c>
      <c r="U311" s="151">
        <v>94958</v>
      </c>
      <c r="V311" s="86" t="s">
        <v>351</v>
      </c>
      <c r="W311" s="85"/>
      <c r="X311" s="85"/>
      <c r="Y311" s="151"/>
      <c r="Z311" s="86" t="s">
        <v>351</v>
      </c>
      <c r="AA311" s="85"/>
      <c r="AB311" s="85"/>
      <c r="AC311" s="151"/>
      <c r="AD311" t="s">
        <v>351</v>
      </c>
      <c r="AE311" s="85"/>
      <c r="AF311" s="85"/>
      <c r="AG311" s="151"/>
    </row>
    <row r="312" spans="1:33" x14ac:dyDescent="0.25">
      <c r="A312" s="84" t="s">
        <v>286</v>
      </c>
      <c r="B312" s="84">
        <v>1821414269</v>
      </c>
      <c r="C312" s="85">
        <v>3</v>
      </c>
      <c r="D312" s="85">
        <v>2016</v>
      </c>
      <c r="E312" s="151">
        <v>83905</v>
      </c>
      <c r="F312" s="86" t="s">
        <v>351</v>
      </c>
      <c r="G312" s="85">
        <v>3</v>
      </c>
      <c r="H312" s="85">
        <v>2019</v>
      </c>
      <c r="I312" s="151">
        <v>101976</v>
      </c>
      <c r="J312" s="86" t="s">
        <v>351</v>
      </c>
      <c r="K312" s="85">
        <v>3</v>
      </c>
      <c r="L312" s="85">
        <v>2021</v>
      </c>
      <c r="M312" s="151">
        <v>81948</v>
      </c>
      <c r="N312" s="86" t="s">
        <v>351</v>
      </c>
      <c r="O312" s="85">
        <v>3</v>
      </c>
      <c r="P312" s="85">
        <v>2022</v>
      </c>
      <c r="Q312" s="151">
        <v>187417</v>
      </c>
      <c r="R312" s="86" t="s">
        <v>351</v>
      </c>
      <c r="S312" s="85">
        <v>3</v>
      </c>
      <c r="T312" s="85">
        <v>2023</v>
      </c>
      <c r="U312" s="151">
        <v>99989</v>
      </c>
      <c r="V312" s="86" t="s">
        <v>351</v>
      </c>
      <c r="W312" s="85"/>
      <c r="X312" s="85"/>
      <c r="Y312" s="151"/>
      <c r="Z312" s="86" t="s">
        <v>351</v>
      </c>
      <c r="AA312" s="85"/>
      <c r="AB312" s="85"/>
      <c r="AC312" s="151"/>
      <c r="AD312" t="s">
        <v>351</v>
      </c>
      <c r="AE312" s="85"/>
      <c r="AF312" s="85"/>
      <c r="AG312" s="151" t="s">
        <v>596</v>
      </c>
    </row>
    <row r="313" spans="1:33" x14ac:dyDescent="0.25">
      <c r="A313" s="84" t="s">
        <v>491</v>
      </c>
      <c r="B313" s="84">
        <v>1225588536</v>
      </c>
      <c r="C313" s="85">
        <v>3</v>
      </c>
      <c r="D313" s="85">
        <v>2017</v>
      </c>
      <c r="E313" s="151">
        <v>87378.4</v>
      </c>
      <c r="F313" s="86" t="s">
        <v>351</v>
      </c>
      <c r="G313" s="85">
        <v>3</v>
      </c>
      <c r="H313" s="85">
        <v>2021</v>
      </c>
      <c r="I313" s="151">
        <v>352164</v>
      </c>
      <c r="J313" s="86" t="s">
        <v>351</v>
      </c>
      <c r="K313" s="85"/>
      <c r="L313" s="85"/>
      <c r="M313" s="151"/>
      <c r="N313" s="86" t="s">
        <v>351</v>
      </c>
      <c r="O313" s="85"/>
      <c r="P313" s="85"/>
      <c r="Q313" s="151"/>
      <c r="R313" s="86" t="s">
        <v>351</v>
      </c>
      <c r="S313" s="85"/>
      <c r="T313" s="85"/>
      <c r="U313" s="151"/>
      <c r="V313" s="86" t="s">
        <v>351</v>
      </c>
      <c r="W313" s="85"/>
      <c r="X313" s="85"/>
      <c r="Y313" s="151"/>
      <c r="Z313" s="86" t="s">
        <v>351</v>
      </c>
      <c r="AA313" s="85"/>
      <c r="AB313" s="85"/>
      <c r="AC313" s="151"/>
      <c r="AD313" t="s">
        <v>351</v>
      </c>
      <c r="AE313" s="85"/>
      <c r="AF313" s="85"/>
      <c r="AG313" s="151"/>
    </row>
    <row r="314" spans="1:33" x14ac:dyDescent="0.25">
      <c r="A314" s="87" t="s">
        <v>287</v>
      </c>
      <c r="B314" s="84">
        <v>1861003485</v>
      </c>
      <c r="C314" s="85">
        <v>3</v>
      </c>
      <c r="D314" s="85">
        <v>2023</v>
      </c>
      <c r="E314" s="151">
        <v>270503</v>
      </c>
      <c r="F314" s="91" t="s">
        <v>351</v>
      </c>
      <c r="G314" s="85"/>
      <c r="H314" s="85"/>
      <c r="I314" s="151"/>
      <c r="J314" s="91" t="s">
        <v>351</v>
      </c>
      <c r="K314" s="85"/>
      <c r="L314" s="85"/>
      <c r="M314" s="151"/>
      <c r="N314" s="91" t="s">
        <v>351</v>
      </c>
      <c r="O314" s="85"/>
      <c r="P314" s="85"/>
      <c r="Q314" s="151"/>
      <c r="R314" s="91" t="s">
        <v>351</v>
      </c>
      <c r="S314" s="85"/>
      <c r="T314" s="85"/>
      <c r="U314" s="151"/>
      <c r="V314" s="86" t="s">
        <v>351</v>
      </c>
      <c r="W314" s="85"/>
      <c r="X314" s="85"/>
      <c r="Y314" s="151"/>
      <c r="Z314" s="86" t="s">
        <v>351</v>
      </c>
      <c r="AA314" s="85"/>
      <c r="AB314" s="85"/>
      <c r="AC314" s="151"/>
      <c r="AD314" t="s">
        <v>351</v>
      </c>
      <c r="AE314" s="85"/>
      <c r="AF314" s="85"/>
      <c r="AG314" s="151" t="s">
        <v>596</v>
      </c>
    </row>
    <row r="315" spans="1:33" x14ac:dyDescent="0.25">
      <c r="A315" s="84" t="s">
        <v>288</v>
      </c>
      <c r="B315" s="84">
        <v>1699313544</v>
      </c>
      <c r="C315" s="85">
        <v>3</v>
      </c>
      <c r="D315" s="85">
        <v>2017</v>
      </c>
      <c r="E315" s="151">
        <v>120709</v>
      </c>
      <c r="F315" s="86" t="s">
        <v>351</v>
      </c>
      <c r="G315" s="85">
        <v>1</v>
      </c>
      <c r="H315" s="85">
        <v>2020</v>
      </c>
      <c r="I315" s="151">
        <v>30</v>
      </c>
      <c r="J315" s="86" t="s">
        <v>351</v>
      </c>
      <c r="K315" s="85">
        <v>3</v>
      </c>
      <c r="L315" s="85">
        <v>2020</v>
      </c>
      <c r="M315" s="151">
        <v>333894</v>
      </c>
      <c r="N315" s="86" t="s">
        <v>351</v>
      </c>
      <c r="O315" s="85">
        <v>3</v>
      </c>
      <c r="P315" s="85">
        <v>2022</v>
      </c>
      <c r="Q315" s="151">
        <v>562586</v>
      </c>
      <c r="R315" s="86" t="s">
        <v>351</v>
      </c>
      <c r="S315" s="85">
        <v>3</v>
      </c>
      <c r="T315" s="85">
        <v>2023</v>
      </c>
      <c r="U315" s="151">
        <v>112985</v>
      </c>
      <c r="V315" s="86" t="s">
        <v>351</v>
      </c>
      <c r="W315" s="85"/>
      <c r="X315" s="85"/>
      <c r="Y315" s="151"/>
      <c r="Z315" s="86" t="s">
        <v>351</v>
      </c>
      <c r="AA315" s="85"/>
      <c r="AB315" s="85"/>
      <c r="AC315" s="151"/>
      <c r="AD315" t="s">
        <v>351</v>
      </c>
      <c r="AE315" s="85"/>
      <c r="AF315" s="85"/>
      <c r="AG315" s="151" t="s">
        <v>596</v>
      </c>
    </row>
    <row r="316" spans="1:33" x14ac:dyDescent="0.25">
      <c r="A316" s="87" t="s">
        <v>289</v>
      </c>
      <c r="B316" s="84">
        <v>1336602358</v>
      </c>
      <c r="C316" s="85">
        <v>3</v>
      </c>
      <c r="D316" s="85">
        <v>2018</v>
      </c>
      <c r="E316" s="151">
        <v>406147</v>
      </c>
      <c r="F316" s="86" t="s">
        <v>351</v>
      </c>
      <c r="G316" s="85">
        <v>3</v>
      </c>
      <c r="H316" s="85">
        <v>2019</v>
      </c>
      <c r="I316" s="151">
        <v>149877</v>
      </c>
      <c r="J316" s="86" t="s">
        <v>351</v>
      </c>
      <c r="K316" s="85">
        <v>3</v>
      </c>
      <c r="L316" s="85">
        <v>2020</v>
      </c>
      <c r="M316" s="151">
        <v>865682</v>
      </c>
      <c r="N316" s="86" t="s">
        <v>351</v>
      </c>
      <c r="O316" s="85">
        <v>3</v>
      </c>
      <c r="P316" s="85">
        <v>2021</v>
      </c>
      <c r="Q316" s="151">
        <v>1631433</v>
      </c>
      <c r="R316" s="86" t="s">
        <v>351</v>
      </c>
      <c r="S316" s="85">
        <v>3</v>
      </c>
      <c r="T316" s="85">
        <v>2022</v>
      </c>
      <c r="U316" s="151">
        <v>950756</v>
      </c>
      <c r="V316" s="86" t="s">
        <v>351</v>
      </c>
      <c r="W316" s="85">
        <v>3</v>
      </c>
      <c r="X316" s="85">
        <v>2023</v>
      </c>
      <c r="Y316" s="151">
        <v>69394</v>
      </c>
      <c r="Z316" s="86" t="s">
        <v>351</v>
      </c>
      <c r="AA316" s="85"/>
      <c r="AB316" s="85"/>
      <c r="AC316" s="151"/>
      <c r="AD316" t="s">
        <v>351</v>
      </c>
      <c r="AE316" s="85"/>
      <c r="AF316" s="85"/>
      <c r="AG316" s="151" t="s">
        <v>596</v>
      </c>
    </row>
    <row r="317" spans="1:33" x14ac:dyDescent="0.25">
      <c r="A317" s="87" t="s">
        <v>290</v>
      </c>
      <c r="B317" s="84">
        <v>1144868092</v>
      </c>
      <c r="C317" s="85">
        <v>3</v>
      </c>
      <c r="D317" s="85">
        <v>2017</v>
      </c>
      <c r="E317" s="151">
        <v>307975</v>
      </c>
      <c r="F317" s="86" t="s">
        <v>351</v>
      </c>
      <c r="G317" s="85">
        <v>3</v>
      </c>
      <c r="H317" s="85">
        <v>2020</v>
      </c>
      <c r="I317" s="151">
        <v>219950</v>
      </c>
      <c r="J317" s="86" t="s">
        <v>351</v>
      </c>
      <c r="K317" s="85">
        <v>3</v>
      </c>
      <c r="L317" s="85">
        <v>2021</v>
      </c>
      <c r="M317" s="151">
        <v>462065</v>
      </c>
      <c r="N317" s="86" t="s">
        <v>351</v>
      </c>
      <c r="O317" s="85">
        <v>3</v>
      </c>
      <c r="P317" s="85">
        <v>2022</v>
      </c>
      <c r="Q317" s="151">
        <v>643539</v>
      </c>
      <c r="R317" s="86" t="s">
        <v>351</v>
      </c>
      <c r="S317" s="85"/>
      <c r="T317" s="85"/>
      <c r="U317" s="151"/>
      <c r="V317" s="86" t="s">
        <v>351</v>
      </c>
      <c r="W317" s="85"/>
      <c r="X317" s="85"/>
      <c r="Y317" s="151"/>
      <c r="Z317" s="86" t="s">
        <v>351</v>
      </c>
      <c r="AA317" s="85"/>
      <c r="AB317" s="85"/>
      <c r="AC317" s="151"/>
      <c r="AD317" t="s">
        <v>351</v>
      </c>
      <c r="AE317" s="85"/>
      <c r="AF317" s="85"/>
      <c r="AG317" s="151"/>
    </row>
    <row r="318" spans="1:33" x14ac:dyDescent="0.25">
      <c r="A318" s="91" t="s">
        <v>291</v>
      </c>
      <c r="B318" s="84">
        <v>1821551797</v>
      </c>
      <c r="C318" s="85">
        <v>3</v>
      </c>
      <c r="D318" s="85">
        <v>2018</v>
      </c>
      <c r="E318" s="151">
        <v>183500</v>
      </c>
      <c r="F318" s="86" t="s">
        <v>351</v>
      </c>
      <c r="G318" s="85">
        <v>3</v>
      </c>
      <c r="H318" s="85">
        <v>2019</v>
      </c>
      <c r="I318" s="151">
        <v>289248</v>
      </c>
      <c r="J318" s="86" t="s">
        <v>351</v>
      </c>
      <c r="K318" s="85">
        <v>3</v>
      </c>
      <c r="L318" s="85">
        <v>2020</v>
      </c>
      <c r="M318" s="151">
        <v>202746</v>
      </c>
      <c r="N318" s="86" t="s">
        <v>351</v>
      </c>
      <c r="O318" s="85">
        <v>3</v>
      </c>
      <c r="P318" s="85">
        <v>2021</v>
      </c>
      <c r="Q318" s="151">
        <v>1712648</v>
      </c>
      <c r="R318" s="86" t="s">
        <v>351</v>
      </c>
      <c r="S318" s="85">
        <v>3</v>
      </c>
      <c r="T318" s="85">
        <v>2022</v>
      </c>
      <c r="U318" s="151">
        <v>1106750</v>
      </c>
      <c r="V318" s="86" t="s">
        <v>351</v>
      </c>
      <c r="W318" s="85">
        <v>3</v>
      </c>
      <c r="X318" s="85">
        <v>2023</v>
      </c>
      <c r="Y318" s="151">
        <v>1367300</v>
      </c>
      <c r="Z318" s="86" t="s">
        <v>351</v>
      </c>
      <c r="AA318" s="85"/>
      <c r="AB318" s="85"/>
      <c r="AC318" s="151"/>
      <c r="AD318" t="s">
        <v>351</v>
      </c>
      <c r="AE318" s="85"/>
      <c r="AF318" s="85"/>
      <c r="AG318" s="151" t="s">
        <v>596</v>
      </c>
    </row>
    <row r="319" spans="1:33" x14ac:dyDescent="0.25">
      <c r="A319" s="87" t="s">
        <v>792</v>
      </c>
      <c r="B319" s="84">
        <v>1194381681</v>
      </c>
      <c r="C319" s="85">
        <v>3</v>
      </c>
      <c r="D319" s="85">
        <v>2016</v>
      </c>
      <c r="E319" s="151">
        <v>137734</v>
      </c>
      <c r="F319" s="86" t="s">
        <v>351</v>
      </c>
      <c r="G319" s="85">
        <v>3</v>
      </c>
      <c r="H319" s="85">
        <v>2019</v>
      </c>
      <c r="I319" s="151">
        <v>121892</v>
      </c>
      <c r="J319" s="86" t="s">
        <v>351</v>
      </c>
      <c r="K319" s="85">
        <v>3</v>
      </c>
      <c r="L319" s="85">
        <v>2020</v>
      </c>
      <c r="M319" s="151">
        <v>535224</v>
      </c>
      <c r="N319" s="86" t="s">
        <v>351</v>
      </c>
      <c r="O319" s="85">
        <v>3</v>
      </c>
      <c r="P319" s="85">
        <v>2021</v>
      </c>
      <c r="Q319" s="151">
        <v>924621</v>
      </c>
      <c r="R319" s="86" t="s">
        <v>351</v>
      </c>
      <c r="S319" s="85">
        <v>3</v>
      </c>
      <c r="T319" s="85">
        <v>2022</v>
      </c>
      <c r="U319" s="151">
        <v>54973</v>
      </c>
      <c r="V319" s="86" t="s">
        <v>351</v>
      </c>
      <c r="W319" s="85">
        <v>3</v>
      </c>
      <c r="X319" s="85">
        <v>2023</v>
      </c>
      <c r="Y319" s="151">
        <v>81445</v>
      </c>
      <c r="Z319" s="86" t="s">
        <v>351</v>
      </c>
      <c r="AA319" s="85"/>
      <c r="AB319" s="85"/>
      <c r="AC319" s="151"/>
      <c r="AD319" t="s">
        <v>351</v>
      </c>
      <c r="AE319" s="85"/>
      <c r="AF319" s="85"/>
      <c r="AG319" s="151" t="s">
        <v>596</v>
      </c>
    </row>
    <row r="320" spans="1:33" x14ac:dyDescent="0.25">
      <c r="A320" s="87" t="s">
        <v>580</v>
      </c>
      <c r="B320" s="84">
        <v>1851030985</v>
      </c>
      <c r="C320" s="85">
        <v>3</v>
      </c>
      <c r="D320" s="85">
        <v>2016</v>
      </c>
      <c r="E320" s="151">
        <v>321617</v>
      </c>
      <c r="F320" s="86" t="s">
        <v>351</v>
      </c>
      <c r="G320" s="85">
        <v>3</v>
      </c>
      <c r="H320" s="85">
        <v>2019</v>
      </c>
      <c r="I320" s="151">
        <v>90451</v>
      </c>
      <c r="J320" s="86" t="s">
        <v>351</v>
      </c>
      <c r="K320" s="85">
        <v>3</v>
      </c>
      <c r="L320" s="85">
        <v>2020</v>
      </c>
      <c r="M320" s="151">
        <v>122288</v>
      </c>
      <c r="N320" s="86" t="s">
        <v>351</v>
      </c>
      <c r="O320" s="85">
        <v>3</v>
      </c>
      <c r="P320" s="85">
        <v>2023</v>
      </c>
      <c r="Q320" s="151">
        <v>2390992</v>
      </c>
      <c r="R320" s="86" t="s">
        <v>351</v>
      </c>
      <c r="S320" s="85"/>
      <c r="T320" s="85"/>
      <c r="U320" s="151"/>
      <c r="V320" s="86" t="s">
        <v>351</v>
      </c>
      <c r="W320" s="85"/>
      <c r="X320" s="85"/>
      <c r="Y320" s="151"/>
      <c r="Z320" s="86" t="s">
        <v>351</v>
      </c>
      <c r="AA320" s="85"/>
      <c r="AB320" s="85"/>
      <c r="AC320" s="151"/>
      <c r="AD320" t="s">
        <v>351</v>
      </c>
      <c r="AE320" s="85"/>
      <c r="AF320" s="85"/>
      <c r="AG320" s="151" t="s">
        <v>596</v>
      </c>
    </row>
    <row r="321" spans="1:33" x14ac:dyDescent="0.25">
      <c r="A321" s="87" t="s">
        <v>581</v>
      </c>
      <c r="B321" s="84">
        <v>1013656156</v>
      </c>
      <c r="C321" s="85">
        <v>3</v>
      </c>
      <c r="D321" s="85">
        <v>2016</v>
      </c>
      <c r="E321" s="151">
        <v>102495</v>
      </c>
      <c r="F321" s="86" t="s">
        <v>351</v>
      </c>
      <c r="G321" s="85">
        <v>3</v>
      </c>
      <c r="H321" s="85">
        <v>2023</v>
      </c>
      <c r="I321" s="151">
        <v>161575</v>
      </c>
      <c r="J321" s="86" t="s">
        <v>351</v>
      </c>
      <c r="K321" s="85"/>
      <c r="L321" s="85"/>
      <c r="M321" s="151"/>
      <c r="N321" s="86" t="s">
        <v>351</v>
      </c>
      <c r="O321" s="85"/>
      <c r="P321" s="85"/>
      <c r="Q321" s="151"/>
      <c r="R321" s="86" t="s">
        <v>351</v>
      </c>
      <c r="S321" s="85"/>
      <c r="T321" s="85"/>
      <c r="U321" s="151"/>
      <c r="V321" s="86" t="s">
        <v>351</v>
      </c>
      <c r="W321" s="85"/>
      <c r="X321" s="85"/>
      <c r="Y321" s="151"/>
      <c r="Z321" s="86" t="s">
        <v>351</v>
      </c>
      <c r="AA321" s="85"/>
      <c r="AB321" s="85"/>
      <c r="AC321" s="151"/>
      <c r="AD321" t="s">
        <v>351</v>
      </c>
      <c r="AE321" s="85"/>
      <c r="AF321" s="85"/>
      <c r="AG321" s="151" t="s">
        <v>596</v>
      </c>
    </row>
    <row r="322" spans="1:33" x14ac:dyDescent="0.25">
      <c r="A322" s="84" t="s">
        <v>582</v>
      </c>
      <c r="B322" s="84">
        <v>1184363236</v>
      </c>
      <c r="C322" s="85">
        <v>3</v>
      </c>
      <c r="D322" s="85">
        <v>2016</v>
      </c>
      <c r="E322" s="151">
        <v>192571</v>
      </c>
      <c r="F322" s="86" t="s">
        <v>351</v>
      </c>
      <c r="G322" s="85">
        <v>3</v>
      </c>
      <c r="H322" s="85">
        <v>2020</v>
      </c>
      <c r="I322" s="151">
        <v>316695</v>
      </c>
      <c r="J322" s="86" t="s">
        <v>351</v>
      </c>
      <c r="K322" s="85">
        <v>3</v>
      </c>
      <c r="L322" s="85">
        <v>2023</v>
      </c>
      <c r="M322" s="151">
        <v>3012954</v>
      </c>
      <c r="N322" s="86" t="s">
        <v>351</v>
      </c>
      <c r="O322" s="85"/>
      <c r="P322" s="85"/>
      <c r="Q322" s="151"/>
      <c r="R322" s="86" t="s">
        <v>351</v>
      </c>
      <c r="S322" s="85"/>
      <c r="T322" s="85"/>
      <c r="U322" s="151"/>
      <c r="V322" s="86" t="s">
        <v>351</v>
      </c>
      <c r="W322" s="85"/>
      <c r="X322" s="85"/>
      <c r="Y322" s="151"/>
      <c r="Z322" s="86" t="s">
        <v>351</v>
      </c>
      <c r="AA322" s="85"/>
      <c r="AB322" s="85"/>
      <c r="AC322" s="151"/>
      <c r="AD322" t="s">
        <v>351</v>
      </c>
      <c r="AE322" s="85"/>
      <c r="AF322" s="85"/>
      <c r="AG322" s="151" t="s">
        <v>596</v>
      </c>
    </row>
    <row r="323" spans="1:33" x14ac:dyDescent="0.25">
      <c r="A323" s="84" t="s">
        <v>583</v>
      </c>
      <c r="B323" s="84">
        <v>1518606664</v>
      </c>
      <c r="C323" s="85">
        <v>3</v>
      </c>
      <c r="D323" s="85">
        <v>2016</v>
      </c>
      <c r="E323" s="151">
        <v>59968</v>
      </c>
      <c r="F323" s="86" t="s">
        <v>351</v>
      </c>
      <c r="G323" s="85">
        <v>3</v>
      </c>
      <c r="H323" s="85">
        <v>2017</v>
      </c>
      <c r="I323" s="151">
        <v>73256.72</v>
      </c>
      <c r="J323" s="86" t="s">
        <v>351</v>
      </c>
      <c r="K323" s="85">
        <v>3</v>
      </c>
      <c r="L323" s="85">
        <v>2020</v>
      </c>
      <c r="M323" s="151">
        <v>143433</v>
      </c>
      <c r="N323" s="86" t="s">
        <v>351</v>
      </c>
      <c r="O323" s="85">
        <v>3</v>
      </c>
      <c r="P323" s="85">
        <v>2021</v>
      </c>
      <c r="Q323" s="151">
        <v>75381</v>
      </c>
      <c r="R323" s="86" t="s">
        <v>351</v>
      </c>
      <c r="S323" s="85">
        <v>3</v>
      </c>
      <c r="T323" s="85">
        <v>2023</v>
      </c>
      <c r="U323" s="151">
        <v>141619</v>
      </c>
      <c r="V323" s="86" t="s">
        <v>351</v>
      </c>
      <c r="W323" s="85"/>
      <c r="X323" s="85"/>
      <c r="Y323" s="151"/>
      <c r="Z323" s="86" t="s">
        <v>351</v>
      </c>
      <c r="AA323" s="85"/>
      <c r="AB323" s="85"/>
      <c r="AC323" s="151"/>
      <c r="AD323" t="s">
        <v>351</v>
      </c>
      <c r="AE323" s="85"/>
      <c r="AF323" s="85"/>
      <c r="AG323" s="151" t="s">
        <v>596</v>
      </c>
    </row>
    <row r="324" spans="1:33" x14ac:dyDescent="0.25">
      <c r="A324" s="87" t="s">
        <v>584</v>
      </c>
      <c r="B324" s="84">
        <v>1922747088</v>
      </c>
      <c r="C324" s="85">
        <v>3</v>
      </c>
      <c r="D324" s="85">
        <v>2016</v>
      </c>
      <c r="E324" s="151">
        <v>149602</v>
      </c>
      <c r="F324" s="86" t="s">
        <v>351</v>
      </c>
      <c r="G324" s="85">
        <v>3</v>
      </c>
      <c r="H324" s="85">
        <v>2017</v>
      </c>
      <c r="I324" s="151">
        <v>74762.69</v>
      </c>
      <c r="J324" s="86" t="s">
        <v>351</v>
      </c>
      <c r="K324" s="85">
        <v>3</v>
      </c>
      <c r="L324" s="85">
        <v>2019</v>
      </c>
      <c r="M324" s="151">
        <v>70136</v>
      </c>
      <c r="N324" s="86" t="s">
        <v>351</v>
      </c>
      <c r="O324" s="85">
        <v>3</v>
      </c>
      <c r="P324" s="85">
        <v>2020</v>
      </c>
      <c r="Q324" s="151">
        <v>220818</v>
      </c>
      <c r="R324" s="86" t="s">
        <v>351</v>
      </c>
      <c r="S324" s="85">
        <v>3</v>
      </c>
      <c r="T324" s="85">
        <v>2023</v>
      </c>
      <c r="U324" s="151">
        <v>132189</v>
      </c>
      <c r="V324" s="86" t="s">
        <v>351</v>
      </c>
      <c r="W324" s="85"/>
      <c r="X324" s="85"/>
      <c r="Y324" s="151"/>
      <c r="Z324" s="86" t="s">
        <v>351</v>
      </c>
      <c r="AA324" s="85"/>
      <c r="AB324" s="85"/>
      <c r="AC324" s="151"/>
      <c r="AD324" t="s">
        <v>351</v>
      </c>
      <c r="AE324" s="85"/>
      <c r="AF324" s="85"/>
      <c r="AG324" s="151" t="s">
        <v>596</v>
      </c>
    </row>
    <row r="325" spans="1:33" x14ac:dyDescent="0.25">
      <c r="A325" s="87" t="s">
        <v>492</v>
      </c>
      <c r="B325" s="84">
        <v>1528544145</v>
      </c>
      <c r="C325" s="85">
        <v>3</v>
      </c>
      <c r="D325" s="85">
        <v>2023</v>
      </c>
      <c r="E325" s="151">
        <v>1193688</v>
      </c>
      <c r="F325" s="86" t="s">
        <v>351</v>
      </c>
      <c r="G325" s="85"/>
      <c r="H325" s="85"/>
      <c r="I325" s="151"/>
      <c r="J325" s="86" t="s">
        <v>351</v>
      </c>
      <c r="K325" s="85"/>
      <c r="L325" s="85"/>
      <c r="M325" s="151"/>
      <c r="N325" s="86" t="s">
        <v>351</v>
      </c>
      <c r="O325" s="85"/>
      <c r="P325" s="85"/>
      <c r="Q325" s="151"/>
      <c r="R325" s="86" t="s">
        <v>351</v>
      </c>
      <c r="S325" s="85"/>
      <c r="T325" s="85"/>
      <c r="U325" s="151"/>
      <c r="V325" s="86" t="s">
        <v>351</v>
      </c>
      <c r="W325" s="85"/>
      <c r="X325" s="85"/>
      <c r="Y325" s="151"/>
      <c r="Z325" s="86" t="s">
        <v>351</v>
      </c>
      <c r="AA325" s="85"/>
      <c r="AB325" s="85"/>
      <c r="AC325" s="151"/>
      <c r="AD325" t="s">
        <v>351</v>
      </c>
      <c r="AE325" s="85"/>
      <c r="AF325" s="85"/>
      <c r="AG325" s="151" t="s">
        <v>596</v>
      </c>
    </row>
    <row r="326" spans="1:33" x14ac:dyDescent="0.25">
      <c r="A326" s="84" t="s">
        <v>585</v>
      </c>
      <c r="B326" s="84">
        <v>1508505660</v>
      </c>
      <c r="C326" s="85">
        <v>3</v>
      </c>
      <c r="D326" s="85">
        <v>2016</v>
      </c>
      <c r="E326" s="151">
        <v>111991</v>
      </c>
      <c r="F326" s="86" t="s">
        <v>351</v>
      </c>
      <c r="G326" s="85">
        <v>3</v>
      </c>
      <c r="H326" s="85">
        <v>2023</v>
      </c>
      <c r="I326" s="151">
        <v>1038289</v>
      </c>
      <c r="J326" s="86" t="s">
        <v>351</v>
      </c>
      <c r="K326" s="85"/>
      <c r="L326" s="85"/>
      <c r="M326" s="151"/>
      <c r="N326" s="86" t="s">
        <v>351</v>
      </c>
      <c r="O326" s="85"/>
      <c r="P326" s="85"/>
      <c r="Q326" s="151"/>
      <c r="R326" s="86" t="s">
        <v>351</v>
      </c>
      <c r="S326" s="85"/>
      <c r="T326" s="85"/>
      <c r="U326" s="151"/>
      <c r="V326" s="86" t="s">
        <v>351</v>
      </c>
      <c r="W326" s="85"/>
      <c r="X326" s="85"/>
      <c r="Y326" s="151"/>
      <c r="Z326" s="86" t="s">
        <v>351</v>
      </c>
      <c r="AA326" s="85"/>
      <c r="AB326" s="85"/>
      <c r="AC326" s="151"/>
      <c r="AD326" t="s">
        <v>351</v>
      </c>
      <c r="AE326" s="85"/>
      <c r="AF326" s="85"/>
      <c r="AG326" s="151" t="s">
        <v>596</v>
      </c>
    </row>
    <row r="327" spans="1:33" x14ac:dyDescent="0.25">
      <c r="A327" s="87" t="s">
        <v>586</v>
      </c>
      <c r="B327" s="84">
        <v>1255070306</v>
      </c>
      <c r="C327" s="85">
        <v>3</v>
      </c>
      <c r="D327" s="85">
        <v>2016</v>
      </c>
      <c r="E327" s="151">
        <v>149448</v>
      </c>
      <c r="F327" s="86" t="s">
        <v>351</v>
      </c>
      <c r="G327" s="85">
        <v>3</v>
      </c>
      <c r="H327" s="85">
        <v>2017</v>
      </c>
      <c r="I327" s="151">
        <v>89303.31</v>
      </c>
      <c r="J327" s="86" t="s">
        <v>351</v>
      </c>
      <c r="K327" s="85">
        <v>3</v>
      </c>
      <c r="L327" s="85">
        <v>2020</v>
      </c>
      <c r="M327" s="151">
        <v>89664</v>
      </c>
      <c r="N327" s="86" t="s">
        <v>351</v>
      </c>
      <c r="O327" s="85">
        <v>3</v>
      </c>
      <c r="P327" s="85">
        <v>2023</v>
      </c>
      <c r="Q327" s="151">
        <v>2797410</v>
      </c>
      <c r="R327" s="86" t="s">
        <v>351</v>
      </c>
      <c r="S327" s="85"/>
      <c r="T327" s="85"/>
      <c r="U327" s="151"/>
      <c r="V327" s="86" t="s">
        <v>351</v>
      </c>
      <c r="W327" s="85"/>
      <c r="X327" s="85"/>
      <c r="Y327" s="151"/>
      <c r="Z327" s="86" t="s">
        <v>351</v>
      </c>
      <c r="AA327" s="85"/>
      <c r="AB327" s="85"/>
      <c r="AC327" s="151"/>
      <c r="AD327" t="s">
        <v>351</v>
      </c>
      <c r="AE327" s="85"/>
      <c r="AF327" s="85"/>
      <c r="AG327" s="151" t="s">
        <v>596</v>
      </c>
    </row>
    <row r="328" spans="1:33" x14ac:dyDescent="0.25">
      <c r="A328" s="87" t="s">
        <v>587</v>
      </c>
      <c r="B328" s="84">
        <v>1417696576</v>
      </c>
      <c r="C328" s="85">
        <v>3</v>
      </c>
      <c r="D328" s="85">
        <v>2016</v>
      </c>
      <c r="E328" s="151">
        <v>184624</v>
      </c>
      <c r="F328" s="86" t="s">
        <v>351</v>
      </c>
      <c r="G328" s="85">
        <v>3</v>
      </c>
      <c r="H328" s="85">
        <v>2017</v>
      </c>
      <c r="I328" s="151">
        <v>184147.05</v>
      </c>
      <c r="J328" s="86" t="s">
        <v>351</v>
      </c>
      <c r="K328" s="85">
        <v>3</v>
      </c>
      <c r="L328" s="85">
        <v>2020</v>
      </c>
      <c r="M328" s="151">
        <v>392684</v>
      </c>
      <c r="N328" s="86" t="s">
        <v>351</v>
      </c>
      <c r="O328" s="85">
        <v>3</v>
      </c>
      <c r="P328" s="85">
        <v>2021</v>
      </c>
      <c r="Q328" s="151">
        <v>83380</v>
      </c>
      <c r="R328" s="86" t="s">
        <v>351</v>
      </c>
      <c r="S328" s="85">
        <v>3</v>
      </c>
      <c r="T328" s="85">
        <v>2023</v>
      </c>
      <c r="U328" s="151">
        <v>199415</v>
      </c>
      <c r="V328" s="86" t="s">
        <v>351</v>
      </c>
      <c r="W328" s="85"/>
      <c r="X328" s="85"/>
      <c r="Y328" s="151"/>
      <c r="Z328" s="86" t="s">
        <v>351</v>
      </c>
      <c r="AA328" s="85"/>
      <c r="AB328" s="85"/>
      <c r="AC328" s="151"/>
      <c r="AD328" t="s">
        <v>351</v>
      </c>
      <c r="AE328" s="85"/>
      <c r="AF328" s="85"/>
      <c r="AG328" s="151" t="s">
        <v>596</v>
      </c>
    </row>
    <row r="329" spans="1:33" x14ac:dyDescent="0.25">
      <c r="A329" s="84" t="s">
        <v>292</v>
      </c>
      <c r="B329" s="84">
        <v>1699336776</v>
      </c>
      <c r="C329" s="85">
        <v>3</v>
      </c>
      <c r="D329" s="85">
        <v>2023</v>
      </c>
      <c r="E329" s="151">
        <v>32173</v>
      </c>
      <c r="F329" s="86" t="s">
        <v>351</v>
      </c>
      <c r="G329" s="85"/>
      <c r="H329" s="85"/>
      <c r="I329" s="151"/>
      <c r="J329" s="86" t="s">
        <v>351</v>
      </c>
      <c r="K329" s="85"/>
      <c r="L329" s="85"/>
      <c r="M329" s="151"/>
      <c r="N329" s="86" t="s">
        <v>351</v>
      </c>
      <c r="O329" s="85"/>
      <c r="P329" s="85"/>
      <c r="Q329" s="151"/>
      <c r="R329" s="86" t="s">
        <v>351</v>
      </c>
      <c r="S329" s="85"/>
      <c r="T329" s="85"/>
      <c r="U329" s="151"/>
      <c r="V329" s="86" t="s">
        <v>351</v>
      </c>
      <c r="W329" s="85"/>
      <c r="X329" s="85"/>
      <c r="Y329" s="151"/>
      <c r="Z329" s="86" t="s">
        <v>351</v>
      </c>
      <c r="AA329" s="85"/>
      <c r="AB329" s="85"/>
      <c r="AC329" s="151"/>
      <c r="AD329" t="s">
        <v>351</v>
      </c>
      <c r="AE329" s="85"/>
      <c r="AF329" s="85"/>
      <c r="AG329" s="151" t="s">
        <v>596</v>
      </c>
    </row>
    <row r="330" spans="1:33" x14ac:dyDescent="0.25">
      <c r="A330" s="84" t="s">
        <v>293</v>
      </c>
      <c r="B330" s="84">
        <v>1215982525</v>
      </c>
      <c r="C330" s="85">
        <v>3</v>
      </c>
      <c r="D330" s="85">
        <v>2016</v>
      </c>
      <c r="E330" s="151">
        <v>277401</v>
      </c>
      <c r="F330" s="86" t="s">
        <v>351</v>
      </c>
      <c r="G330" s="85">
        <v>3</v>
      </c>
      <c r="H330" s="85">
        <v>2017</v>
      </c>
      <c r="I330" s="151">
        <v>89917</v>
      </c>
      <c r="J330" s="86" t="s">
        <v>351</v>
      </c>
      <c r="K330" s="85">
        <v>3</v>
      </c>
      <c r="L330" s="85">
        <v>2018</v>
      </c>
      <c r="M330" s="151">
        <v>134544</v>
      </c>
      <c r="N330" s="86" t="s">
        <v>351</v>
      </c>
      <c r="O330" s="85">
        <v>3</v>
      </c>
      <c r="P330" s="85">
        <v>2021</v>
      </c>
      <c r="Q330" s="151">
        <v>77322</v>
      </c>
      <c r="R330" s="86" t="s">
        <v>351</v>
      </c>
      <c r="S330" s="85">
        <v>3</v>
      </c>
      <c r="T330" s="85">
        <v>2022</v>
      </c>
      <c r="U330" s="151">
        <v>100154</v>
      </c>
      <c r="V330" s="86" t="s">
        <v>351</v>
      </c>
      <c r="W330" s="85">
        <v>3</v>
      </c>
      <c r="X330" s="85">
        <v>2023</v>
      </c>
      <c r="Y330" s="151">
        <v>231604</v>
      </c>
      <c r="Z330" s="86" t="s">
        <v>351</v>
      </c>
      <c r="AA330" s="85"/>
      <c r="AB330" s="85"/>
      <c r="AC330" s="151"/>
      <c r="AD330" t="s">
        <v>351</v>
      </c>
      <c r="AE330" s="85"/>
      <c r="AF330" s="85"/>
      <c r="AG330" s="151" t="s">
        <v>596</v>
      </c>
    </row>
    <row r="331" spans="1:33" x14ac:dyDescent="0.25">
      <c r="A331" s="84" t="s">
        <v>294</v>
      </c>
      <c r="B331" s="84">
        <v>1427003110</v>
      </c>
      <c r="C331" s="85">
        <v>3</v>
      </c>
      <c r="D331" s="85">
        <v>2016</v>
      </c>
      <c r="E331" s="151">
        <v>127193</v>
      </c>
      <c r="F331" s="86" t="s">
        <v>351</v>
      </c>
      <c r="G331" s="85">
        <v>3</v>
      </c>
      <c r="H331" s="85">
        <v>2017</v>
      </c>
      <c r="I331" s="151">
        <v>208907</v>
      </c>
      <c r="J331" s="86" t="s">
        <v>351</v>
      </c>
      <c r="K331" s="85">
        <v>3</v>
      </c>
      <c r="L331" s="85">
        <v>2018</v>
      </c>
      <c r="M331" s="151">
        <v>65794</v>
      </c>
      <c r="N331" s="86" t="s">
        <v>351</v>
      </c>
      <c r="O331" s="85">
        <v>3</v>
      </c>
      <c r="P331" s="85">
        <v>2019</v>
      </c>
      <c r="Q331" s="151">
        <v>112272</v>
      </c>
      <c r="R331" s="86" t="s">
        <v>351</v>
      </c>
      <c r="S331" s="85">
        <v>3</v>
      </c>
      <c r="T331" s="85">
        <v>2022</v>
      </c>
      <c r="U331" s="151">
        <v>137400</v>
      </c>
      <c r="V331" s="86" t="s">
        <v>351</v>
      </c>
      <c r="W331" s="85">
        <v>3</v>
      </c>
      <c r="X331" s="85">
        <v>2023</v>
      </c>
      <c r="Y331" s="151">
        <v>121511</v>
      </c>
      <c r="Z331" s="86" t="s">
        <v>351</v>
      </c>
      <c r="AA331" s="85"/>
      <c r="AB331" s="85"/>
      <c r="AC331" s="151"/>
      <c r="AD331" t="s">
        <v>351</v>
      </c>
      <c r="AE331" s="85"/>
      <c r="AF331" s="85"/>
      <c r="AG331" s="151" t="s">
        <v>596</v>
      </c>
    </row>
    <row r="332" spans="1:33" x14ac:dyDescent="0.25">
      <c r="A332" s="87" t="s">
        <v>295</v>
      </c>
      <c r="B332" s="84">
        <v>1598710949</v>
      </c>
      <c r="C332" s="85">
        <v>3</v>
      </c>
      <c r="D332" s="85">
        <v>2016</v>
      </c>
      <c r="E332" s="151">
        <v>102969</v>
      </c>
      <c r="F332" s="86" t="s">
        <v>351</v>
      </c>
      <c r="G332" s="85">
        <v>3</v>
      </c>
      <c r="H332" s="85">
        <v>2017</v>
      </c>
      <c r="I332" s="151">
        <v>103054</v>
      </c>
      <c r="J332" s="86" t="s">
        <v>351</v>
      </c>
      <c r="K332" s="85">
        <v>3</v>
      </c>
      <c r="L332" s="85">
        <v>2018</v>
      </c>
      <c r="M332" s="151">
        <v>1205729</v>
      </c>
      <c r="N332" s="86" t="s">
        <v>351</v>
      </c>
      <c r="O332" s="85">
        <v>3</v>
      </c>
      <c r="P332" s="85">
        <v>2019</v>
      </c>
      <c r="Q332" s="151">
        <v>76265</v>
      </c>
      <c r="R332" s="86" t="s">
        <v>351</v>
      </c>
      <c r="S332" s="85">
        <v>3</v>
      </c>
      <c r="T332" s="85">
        <v>2022</v>
      </c>
      <c r="U332" s="151">
        <v>81815</v>
      </c>
      <c r="V332" s="86" t="s">
        <v>351</v>
      </c>
      <c r="W332" s="85">
        <v>3</v>
      </c>
      <c r="X332" s="85">
        <v>2023</v>
      </c>
      <c r="Y332" s="151">
        <v>175130</v>
      </c>
      <c r="Z332" s="86" t="s">
        <v>351</v>
      </c>
      <c r="AA332" s="85"/>
      <c r="AB332" s="85"/>
      <c r="AC332" s="151"/>
      <c r="AD332" t="s">
        <v>351</v>
      </c>
      <c r="AE332" s="85"/>
      <c r="AF332" s="85"/>
      <c r="AG332" s="151" t="s">
        <v>596</v>
      </c>
    </row>
    <row r="333" spans="1:33" x14ac:dyDescent="0.25">
      <c r="A333" s="87" t="s">
        <v>296</v>
      </c>
      <c r="B333" s="84">
        <v>1770538092</v>
      </c>
      <c r="C333" s="85">
        <v>3</v>
      </c>
      <c r="D333" s="85">
        <v>2016</v>
      </c>
      <c r="E333" s="151">
        <v>188913</v>
      </c>
      <c r="F333" s="86" t="s">
        <v>351</v>
      </c>
      <c r="G333" s="85">
        <v>3</v>
      </c>
      <c r="H333" s="85">
        <v>2018</v>
      </c>
      <c r="I333" s="151">
        <v>152097</v>
      </c>
      <c r="J333" s="86" t="s">
        <v>351</v>
      </c>
      <c r="K333" s="85">
        <v>3</v>
      </c>
      <c r="L333" s="85">
        <v>2022</v>
      </c>
      <c r="M333" s="151">
        <v>50723</v>
      </c>
      <c r="N333" s="86" t="s">
        <v>351</v>
      </c>
      <c r="O333" s="85">
        <v>3</v>
      </c>
      <c r="P333" s="85">
        <v>2023</v>
      </c>
      <c r="Q333" s="151">
        <v>51232</v>
      </c>
      <c r="R333" s="86" t="s">
        <v>351</v>
      </c>
      <c r="S333" s="85"/>
      <c r="T333" s="85"/>
      <c r="U333" s="151"/>
      <c r="V333" s="86" t="s">
        <v>351</v>
      </c>
      <c r="W333" s="85"/>
      <c r="X333" s="85"/>
      <c r="Y333" s="151"/>
      <c r="Z333" s="86" t="s">
        <v>351</v>
      </c>
      <c r="AA333" s="85"/>
      <c r="AB333" s="85"/>
      <c r="AC333" s="151"/>
      <c r="AD333" t="s">
        <v>351</v>
      </c>
      <c r="AE333" s="85"/>
      <c r="AF333" s="85"/>
      <c r="AG333" s="151" t="s">
        <v>596</v>
      </c>
    </row>
    <row r="334" spans="1:33" x14ac:dyDescent="0.25">
      <c r="A334" s="84" t="s">
        <v>493</v>
      </c>
      <c r="B334" s="84">
        <v>1851836118</v>
      </c>
      <c r="C334" s="85">
        <v>3</v>
      </c>
      <c r="D334" s="85">
        <v>2017</v>
      </c>
      <c r="E334" s="151">
        <v>197813</v>
      </c>
      <c r="F334" s="86" t="s">
        <v>351</v>
      </c>
      <c r="G334" s="85">
        <v>3</v>
      </c>
      <c r="H334" s="85">
        <v>2018</v>
      </c>
      <c r="I334" s="151">
        <v>104911</v>
      </c>
      <c r="J334" s="86" t="s">
        <v>351</v>
      </c>
      <c r="K334" s="85">
        <v>3</v>
      </c>
      <c r="L334" s="85">
        <v>2019</v>
      </c>
      <c r="M334" s="151">
        <v>92102</v>
      </c>
      <c r="N334" s="86" t="s">
        <v>351</v>
      </c>
      <c r="O334" s="85">
        <v>3</v>
      </c>
      <c r="P334" s="85">
        <v>2020</v>
      </c>
      <c r="Q334" s="151">
        <v>67983</v>
      </c>
      <c r="R334" s="86" t="s">
        <v>351</v>
      </c>
      <c r="S334" s="85">
        <v>3</v>
      </c>
      <c r="T334" s="85">
        <v>2022</v>
      </c>
      <c r="U334" s="151">
        <v>91107</v>
      </c>
      <c r="V334" s="86" t="s">
        <v>351</v>
      </c>
      <c r="W334" s="85"/>
      <c r="X334" s="85"/>
      <c r="Y334" s="151"/>
      <c r="Z334" s="86" t="s">
        <v>351</v>
      </c>
      <c r="AA334" s="85"/>
      <c r="AB334" s="85"/>
      <c r="AC334" s="151"/>
      <c r="AD334" t="s">
        <v>351</v>
      </c>
      <c r="AE334" s="85"/>
      <c r="AF334" s="85"/>
      <c r="AG334" s="151" t="s">
        <v>596</v>
      </c>
    </row>
    <row r="335" spans="1:33" x14ac:dyDescent="0.25">
      <c r="A335" s="87" t="s">
        <v>297</v>
      </c>
      <c r="B335" s="84">
        <v>1871548487</v>
      </c>
      <c r="C335" s="85">
        <v>3</v>
      </c>
      <c r="D335" s="85">
        <v>2016</v>
      </c>
      <c r="E335" s="151">
        <v>75088</v>
      </c>
      <c r="F335" s="86" t="s">
        <v>351</v>
      </c>
      <c r="G335" s="85">
        <v>3</v>
      </c>
      <c r="H335" s="85">
        <v>2020</v>
      </c>
      <c r="I335" s="151">
        <v>32404</v>
      </c>
      <c r="J335" s="86" t="s">
        <v>351</v>
      </c>
      <c r="K335" s="85">
        <v>3</v>
      </c>
      <c r="L335" s="85">
        <v>2021</v>
      </c>
      <c r="M335" s="151">
        <v>52340</v>
      </c>
      <c r="N335" s="86" t="s">
        <v>351</v>
      </c>
      <c r="O335" s="85">
        <v>3</v>
      </c>
      <c r="P335" s="85">
        <v>2022</v>
      </c>
      <c r="Q335" s="151">
        <v>40809</v>
      </c>
      <c r="R335" s="86" t="s">
        <v>351</v>
      </c>
      <c r="S335" s="85"/>
      <c r="T335" s="85"/>
      <c r="U335" s="151"/>
      <c r="V335" s="86" t="s">
        <v>351</v>
      </c>
      <c r="W335" s="85"/>
      <c r="X335" s="85"/>
      <c r="Y335" s="151"/>
      <c r="Z335" s="86" t="s">
        <v>351</v>
      </c>
      <c r="AA335" s="85"/>
      <c r="AB335" s="85"/>
      <c r="AC335" s="151"/>
      <c r="AD335" t="s">
        <v>351</v>
      </c>
      <c r="AE335" s="85"/>
      <c r="AF335" s="85"/>
      <c r="AG335" s="151"/>
    </row>
    <row r="336" spans="1:33" x14ac:dyDescent="0.25">
      <c r="A336" s="84" t="s">
        <v>298</v>
      </c>
      <c r="B336" s="84">
        <v>1467407775</v>
      </c>
      <c r="C336" s="85">
        <v>3</v>
      </c>
      <c r="D336" s="85">
        <v>2016</v>
      </c>
      <c r="E336" s="151">
        <v>140807</v>
      </c>
      <c r="F336" s="86" t="s">
        <v>351</v>
      </c>
      <c r="G336" s="85">
        <v>2</v>
      </c>
      <c r="H336" s="85">
        <v>2017</v>
      </c>
      <c r="I336" s="151">
        <v>9</v>
      </c>
      <c r="J336" s="86" t="s">
        <v>351</v>
      </c>
      <c r="K336" s="85">
        <v>3</v>
      </c>
      <c r="L336" s="85">
        <v>2018</v>
      </c>
      <c r="M336" s="151">
        <v>294560</v>
      </c>
      <c r="N336" s="86" t="s">
        <v>351</v>
      </c>
      <c r="O336" s="85">
        <v>3</v>
      </c>
      <c r="P336" s="85">
        <v>2019</v>
      </c>
      <c r="Q336" s="151">
        <v>86281</v>
      </c>
      <c r="R336" s="86" t="s">
        <v>351</v>
      </c>
      <c r="S336" s="85">
        <v>3</v>
      </c>
      <c r="T336" s="85">
        <v>2021</v>
      </c>
      <c r="U336" s="151">
        <v>56360</v>
      </c>
      <c r="V336" s="86" t="s">
        <v>351</v>
      </c>
      <c r="W336" s="85">
        <v>3</v>
      </c>
      <c r="X336" s="85">
        <v>2022</v>
      </c>
      <c r="Y336" s="151">
        <v>59643</v>
      </c>
      <c r="Z336" s="86" t="s">
        <v>351</v>
      </c>
      <c r="AA336" s="85">
        <v>3</v>
      </c>
      <c r="AB336" s="85">
        <v>2023</v>
      </c>
      <c r="AC336" s="151">
        <v>485706</v>
      </c>
      <c r="AD336" t="s">
        <v>351</v>
      </c>
      <c r="AE336" s="85"/>
      <c r="AF336" s="85"/>
      <c r="AG336" s="151" t="s">
        <v>596</v>
      </c>
    </row>
    <row r="337" spans="1:33" x14ac:dyDescent="0.25">
      <c r="A337" s="87" t="s">
        <v>494</v>
      </c>
      <c r="B337" s="84">
        <v>1548293988</v>
      </c>
      <c r="C337" s="85">
        <v>3</v>
      </c>
      <c r="D337" s="85">
        <v>2016</v>
      </c>
      <c r="E337" s="151">
        <v>44616</v>
      </c>
      <c r="F337" s="86" t="s">
        <v>351</v>
      </c>
      <c r="G337" s="85">
        <v>3</v>
      </c>
      <c r="H337" s="85">
        <v>2021</v>
      </c>
      <c r="I337" s="151">
        <v>39973</v>
      </c>
      <c r="J337" s="86" t="s">
        <v>351</v>
      </c>
      <c r="K337" s="85">
        <v>3</v>
      </c>
      <c r="L337" s="85">
        <v>2022</v>
      </c>
      <c r="M337" s="151">
        <v>30972</v>
      </c>
      <c r="N337" s="86" t="s">
        <v>351</v>
      </c>
      <c r="O337" s="85">
        <v>3</v>
      </c>
      <c r="P337" s="85">
        <v>2023</v>
      </c>
      <c r="Q337" s="151">
        <v>58405</v>
      </c>
      <c r="R337" s="86" t="s">
        <v>351</v>
      </c>
      <c r="S337" s="85"/>
      <c r="T337" s="85"/>
      <c r="U337" s="151"/>
      <c r="V337" s="86" t="s">
        <v>351</v>
      </c>
      <c r="W337" s="85"/>
      <c r="X337" s="85"/>
      <c r="Y337" s="151"/>
      <c r="Z337" s="86" t="s">
        <v>351</v>
      </c>
      <c r="AA337" s="85"/>
      <c r="AB337" s="85"/>
      <c r="AC337" s="151"/>
      <c r="AD337" t="s">
        <v>351</v>
      </c>
      <c r="AE337" s="85"/>
      <c r="AF337" s="85"/>
      <c r="AG337" s="151" t="s">
        <v>596</v>
      </c>
    </row>
    <row r="338" spans="1:33" x14ac:dyDescent="0.25">
      <c r="A338" s="84" t="s">
        <v>299</v>
      </c>
      <c r="B338" s="84">
        <v>1417368143</v>
      </c>
      <c r="C338" s="85">
        <v>3</v>
      </c>
      <c r="D338" s="85">
        <v>2016</v>
      </c>
      <c r="E338" s="151">
        <v>65674</v>
      </c>
      <c r="F338" s="86" t="s">
        <v>351</v>
      </c>
      <c r="G338" s="85">
        <v>2</v>
      </c>
      <c r="H338" s="85">
        <v>2019</v>
      </c>
      <c r="I338" s="151">
        <v>100</v>
      </c>
      <c r="J338" s="86" t="s">
        <v>351</v>
      </c>
      <c r="K338" s="85">
        <v>3</v>
      </c>
      <c r="L338" s="85">
        <v>2020</v>
      </c>
      <c r="M338" s="151">
        <v>154963</v>
      </c>
      <c r="N338" s="86" t="s">
        <v>351</v>
      </c>
      <c r="O338" s="85">
        <v>3</v>
      </c>
      <c r="P338" s="85">
        <v>2023</v>
      </c>
      <c r="Q338" s="151">
        <v>61972</v>
      </c>
      <c r="R338" s="86" t="s">
        <v>351</v>
      </c>
      <c r="S338" s="85"/>
      <c r="T338" s="85"/>
      <c r="U338" s="151"/>
      <c r="V338" s="86" t="s">
        <v>351</v>
      </c>
      <c r="W338" s="85"/>
      <c r="X338" s="85"/>
      <c r="Y338" s="151"/>
      <c r="Z338" s="86" t="s">
        <v>351</v>
      </c>
      <c r="AA338" s="85"/>
      <c r="AB338" s="85"/>
      <c r="AC338" s="151"/>
      <c r="AD338" t="s">
        <v>351</v>
      </c>
      <c r="AE338" s="85"/>
      <c r="AF338" s="85"/>
      <c r="AG338" s="151" t="s">
        <v>596</v>
      </c>
    </row>
    <row r="339" spans="1:33" x14ac:dyDescent="0.25">
      <c r="A339" s="87" t="s">
        <v>300</v>
      </c>
      <c r="B339" s="84">
        <v>1255379293</v>
      </c>
      <c r="C339" s="85">
        <v>3</v>
      </c>
      <c r="D339" s="85">
        <v>2018</v>
      </c>
      <c r="E339" s="151">
        <v>102072</v>
      </c>
      <c r="F339" s="86" t="s">
        <v>351</v>
      </c>
      <c r="G339" s="85">
        <v>3</v>
      </c>
      <c r="H339" s="85">
        <v>2021</v>
      </c>
      <c r="I339" s="151">
        <v>185179</v>
      </c>
      <c r="J339" s="86" t="s">
        <v>351</v>
      </c>
      <c r="K339" s="85">
        <v>3</v>
      </c>
      <c r="L339" s="85">
        <v>2022</v>
      </c>
      <c r="M339" s="151">
        <v>73108</v>
      </c>
      <c r="N339" s="86" t="s">
        <v>351</v>
      </c>
      <c r="O339" s="85">
        <v>3</v>
      </c>
      <c r="P339" s="85">
        <v>2023</v>
      </c>
      <c r="Q339" s="151">
        <v>50971</v>
      </c>
      <c r="R339" s="86" t="s">
        <v>351</v>
      </c>
      <c r="S339" s="85"/>
      <c r="T339" s="85"/>
      <c r="U339" s="151"/>
      <c r="V339" s="86" t="s">
        <v>351</v>
      </c>
      <c r="W339" s="85"/>
      <c r="X339" s="85"/>
      <c r="Y339" s="151"/>
      <c r="Z339" s="86" t="s">
        <v>351</v>
      </c>
      <c r="AA339" s="85"/>
      <c r="AB339" s="85"/>
      <c r="AC339" s="151"/>
      <c r="AD339" t="s">
        <v>351</v>
      </c>
      <c r="AE339" s="85"/>
      <c r="AF339" s="85"/>
      <c r="AG339" s="151" t="s">
        <v>596</v>
      </c>
    </row>
    <row r="340" spans="1:33" x14ac:dyDescent="0.25">
      <c r="A340" s="87" t="s">
        <v>495</v>
      </c>
      <c r="B340" s="84">
        <v>1366529406</v>
      </c>
      <c r="C340" s="85">
        <v>3</v>
      </c>
      <c r="D340" s="85">
        <v>2016</v>
      </c>
      <c r="E340" s="151">
        <v>55926</v>
      </c>
      <c r="F340" s="86" t="s">
        <v>351</v>
      </c>
      <c r="G340" s="85">
        <v>3</v>
      </c>
      <c r="H340" s="85">
        <v>2017</v>
      </c>
      <c r="I340" s="151">
        <v>295827</v>
      </c>
      <c r="J340" s="86" t="s">
        <v>351</v>
      </c>
      <c r="K340" s="85">
        <v>3</v>
      </c>
      <c r="L340" s="85">
        <v>2018</v>
      </c>
      <c r="M340" s="151">
        <v>112994</v>
      </c>
      <c r="N340" s="86" t="s">
        <v>351</v>
      </c>
      <c r="O340" s="85">
        <v>3</v>
      </c>
      <c r="P340" s="85">
        <v>2019</v>
      </c>
      <c r="Q340" s="151">
        <v>68803</v>
      </c>
      <c r="R340" s="86" t="s">
        <v>351</v>
      </c>
      <c r="S340" s="85">
        <v>3</v>
      </c>
      <c r="T340" s="85">
        <v>2020</v>
      </c>
      <c r="U340" s="151">
        <v>82453</v>
      </c>
      <c r="V340" s="86" t="s">
        <v>351</v>
      </c>
      <c r="W340" s="85"/>
      <c r="X340" s="85"/>
      <c r="Y340" s="151"/>
      <c r="Z340" s="86" t="s">
        <v>351</v>
      </c>
      <c r="AA340" s="85"/>
      <c r="AB340" s="85"/>
      <c r="AC340" s="151"/>
      <c r="AD340" t="s">
        <v>351</v>
      </c>
      <c r="AE340" s="85"/>
      <c r="AF340" s="85"/>
      <c r="AG340" s="151"/>
    </row>
    <row r="341" spans="1:33" x14ac:dyDescent="0.25">
      <c r="A341" s="84" t="s">
        <v>301</v>
      </c>
      <c r="B341" s="84">
        <v>1598704504</v>
      </c>
      <c r="C341" s="85">
        <v>3</v>
      </c>
      <c r="D341" s="85">
        <v>2016</v>
      </c>
      <c r="E341" s="151">
        <v>162467</v>
      </c>
      <c r="F341" s="86" t="s">
        <v>351</v>
      </c>
      <c r="G341" s="85">
        <v>3</v>
      </c>
      <c r="H341" s="85">
        <v>2017</v>
      </c>
      <c r="I341" s="151">
        <v>123368</v>
      </c>
      <c r="J341" s="86" t="s">
        <v>351</v>
      </c>
      <c r="K341" s="85">
        <v>3</v>
      </c>
      <c r="L341" s="85">
        <v>2019</v>
      </c>
      <c r="M341" s="151">
        <v>93278</v>
      </c>
      <c r="N341" s="86" t="s">
        <v>351</v>
      </c>
      <c r="O341" s="85">
        <v>3</v>
      </c>
      <c r="P341" s="85">
        <v>2020</v>
      </c>
      <c r="Q341" s="151">
        <v>114412</v>
      </c>
      <c r="R341" s="86" t="s">
        <v>351</v>
      </c>
      <c r="S341" s="85">
        <v>3</v>
      </c>
      <c r="T341" s="85">
        <v>2022</v>
      </c>
      <c r="U341" s="151">
        <v>128344</v>
      </c>
      <c r="V341" s="86" t="s">
        <v>351</v>
      </c>
      <c r="W341" s="85">
        <v>3</v>
      </c>
      <c r="X341" s="85">
        <v>2023</v>
      </c>
      <c r="Y341" s="151">
        <v>110945.7</v>
      </c>
      <c r="Z341" s="86" t="s">
        <v>351</v>
      </c>
      <c r="AA341" s="85"/>
      <c r="AB341" s="85"/>
      <c r="AC341" s="151"/>
      <c r="AD341" t="s">
        <v>351</v>
      </c>
      <c r="AE341" s="85"/>
      <c r="AF341" s="85"/>
      <c r="AG341" s="151" t="s">
        <v>596</v>
      </c>
    </row>
    <row r="342" spans="1:33" x14ac:dyDescent="0.25">
      <c r="A342" s="87" t="s">
        <v>302</v>
      </c>
      <c r="B342" s="84">
        <v>1669613071</v>
      </c>
      <c r="C342" s="85">
        <v>3</v>
      </c>
      <c r="D342" s="85">
        <v>2023</v>
      </c>
      <c r="E342" s="151">
        <v>104074</v>
      </c>
      <c r="F342" s="86" t="s">
        <v>351</v>
      </c>
      <c r="G342" s="85"/>
      <c r="H342" s="85"/>
      <c r="I342" s="151"/>
      <c r="J342" s="86" t="s">
        <v>351</v>
      </c>
      <c r="K342" s="85"/>
      <c r="L342" s="85"/>
      <c r="M342" s="151"/>
      <c r="N342" s="86" t="s">
        <v>351</v>
      </c>
      <c r="O342" s="85"/>
      <c r="P342" s="85"/>
      <c r="Q342" s="151"/>
      <c r="R342" s="86" t="s">
        <v>351</v>
      </c>
      <c r="S342" s="85"/>
      <c r="T342" s="85"/>
      <c r="U342" s="151"/>
      <c r="V342" s="86" t="s">
        <v>351</v>
      </c>
      <c r="W342" s="85"/>
      <c r="X342" s="85"/>
      <c r="Y342" s="151"/>
      <c r="Z342" s="86" t="s">
        <v>351</v>
      </c>
      <c r="AA342" s="85"/>
      <c r="AB342" s="85"/>
      <c r="AC342" s="151"/>
      <c r="AD342" t="s">
        <v>351</v>
      </c>
      <c r="AE342" s="85"/>
      <c r="AF342" s="85"/>
      <c r="AG342" s="151" t="s">
        <v>596</v>
      </c>
    </row>
    <row r="343" spans="1:33" x14ac:dyDescent="0.25">
      <c r="A343" s="87" t="s">
        <v>303</v>
      </c>
      <c r="B343" s="84">
        <v>1881648350</v>
      </c>
      <c r="C343" s="85">
        <v>3</v>
      </c>
      <c r="D343" s="85">
        <v>2019</v>
      </c>
      <c r="E343" s="151">
        <v>87859</v>
      </c>
      <c r="F343" s="86" t="s">
        <v>351</v>
      </c>
      <c r="G343" s="85">
        <v>3</v>
      </c>
      <c r="H343" s="85">
        <v>2020</v>
      </c>
      <c r="I343" s="151">
        <v>36240</v>
      </c>
      <c r="J343" s="86" t="s">
        <v>351</v>
      </c>
      <c r="K343" s="85">
        <v>3</v>
      </c>
      <c r="L343" s="85">
        <v>2021</v>
      </c>
      <c r="M343" s="151">
        <v>48126</v>
      </c>
      <c r="N343" s="86" t="s">
        <v>351</v>
      </c>
      <c r="O343" s="85">
        <v>3</v>
      </c>
      <c r="P343" s="85">
        <v>2022</v>
      </c>
      <c r="Q343" s="151">
        <v>95715</v>
      </c>
      <c r="R343" s="86" t="s">
        <v>351</v>
      </c>
      <c r="S343" s="85"/>
      <c r="T343" s="85"/>
      <c r="U343" s="151"/>
      <c r="V343" s="86" t="s">
        <v>351</v>
      </c>
      <c r="W343" s="85"/>
      <c r="X343" s="85"/>
      <c r="Y343" s="151"/>
      <c r="Z343" s="86" t="s">
        <v>351</v>
      </c>
      <c r="AA343" s="85"/>
      <c r="AB343" s="85"/>
      <c r="AC343" s="151"/>
      <c r="AD343" t="s">
        <v>351</v>
      </c>
      <c r="AE343" s="85"/>
      <c r="AF343" s="85"/>
      <c r="AG343" s="151"/>
    </row>
    <row r="344" spans="1:33" x14ac:dyDescent="0.25">
      <c r="A344" s="87" t="s">
        <v>304</v>
      </c>
      <c r="B344" s="84">
        <v>1669410312</v>
      </c>
      <c r="C344" s="85">
        <v>3</v>
      </c>
      <c r="D344" s="85">
        <v>2021</v>
      </c>
      <c r="E344" s="151">
        <v>69809</v>
      </c>
      <c r="F344" s="86" t="s">
        <v>351</v>
      </c>
      <c r="G344" s="85">
        <v>3</v>
      </c>
      <c r="H344" s="85">
        <v>2023</v>
      </c>
      <c r="I344" s="151">
        <v>107440</v>
      </c>
      <c r="J344" s="86" t="s">
        <v>351</v>
      </c>
      <c r="K344" s="85"/>
      <c r="L344" s="85"/>
      <c r="M344" s="151"/>
      <c r="N344" s="86" t="s">
        <v>351</v>
      </c>
      <c r="O344" s="85"/>
      <c r="P344" s="85"/>
      <c r="Q344" s="151"/>
      <c r="R344" s="86" t="s">
        <v>351</v>
      </c>
      <c r="S344" s="85"/>
      <c r="T344" s="85"/>
      <c r="U344" s="151"/>
      <c r="V344" s="86" t="s">
        <v>351</v>
      </c>
      <c r="W344" s="85"/>
      <c r="X344" s="85"/>
      <c r="Y344" s="151"/>
      <c r="Z344" s="86" t="s">
        <v>351</v>
      </c>
      <c r="AA344" s="85"/>
      <c r="AB344" s="85"/>
      <c r="AC344" s="151"/>
      <c r="AD344" t="s">
        <v>351</v>
      </c>
      <c r="AE344" s="85"/>
      <c r="AF344" s="85"/>
      <c r="AG344" s="151" t="s">
        <v>596</v>
      </c>
    </row>
    <row r="345" spans="1:33" x14ac:dyDescent="0.25">
      <c r="A345" s="87" t="s">
        <v>496</v>
      </c>
      <c r="B345" s="84">
        <v>1356387153</v>
      </c>
      <c r="C345" s="85">
        <v>3</v>
      </c>
      <c r="D345" s="85">
        <v>2017</v>
      </c>
      <c r="E345" s="151">
        <v>143868</v>
      </c>
      <c r="F345" s="86" t="s">
        <v>351</v>
      </c>
      <c r="G345" s="85">
        <v>3</v>
      </c>
      <c r="H345" s="85">
        <v>2019</v>
      </c>
      <c r="I345" s="151">
        <v>638679</v>
      </c>
      <c r="J345" s="86" t="s">
        <v>351</v>
      </c>
      <c r="K345" s="85">
        <v>3</v>
      </c>
      <c r="L345" s="85">
        <v>2020</v>
      </c>
      <c r="M345" s="151">
        <v>93055</v>
      </c>
      <c r="N345" s="86" t="s">
        <v>351</v>
      </c>
      <c r="O345" s="85"/>
      <c r="P345" s="85"/>
      <c r="Q345" s="151"/>
      <c r="R345" s="86" t="s">
        <v>351</v>
      </c>
      <c r="S345" s="85"/>
      <c r="T345" s="85"/>
      <c r="U345" s="151"/>
      <c r="V345" s="86" t="s">
        <v>351</v>
      </c>
      <c r="W345" s="85"/>
      <c r="X345" s="85"/>
      <c r="Y345" s="151"/>
      <c r="Z345" s="86" t="s">
        <v>351</v>
      </c>
      <c r="AA345" s="85"/>
      <c r="AB345" s="85"/>
      <c r="AC345" s="151"/>
      <c r="AD345" t="s">
        <v>351</v>
      </c>
      <c r="AE345" s="85"/>
      <c r="AF345" s="85"/>
      <c r="AG345" s="151"/>
    </row>
    <row r="346" spans="1:33" x14ac:dyDescent="0.25">
      <c r="A346" s="84" t="s">
        <v>305</v>
      </c>
      <c r="B346" s="84">
        <v>1184705048</v>
      </c>
      <c r="C346" s="85">
        <v>3</v>
      </c>
      <c r="D346" s="85">
        <v>2023</v>
      </c>
      <c r="E346" s="151">
        <v>74594</v>
      </c>
      <c r="F346" s="86" t="s">
        <v>351</v>
      </c>
      <c r="G346" s="85"/>
      <c r="H346" s="85"/>
      <c r="I346" s="151"/>
      <c r="J346" s="86" t="s">
        <v>351</v>
      </c>
      <c r="K346" s="85"/>
      <c r="L346" s="85"/>
      <c r="M346" s="151"/>
      <c r="N346" s="86" t="s">
        <v>351</v>
      </c>
      <c r="O346" s="85"/>
      <c r="P346" s="85"/>
      <c r="Q346" s="151"/>
      <c r="R346" s="86" t="s">
        <v>351</v>
      </c>
      <c r="S346" s="85"/>
      <c r="T346" s="85"/>
      <c r="U346" s="151"/>
      <c r="V346" s="86" t="s">
        <v>351</v>
      </c>
      <c r="W346" s="85"/>
      <c r="X346" s="85"/>
      <c r="Y346" s="151"/>
      <c r="Z346" s="86" t="s">
        <v>351</v>
      </c>
      <c r="AA346" s="85"/>
      <c r="AB346" s="85"/>
      <c r="AC346" s="151"/>
      <c r="AD346" t="s">
        <v>351</v>
      </c>
      <c r="AE346" s="85"/>
      <c r="AF346" s="85"/>
      <c r="AG346" s="151" t="s">
        <v>596</v>
      </c>
    </row>
    <row r="347" spans="1:33" x14ac:dyDescent="0.25">
      <c r="A347" s="87" t="s">
        <v>306</v>
      </c>
      <c r="B347" s="84">
        <v>1386187813</v>
      </c>
      <c r="C347" s="85">
        <v>3</v>
      </c>
      <c r="D347" s="85">
        <v>2019</v>
      </c>
      <c r="E347" s="151">
        <v>128776</v>
      </c>
      <c r="F347" s="86" t="s">
        <v>351</v>
      </c>
      <c r="G347" s="85">
        <v>3</v>
      </c>
      <c r="H347" s="85">
        <v>2021</v>
      </c>
      <c r="I347" s="151">
        <v>187817</v>
      </c>
      <c r="J347" s="86" t="s">
        <v>351</v>
      </c>
      <c r="K347" s="85">
        <v>3</v>
      </c>
      <c r="L347" s="85">
        <v>2022</v>
      </c>
      <c r="M347" s="151">
        <v>222228</v>
      </c>
      <c r="N347" s="86" t="s">
        <v>351</v>
      </c>
      <c r="O347" s="85">
        <v>3</v>
      </c>
      <c r="P347" s="85">
        <v>2023</v>
      </c>
      <c r="Q347" s="151">
        <v>178792</v>
      </c>
      <c r="R347" s="86" t="s">
        <v>351</v>
      </c>
      <c r="S347" s="85"/>
      <c r="T347" s="85"/>
      <c r="U347" s="151"/>
      <c r="V347" s="86" t="s">
        <v>351</v>
      </c>
      <c r="W347" s="85"/>
      <c r="X347" s="85"/>
      <c r="Y347" s="151"/>
      <c r="Z347" s="86" t="s">
        <v>351</v>
      </c>
      <c r="AA347" s="85"/>
      <c r="AB347" s="85"/>
      <c r="AC347" s="151"/>
      <c r="AD347" t="s">
        <v>351</v>
      </c>
      <c r="AE347" s="85"/>
      <c r="AF347" s="85"/>
      <c r="AG347" s="151" t="s">
        <v>596</v>
      </c>
    </row>
    <row r="348" spans="1:33" x14ac:dyDescent="0.25">
      <c r="A348" s="84" t="s">
        <v>497</v>
      </c>
      <c r="B348" s="84">
        <v>1952354565</v>
      </c>
      <c r="C348" s="85">
        <v>3</v>
      </c>
      <c r="D348" s="85">
        <v>2020</v>
      </c>
      <c r="E348" s="151">
        <v>29949</v>
      </c>
      <c r="F348" s="86" t="s">
        <v>351</v>
      </c>
      <c r="G348" s="85">
        <v>3</v>
      </c>
      <c r="H348" s="85">
        <v>2022</v>
      </c>
      <c r="I348" s="151">
        <v>115703</v>
      </c>
      <c r="J348" s="86" t="s">
        <v>351</v>
      </c>
      <c r="K348" s="85"/>
      <c r="L348" s="85"/>
      <c r="M348" s="151"/>
      <c r="N348" s="86" t="s">
        <v>351</v>
      </c>
      <c r="O348" s="85"/>
      <c r="P348" s="85"/>
      <c r="Q348" s="151"/>
      <c r="R348" s="86" t="s">
        <v>351</v>
      </c>
      <c r="S348" s="85"/>
      <c r="T348" s="85"/>
      <c r="U348" s="151"/>
      <c r="V348" s="86" t="s">
        <v>351</v>
      </c>
      <c r="W348" s="85"/>
      <c r="X348" s="85"/>
      <c r="Y348" s="151"/>
      <c r="Z348" s="86" t="s">
        <v>351</v>
      </c>
      <c r="AA348" s="85"/>
      <c r="AB348" s="85"/>
      <c r="AC348" s="151"/>
      <c r="AD348" t="s">
        <v>351</v>
      </c>
      <c r="AE348" s="85"/>
      <c r="AF348" s="85"/>
      <c r="AG348" s="151"/>
    </row>
    <row r="349" spans="1:33" x14ac:dyDescent="0.25">
      <c r="A349" s="87" t="s">
        <v>307</v>
      </c>
      <c r="B349" s="84">
        <v>1912323635</v>
      </c>
      <c r="C349" s="85">
        <v>3</v>
      </c>
      <c r="D349" s="85">
        <v>2023</v>
      </c>
      <c r="E349" s="151">
        <v>76610</v>
      </c>
      <c r="F349" s="86" t="s">
        <v>351</v>
      </c>
      <c r="G349" s="85"/>
      <c r="H349" s="85"/>
      <c r="I349" s="151"/>
      <c r="J349" s="86" t="s">
        <v>351</v>
      </c>
      <c r="K349" s="85"/>
      <c r="L349" s="85"/>
      <c r="M349" s="151"/>
      <c r="N349" s="86" t="s">
        <v>351</v>
      </c>
      <c r="O349" s="85"/>
      <c r="P349" s="85"/>
      <c r="Q349" s="151"/>
      <c r="R349" s="86" t="s">
        <v>351</v>
      </c>
      <c r="S349" s="85"/>
      <c r="T349" s="85"/>
      <c r="U349" s="151"/>
      <c r="V349" s="86" t="s">
        <v>351</v>
      </c>
      <c r="W349" s="85"/>
      <c r="X349" s="85"/>
      <c r="Y349" s="151"/>
      <c r="Z349" s="86" t="s">
        <v>351</v>
      </c>
      <c r="AA349" s="85"/>
      <c r="AB349" s="85"/>
      <c r="AC349" s="151"/>
      <c r="AD349" t="s">
        <v>351</v>
      </c>
      <c r="AE349" s="85"/>
      <c r="AF349" s="85"/>
      <c r="AG349" s="151" t="s">
        <v>596</v>
      </c>
    </row>
    <row r="350" spans="1:33" x14ac:dyDescent="0.25">
      <c r="A350" s="84" t="s">
        <v>308</v>
      </c>
      <c r="B350" s="84">
        <v>1912902230</v>
      </c>
      <c r="C350" s="85">
        <v>3</v>
      </c>
      <c r="D350" s="85">
        <v>2017</v>
      </c>
      <c r="E350" s="151">
        <v>79357</v>
      </c>
      <c r="F350" s="86" t="s">
        <v>351</v>
      </c>
      <c r="G350" s="85">
        <v>3</v>
      </c>
      <c r="H350" s="85">
        <v>2018</v>
      </c>
      <c r="I350" s="151">
        <v>295001</v>
      </c>
      <c r="J350" s="86" t="s">
        <v>351</v>
      </c>
      <c r="K350" s="85">
        <v>3</v>
      </c>
      <c r="L350" s="85">
        <v>2019</v>
      </c>
      <c r="M350" s="151">
        <v>83514</v>
      </c>
      <c r="N350" s="86" t="s">
        <v>351</v>
      </c>
      <c r="O350" s="85">
        <v>3</v>
      </c>
      <c r="P350" s="85">
        <v>2023</v>
      </c>
      <c r="Q350" s="151">
        <v>97882</v>
      </c>
      <c r="R350" s="86" t="s">
        <v>351</v>
      </c>
      <c r="S350" s="85"/>
      <c r="T350" s="85"/>
      <c r="U350" s="151"/>
      <c r="V350" s="86" t="s">
        <v>351</v>
      </c>
      <c r="W350" s="85"/>
      <c r="X350" s="85"/>
      <c r="Y350" s="151"/>
      <c r="Z350" s="86" t="s">
        <v>351</v>
      </c>
      <c r="AA350" s="85"/>
      <c r="AB350" s="85"/>
      <c r="AC350" s="151"/>
      <c r="AD350" t="s">
        <v>351</v>
      </c>
      <c r="AE350" s="85"/>
      <c r="AF350" s="85"/>
      <c r="AG350" s="151" t="s">
        <v>596</v>
      </c>
    </row>
    <row r="351" spans="1:33" x14ac:dyDescent="0.25">
      <c r="A351" s="87" t="s">
        <v>309</v>
      </c>
      <c r="B351" s="84">
        <v>1194028118</v>
      </c>
      <c r="C351" s="85">
        <v>3</v>
      </c>
      <c r="D351" s="85">
        <v>2019</v>
      </c>
      <c r="E351" s="151">
        <v>95304</v>
      </c>
      <c r="F351" s="91" t="s">
        <v>351</v>
      </c>
      <c r="G351" s="85">
        <v>3</v>
      </c>
      <c r="H351" s="85">
        <v>2021</v>
      </c>
      <c r="I351" s="151">
        <v>117028</v>
      </c>
      <c r="J351" s="91" t="s">
        <v>351</v>
      </c>
      <c r="K351" s="85">
        <v>3</v>
      </c>
      <c r="L351" s="85">
        <v>2022</v>
      </c>
      <c r="M351" s="151">
        <v>101999</v>
      </c>
      <c r="N351" s="91" t="s">
        <v>351</v>
      </c>
      <c r="O351" s="85">
        <v>3</v>
      </c>
      <c r="P351" s="85">
        <v>2023</v>
      </c>
      <c r="Q351" s="151">
        <v>86751</v>
      </c>
      <c r="R351" s="91" t="s">
        <v>351</v>
      </c>
      <c r="S351" s="85"/>
      <c r="T351" s="85"/>
      <c r="U351" s="151"/>
      <c r="V351" s="86" t="s">
        <v>351</v>
      </c>
      <c r="W351" s="85"/>
      <c r="X351" s="85"/>
      <c r="Y351" s="151"/>
      <c r="Z351" s="86" t="s">
        <v>351</v>
      </c>
      <c r="AA351" s="85"/>
      <c r="AB351" s="85"/>
      <c r="AC351" s="151"/>
      <c r="AD351" t="s">
        <v>351</v>
      </c>
      <c r="AE351" s="85"/>
      <c r="AF351" s="85"/>
      <c r="AG351" s="151"/>
    </row>
    <row r="352" spans="1:33" x14ac:dyDescent="0.25">
      <c r="A352" s="87" t="s">
        <v>310</v>
      </c>
      <c r="B352" s="84">
        <v>1215931977</v>
      </c>
      <c r="C352" s="85">
        <v>3</v>
      </c>
      <c r="D352" s="85">
        <v>2016</v>
      </c>
      <c r="E352" s="151">
        <v>915314</v>
      </c>
      <c r="F352" s="86" t="s">
        <v>351</v>
      </c>
      <c r="G352" s="85">
        <v>3</v>
      </c>
      <c r="H352" s="85">
        <v>2017</v>
      </c>
      <c r="I352" s="151">
        <v>63849</v>
      </c>
      <c r="J352" s="86" t="s">
        <v>351</v>
      </c>
      <c r="K352" s="85">
        <v>3</v>
      </c>
      <c r="L352" s="85">
        <v>2019</v>
      </c>
      <c r="M352" s="151">
        <v>155418</v>
      </c>
      <c r="N352" s="86" t="s">
        <v>351</v>
      </c>
      <c r="O352" s="85">
        <v>3</v>
      </c>
      <c r="P352" s="85">
        <v>2020</v>
      </c>
      <c r="Q352" s="151">
        <v>579336</v>
      </c>
      <c r="R352" s="86" t="s">
        <v>351</v>
      </c>
      <c r="S352" s="85">
        <v>3</v>
      </c>
      <c r="T352" s="85">
        <v>2021</v>
      </c>
      <c r="U352" s="151">
        <v>45991</v>
      </c>
      <c r="V352" s="86" t="s">
        <v>351</v>
      </c>
      <c r="W352" s="85">
        <v>3</v>
      </c>
      <c r="X352" s="85">
        <v>2022</v>
      </c>
      <c r="Y352" s="151">
        <v>104454</v>
      </c>
      <c r="Z352" s="86" t="s">
        <v>351</v>
      </c>
      <c r="AA352" s="85">
        <v>3</v>
      </c>
      <c r="AB352" s="85">
        <v>2023</v>
      </c>
      <c r="AC352" s="151">
        <v>410329</v>
      </c>
      <c r="AD352" t="s">
        <v>351</v>
      </c>
      <c r="AE352" s="85"/>
      <c r="AF352" s="85"/>
      <c r="AG352" s="151" t="s">
        <v>596</v>
      </c>
    </row>
    <row r="353" spans="1:33" x14ac:dyDescent="0.25">
      <c r="A353" s="87" t="s">
        <v>311</v>
      </c>
      <c r="B353" s="84">
        <v>1508864323</v>
      </c>
      <c r="C353" s="85">
        <v>3</v>
      </c>
      <c r="D353" s="85">
        <v>2021</v>
      </c>
      <c r="E353" s="151">
        <v>64939</v>
      </c>
      <c r="F353" s="86" t="s">
        <v>351</v>
      </c>
      <c r="G353" s="85"/>
      <c r="H353" s="85"/>
      <c r="I353" s="151"/>
      <c r="J353" s="86" t="s">
        <v>351</v>
      </c>
      <c r="K353" s="85"/>
      <c r="L353" s="85"/>
      <c r="M353" s="151"/>
      <c r="N353" s="86" t="s">
        <v>351</v>
      </c>
      <c r="O353" s="85"/>
      <c r="P353" s="85"/>
      <c r="Q353" s="151"/>
      <c r="R353" s="86" t="s">
        <v>351</v>
      </c>
      <c r="S353" s="85"/>
      <c r="T353" s="85"/>
      <c r="U353" s="151"/>
      <c r="V353" s="86" t="s">
        <v>351</v>
      </c>
      <c r="W353" s="85"/>
      <c r="X353" s="85"/>
      <c r="Y353" s="151"/>
      <c r="Z353" s="86" t="s">
        <v>351</v>
      </c>
      <c r="AA353" s="85"/>
      <c r="AB353" s="85"/>
      <c r="AC353" s="151"/>
      <c r="AD353" t="s">
        <v>351</v>
      </c>
      <c r="AE353" s="85"/>
      <c r="AF353" s="85"/>
      <c r="AG353" s="151"/>
    </row>
    <row r="354" spans="1:33" x14ac:dyDescent="0.25">
      <c r="A354" s="87" t="s">
        <v>312</v>
      </c>
      <c r="B354" s="84">
        <v>1427052067</v>
      </c>
      <c r="C354" s="85">
        <v>3</v>
      </c>
      <c r="D354" s="85">
        <v>2016</v>
      </c>
      <c r="E354" s="151">
        <v>82413</v>
      </c>
      <c r="F354" s="86" t="s">
        <v>351</v>
      </c>
      <c r="G354" s="85">
        <v>3</v>
      </c>
      <c r="H354" s="85">
        <v>2017</v>
      </c>
      <c r="I354" s="151">
        <v>301373</v>
      </c>
      <c r="J354" s="86" t="s">
        <v>351</v>
      </c>
      <c r="K354" s="85">
        <v>3</v>
      </c>
      <c r="L354" s="85">
        <v>2018</v>
      </c>
      <c r="M354" s="151">
        <v>154324</v>
      </c>
      <c r="N354" s="86" t="s">
        <v>351</v>
      </c>
      <c r="O354" s="85">
        <v>3</v>
      </c>
      <c r="P354" s="85">
        <v>2019</v>
      </c>
      <c r="Q354" s="151">
        <v>299760</v>
      </c>
      <c r="R354" s="86" t="s">
        <v>351</v>
      </c>
      <c r="S354" s="85">
        <v>3</v>
      </c>
      <c r="T354" s="85">
        <v>2020</v>
      </c>
      <c r="U354" s="151">
        <v>80908</v>
      </c>
      <c r="V354" s="86" t="s">
        <v>351</v>
      </c>
      <c r="W354" s="85">
        <v>3</v>
      </c>
      <c r="X354" s="85">
        <v>2021</v>
      </c>
      <c r="Y354" s="151">
        <v>83775</v>
      </c>
      <c r="Z354" s="86" t="s">
        <v>351</v>
      </c>
      <c r="AA354" s="85">
        <v>3</v>
      </c>
      <c r="AB354" s="85">
        <v>2022</v>
      </c>
      <c r="AC354" s="151">
        <v>91384</v>
      </c>
      <c r="AD354" t="s">
        <v>351</v>
      </c>
      <c r="AE354" s="85">
        <v>3</v>
      </c>
      <c r="AF354" s="85">
        <v>2023</v>
      </c>
      <c r="AG354" s="151">
        <v>171394</v>
      </c>
    </row>
    <row r="355" spans="1:33" x14ac:dyDescent="0.25">
      <c r="A355" s="84" t="s">
        <v>498</v>
      </c>
      <c r="B355" s="84">
        <v>1073168316</v>
      </c>
      <c r="C355" s="85"/>
      <c r="D355" s="85"/>
      <c r="E355" s="151"/>
      <c r="F355" s="86" t="s">
        <v>351</v>
      </c>
      <c r="G355" s="85"/>
      <c r="H355" s="85"/>
      <c r="I355" s="151"/>
      <c r="J355" s="86" t="s">
        <v>351</v>
      </c>
      <c r="K355" s="85"/>
      <c r="L355" s="85"/>
      <c r="M355" s="151"/>
      <c r="N355" s="86" t="s">
        <v>351</v>
      </c>
      <c r="O355" s="85"/>
      <c r="P355" s="85"/>
      <c r="Q355" s="151"/>
      <c r="R355" s="86" t="s">
        <v>351</v>
      </c>
      <c r="S355" s="85"/>
      <c r="T355" s="85"/>
      <c r="U355" s="151"/>
      <c r="V355" s="86" t="s">
        <v>351</v>
      </c>
      <c r="W355" s="85"/>
      <c r="X355" s="85"/>
      <c r="Y355" s="151"/>
      <c r="Z355" s="86" t="s">
        <v>351</v>
      </c>
      <c r="AA355" s="85"/>
      <c r="AB355" s="85"/>
      <c r="AC355" s="151"/>
      <c r="AD355" t="s">
        <v>351</v>
      </c>
      <c r="AE355" s="85"/>
      <c r="AF355" s="85"/>
      <c r="AG355" s="151"/>
    </row>
    <row r="356" spans="1:33" x14ac:dyDescent="0.25">
      <c r="A356" s="87" t="s">
        <v>313</v>
      </c>
      <c r="B356" s="84">
        <v>1669449799</v>
      </c>
      <c r="C356" s="85">
        <v>3</v>
      </c>
      <c r="D356" s="85">
        <v>2016</v>
      </c>
      <c r="E356" s="151">
        <v>54239</v>
      </c>
      <c r="F356" s="86" t="s">
        <v>351</v>
      </c>
      <c r="G356" s="85">
        <v>3</v>
      </c>
      <c r="H356" s="85">
        <v>2017</v>
      </c>
      <c r="I356" s="151">
        <v>56770</v>
      </c>
      <c r="J356" s="86" t="s">
        <v>351</v>
      </c>
      <c r="K356" s="85">
        <v>3</v>
      </c>
      <c r="L356" s="85">
        <v>2018</v>
      </c>
      <c r="M356" s="151">
        <v>106632</v>
      </c>
      <c r="N356" s="86" t="s">
        <v>351</v>
      </c>
      <c r="O356" s="85">
        <v>3</v>
      </c>
      <c r="P356" s="85">
        <v>2019</v>
      </c>
      <c r="Q356" s="151">
        <v>248757</v>
      </c>
      <c r="R356" s="86" t="s">
        <v>351</v>
      </c>
      <c r="S356" s="85">
        <v>2</v>
      </c>
      <c r="T356" s="85">
        <v>2021</v>
      </c>
      <c r="U356" s="151">
        <v>100</v>
      </c>
      <c r="V356" s="86" t="s">
        <v>351</v>
      </c>
      <c r="W356" s="85">
        <v>1</v>
      </c>
      <c r="X356" s="85">
        <v>2022</v>
      </c>
      <c r="Y356" s="151">
        <v>4</v>
      </c>
      <c r="Z356" s="86" t="s">
        <v>419</v>
      </c>
      <c r="AA356" s="85">
        <v>2</v>
      </c>
      <c r="AB356" s="85">
        <v>2023</v>
      </c>
      <c r="AC356" s="151">
        <v>100</v>
      </c>
      <c r="AD356" t="s">
        <v>351</v>
      </c>
      <c r="AE356" s="85"/>
      <c r="AF356" s="85"/>
      <c r="AG356" s="151" t="s">
        <v>596</v>
      </c>
    </row>
    <row r="357" spans="1:33" x14ac:dyDescent="0.25">
      <c r="A357" s="84" t="s">
        <v>499</v>
      </c>
      <c r="B357" s="84">
        <v>1932368586</v>
      </c>
      <c r="C357" s="85">
        <v>3</v>
      </c>
      <c r="D357" s="85">
        <v>2016</v>
      </c>
      <c r="E357" s="151">
        <v>42052</v>
      </c>
      <c r="F357" s="86" t="s">
        <v>351</v>
      </c>
      <c r="G357" s="85">
        <v>3</v>
      </c>
      <c r="H357" s="85">
        <v>2017</v>
      </c>
      <c r="I357" s="151">
        <v>12814</v>
      </c>
      <c r="J357" s="86" t="s">
        <v>351</v>
      </c>
      <c r="K357" s="85">
        <v>3</v>
      </c>
      <c r="L357" s="85">
        <v>2018</v>
      </c>
      <c r="M357" s="151">
        <v>30077</v>
      </c>
      <c r="N357" s="86" t="s">
        <v>351</v>
      </c>
      <c r="O357" s="85">
        <v>3</v>
      </c>
      <c r="P357" s="85">
        <v>2019</v>
      </c>
      <c r="Q357" s="151">
        <v>92275</v>
      </c>
      <c r="R357" s="86" t="s">
        <v>351</v>
      </c>
      <c r="S357" s="85">
        <v>3</v>
      </c>
      <c r="T357" s="85">
        <v>2020</v>
      </c>
      <c r="U357" s="151">
        <v>40061</v>
      </c>
      <c r="V357" s="86" t="s">
        <v>351</v>
      </c>
      <c r="W357" s="85"/>
      <c r="X357" s="85"/>
      <c r="Y357" s="151"/>
      <c r="Z357" s="86" t="s">
        <v>351</v>
      </c>
      <c r="AA357" s="85"/>
      <c r="AB357" s="85"/>
      <c r="AC357" s="151"/>
      <c r="AD357" t="s">
        <v>351</v>
      </c>
      <c r="AE357" s="85"/>
      <c r="AF357" s="85"/>
      <c r="AG357" s="151"/>
    </row>
    <row r="358" spans="1:33" x14ac:dyDescent="0.25">
      <c r="A358" s="87" t="s">
        <v>314</v>
      </c>
      <c r="B358" s="84">
        <v>1720088339</v>
      </c>
      <c r="C358" s="85">
        <v>3</v>
      </c>
      <c r="D358" s="85">
        <v>2018</v>
      </c>
      <c r="E358" s="151">
        <v>182839</v>
      </c>
      <c r="F358" s="86" t="s">
        <v>351</v>
      </c>
      <c r="G358" s="85">
        <v>3</v>
      </c>
      <c r="H358" s="85">
        <v>2021</v>
      </c>
      <c r="I358" s="151">
        <v>86370</v>
      </c>
      <c r="J358" s="86" t="s">
        <v>351</v>
      </c>
      <c r="K358" s="85"/>
      <c r="L358" s="85"/>
      <c r="M358" s="151"/>
      <c r="N358" s="86" t="s">
        <v>351</v>
      </c>
      <c r="O358" s="85"/>
      <c r="P358" s="85"/>
      <c r="Q358" s="151"/>
      <c r="R358" s="86" t="s">
        <v>351</v>
      </c>
      <c r="S358" s="85"/>
      <c r="T358" s="85"/>
      <c r="U358" s="151"/>
      <c r="V358" s="86" t="s">
        <v>351</v>
      </c>
      <c r="W358" s="85"/>
      <c r="X358" s="85"/>
      <c r="Y358" s="151"/>
      <c r="Z358" s="86" t="s">
        <v>351</v>
      </c>
      <c r="AA358" s="85"/>
      <c r="AB358" s="85"/>
      <c r="AC358" s="151"/>
      <c r="AD358" t="s">
        <v>351</v>
      </c>
      <c r="AE358" s="85"/>
      <c r="AF358" s="85"/>
      <c r="AG358" s="151"/>
    </row>
    <row r="359" spans="1:33" x14ac:dyDescent="0.25">
      <c r="A359" s="87" t="s">
        <v>500</v>
      </c>
      <c r="B359" s="84">
        <v>1891007506</v>
      </c>
      <c r="C359" s="85"/>
      <c r="D359" s="85"/>
      <c r="E359" s="151"/>
      <c r="F359" s="86" t="s">
        <v>351</v>
      </c>
      <c r="G359" s="85"/>
      <c r="H359" s="85"/>
      <c r="I359" s="151"/>
      <c r="J359" s="86" t="s">
        <v>351</v>
      </c>
      <c r="K359" s="85"/>
      <c r="L359" s="85"/>
      <c r="M359" s="151"/>
      <c r="N359" s="86" t="s">
        <v>351</v>
      </c>
      <c r="O359" s="85"/>
      <c r="P359" s="85"/>
      <c r="Q359" s="151"/>
      <c r="R359" s="86" t="s">
        <v>351</v>
      </c>
      <c r="S359" s="85"/>
      <c r="T359" s="85"/>
      <c r="U359" s="151"/>
      <c r="V359" s="86" t="s">
        <v>351</v>
      </c>
      <c r="W359" s="85"/>
      <c r="X359" s="85"/>
      <c r="Y359" s="151"/>
      <c r="Z359" s="86" t="s">
        <v>351</v>
      </c>
      <c r="AA359" s="85"/>
      <c r="AB359" s="85"/>
      <c r="AC359" s="151"/>
      <c r="AD359" t="s">
        <v>351</v>
      </c>
      <c r="AE359" s="85"/>
      <c r="AF359" s="85"/>
      <c r="AG359" s="151"/>
    </row>
    <row r="360" spans="1:33" x14ac:dyDescent="0.25">
      <c r="A360" s="84" t="s">
        <v>315</v>
      </c>
      <c r="B360" s="84">
        <v>1225279755</v>
      </c>
      <c r="C360" s="85">
        <v>3</v>
      </c>
      <c r="D360" s="85">
        <v>2016</v>
      </c>
      <c r="E360" s="151">
        <v>67894</v>
      </c>
      <c r="F360" s="86" t="s">
        <v>351</v>
      </c>
      <c r="G360" s="85">
        <v>3</v>
      </c>
      <c r="H360" s="85">
        <v>2019</v>
      </c>
      <c r="I360" s="151">
        <v>69957</v>
      </c>
      <c r="J360" s="86" t="s">
        <v>351</v>
      </c>
      <c r="K360" s="85">
        <v>3</v>
      </c>
      <c r="L360" s="85">
        <v>2023</v>
      </c>
      <c r="M360" s="151">
        <v>249620</v>
      </c>
      <c r="N360" s="86" t="s">
        <v>351</v>
      </c>
      <c r="O360" s="85"/>
      <c r="P360" s="85"/>
      <c r="Q360" s="151"/>
      <c r="R360" s="86" t="s">
        <v>351</v>
      </c>
      <c r="S360" s="85"/>
      <c r="T360" s="85"/>
      <c r="U360" s="151"/>
      <c r="V360" s="86" t="s">
        <v>351</v>
      </c>
      <c r="W360" s="85"/>
      <c r="X360" s="85"/>
      <c r="Y360" s="151"/>
      <c r="Z360" s="86" t="s">
        <v>351</v>
      </c>
      <c r="AA360" s="85"/>
      <c r="AB360" s="85"/>
      <c r="AC360" s="151"/>
      <c r="AD360" t="s">
        <v>351</v>
      </c>
      <c r="AE360" s="85"/>
      <c r="AF360" s="85"/>
      <c r="AG360" s="151" t="s">
        <v>596</v>
      </c>
    </row>
    <row r="361" spans="1:33" x14ac:dyDescent="0.25">
      <c r="A361" s="84" t="s">
        <v>316</v>
      </c>
      <c r="B361" s="84">
        <v>1235370750</v>
      </c>
      <c r="C361" s="85">
        <v>3</v>
      </c>
      <c r="D361" s="85">
        <v>2017</v>
      </c>
      <c r="E361" s="151">
        <v>313750</v>
      </c>
      <c r="F361" s="86" t="s">
        <v>351</v>
      </c>
      <c r="G361" s="85"/>
      <c r="H361" s="85"/>
      <c r="I361" s="151"/>
      <c r="J361" s="86" t="s">
        <v>351</v>
      </c>
      <c r="K361" s="85"/>
      <c r="L361" s="85"/>
      <c r="M361" s="151"/>
      <c r="N361" s="86" t="s">
        <v>351</v>
      </c>
      <c r="O361" s="85"/>
      <c r="P361" s="85"/>
      <c r="Q361" s="151"/>
      <c r="R361" s="86" t="s">
        <v>351</v>
      </c>
      <c r="S361" s="85"/>
      <c r="T361" s="85"/>
      <c r="U361" s="151"/>
      <c r="V361" s="86" t="s">
        <v>351</v>
      </c>
      <c r="W361" s="85"/>
      <c r="X361" s="85"/>
      <c r="Y361" s="151"/>
      <c r="Z361" s="86" t="s">
        <v>351</v>
      </c>
      <c r="AA361" s="85"/>
      <c r="AB361" s="85"/>
      <c r="AC361" s="151"/>
      <c r="AD361" t="s">
        <v>351</v>
      </c>
      <c r="AE361" s="85"/>
      <c r="AF361" s="85"/>
      <c r="AG361" s="151"/>
    </row>
    <row r="362" spans="1:33" x14ac:dyDescent="0.25">
      <c r="A362" s="87" t="s">
        <v>317</v>
      </c>
      <c r="B362" s="84">
        <v>1497996920</v>
      </c>
      <c r="C362" s="85">
        <v>3</v>
      </c>
      <c r="D362" s="85">
        <v>2019</v>
      </c>
      <c r="E362" s="151">
        <v>91225</v>
      </c>
      <c r="F362" s="86" t="s">
        <v>351</v>
      </c>
      <c r="G362" s="85"/>
      <c r="H362" s="85"/>
      <c r="I362" s="151"/>
      <c r="J362" s="86" t="s">
        <v>351</v>
      </c>
      <c r="K362" s="85"/>
      <c r="L362" s="85"/>
      <c r="M362" s="151"/>
      <c r="N362" s="86" t="s">
        <v>351</v>
      </c>
      <c r="O362" s="85"/>
      <c r="P362" s="85"/>
      <c r="Q362" s="151"/>
      <c r="R362" s="86" t="s">
        <v>351</v>
      </c>
      <c r="S362" s="85"/>
      <c r="T362" s="85"/>
      <c r="U362" s="151"/>
      <c r="V362" s="86" t="s">
        <v>351</v>
      </c>
      <c r="W362" s="85"/>
      <c r="X362" s="85"/>
      <c r="Y362" s="151"/>
      <c r="Z362" s="86" t="s">
        <v>351</v>
      </c>
      <c r="AA362" s="85"/>
      <c r="AB362" s="85"/>
      <c r="AC362" s="151"/>
      <c r="AD362" t="s">
        <v>351</v>
      </c>
      <c r="AE362" s="85"/>
      <c r="AF362" s="85"/>
      <c r="AG362" s="151"/>
    </row>
    <row r="363" spans="1:33" x14ac:dyDescent="0.25">
      <c r="A363" s="84" t="s">
        <v>318</v>
      </c>
      <c r="B363" s="84">
        <v>1295704997</v>
      </c>
      <c r="C363" s="85">
        <v>2</v>
      </c>
      <c r="D363" s="85">
        <v>2016</v>
      </c>
      <c r="E363" s="151">
        <v>20</v>
      </c>
      <c r="F363" s="86" t="s">
        <v>351</v>
      </c>
      <c r="G363" s="85">
        <v>3</v>
      </c>
      <c r="H363" s="85">
        <v>2017</v>
      </c>
      <c r="I363" s="151">
        <v>159182</v>
      </c>
      <c r="J363" s="86" t="s">
        <v>351</v>
      </c>
      <c r="K363" s="85">
        <v>3</v>
      </c>
      <c r="L363" s="85">
        <v>2019</v>
      </c>
      <c r="M363" s="151">
        <v>92110</v>
      </c>
      <c r="N363" s="86" t="s">
        <v>351</v>
      </c>
      <c r="O363" s="85"/>
      <c r="P363" s="85"/>
      <c r="Q363" s="151"/>
      <c r="R363" s="86" t="s">
        <v>351</v>
      </c>
      <c r="S363" s="85"/>
      <c r="T363" s="85"/>
      <c r="U363" s="151"/>
      <c r="V363" s="86" t="s">
        <v>351</v>
      </c>
      <c r="W363" s="85"/>
      <c r="X363" s="85"/>
      <c r="Y363" s="151"/>
      <c r="Z363" s="86" t="s">
        <v>351</v>
      </c>
      <c r="AA363" s="85"/>
      <c r="AB363" s="85"/>
      <c r="AC363" s="151"/>
      <c r="AD363" t="s">
        <v>351</v>
      </c>
      <c r="AE363" s="85"/>
      <c r="AF363" s="85"/>
      <c r="AG363" s="151"/>
    </row>
    <row r="364" spans="1:33" x14ac:dyDescent="0.25">
      <c r="A364" s="87" t="s">
        <v>319</v>
      </c>
      <c r="B364" s="84">
        <v>1629047279</v>
      </c>
      <c r="C364" s="85">
        <v>3</v>
      </c>
      <c r="D364" s="85">
        <v>2016</v>
      </c>
      <c r="E364" s="151">
        <v>114188</v>
      </c>
      <c r="F364" s="86" t="s">
        <v>351</v>
      </c>
      <c r="G364" s="85">
        <v>3</v>
      </c>
      <c r="H364" s="85">
        <v>2021</v>
      </c>
      <c r="I364" s="151">
        <v>64663</v>
      </c>
      <c r="J364" s="86" t="s">
        <v>351</v>
      </c>
      <c r="K364" s="85">
        <v>3</v>
      </c>
      <c r="L364" s="85">
        <v>2023</v>
      </c>
      <c r="M364" s="151">
        <v>103361</v>
      </c>
      <c r="N364" s="86" t="s">
        <v>351</v>
      </c>
      <c r="O364" s="85"/>
      <c r="P364" s="85"/>
      <c r="Q364" s="151"/>
      <c r="R364" s="86" t="s">
        <v>351</v>
      </c>
      <c r="S364" s="85"/>
      <c r="T364" s="85"/>
      <c r="U364" s="151"/>
      <c r="V364" s="86" t="s">
        <v>351</v>
      </c>
      <c r="W364" s="85"/>
      <c r="X364" s="85"/>
      <c r="Y364" s="151"/>
      <c r="Z364" s="86" t="s">
        <v>351</v>
      </c>
      <c r="AA364" s="85"/>
      <c r="AB364" s="85"/>
      <c r="AC364" s="151"/>
      <c r="AD364" t="s">
        <v>351</v>
      </c>
      <c r="AE364" s="85"/>
      <c r="AF364" s="85"/>
      <c r="AG364" s="151" t="s">
        <v>596</v>
      </c>
    </row>
    <row r="365" spans="1:33" x14ac:dyDescent="0.25">
      <c r="A365" s="87" t="s">
        <v>320</v>
      </c>
      <c r="B365" s="84">
        <v>1144299702</v>
      </c>
      <c r="C365" s="85">
        <v>3</v>
      </c>
      <c r="D365" s="85">
        <v>2016</v>
      </c>
      <c r="E365" s="151">
        <v>98761</v>
      </c>
      <c r="F365" s="86" t="s">
        <v>351</v>
      </c>
      <c r="G365" s="85">
        <v>1</v>
      </c>
      <c r="H365" s="85">
        <v>2016</v>
      </c>
      <c r="I365" s="151">
        <v>20</v>
      </c>
      <c r="J365" s="86" t="s">
        <v>351</v>
      </c>
      <c r="K365" s="85">
        <v>3</v>
      </c>
      <c r="L365" s="85">
        <v>2021</v>
      </c>
      <c r="M365" s="151">
        <v>67159</v>
      </c>
      <c r="N365" s="86" t="s">
        <v>351</v>
      </c>
      <c r="O365" s="85">
        <v>3</v>
      </c>
      <c r="P365" s="85">
        <v>2023</v>
      </c>
      <c r="Q365" s="151">
        <v>86564</v>
      </c>
      <c r="R365" s="86" t="s">
        <v>351</v>
      </c>
      <c r="S365" s="85"/>
      <c r="T365" s="85"/>
      <c r="U365" s="151"/>
      <c r="V365" s="86" t="s">
        <v>351</v>
      </c>
      <c r="W365" s="85"/>
      <c r="X365" s="85"/>
      <c r="Y365" s="151"/>
      <c r="Z365" s="86" t="s">
        <v>351</v>
      </c>
      <c r="AA365" s="85"/>
      <c r="AB365" s="85"/>
      <c r="AC365" s="151"/>
      <c r="AD365" t="s">
        <v>351</v>
      </c>
      <c r="AE365" s="85"/>
      <c r="AF365" s="85"/>
      <c r="AG365" s="151" t="s">
        <v>596</v>
      </c>
    </row>
    <row r="366" spans="1:33" x14ac:dyDescent="0.25">
      <c r="A366" s="84" t="s">
        <v>321</v>
      </c>
      <c r="B366" s="84">
        <v>1437484672</v>
      </c>
      <c r="C366" s="85">
        <v>3</v>
      </c>
      <c r="D366" s="85">
        <v>2016</v>
      </c>
      <c r="E366" s="151">
        <v>56465</v>
      </c>
      <c r="F366" s="86" t="s">
        <v>351</v>
      </c>
      <c r="G366" s="85">
        <v>3</v>
      </c>
      <c r="H366" s="85">
        <v>2022</v>
      </c>
      <c r="I366" s="151">
        <v>47681</v>
      </c>
      <c r="J366" s="86" t="s">
        <v>351</v>
      </c>
      <c r="K366" s="85"/>
      <c r="L366" s="85"/>
      <c r="M366" s="151"/>
      <c r="N366" s="86" t="s">
        <v>351</v>
      </c>
      <c r="O366" s="85"/>
      <c r="P366" s="85"/>
      <c r="Q366" s="151"/>
      <c r="R366" s="86" t="s">
        <v>351</v>
      </c>
      <c r="S366" s="85"/>
      <c r="T366" s="85"/>
      <c r="U366" s="151"/>
      <c r="V366" s="86" t="s">
        <v>351</v>
      </c>
      <c r="W366" s="85"/>
      <c r="X366" s="85"/>
      <c r="Y366" s="151"/>
      <c r="Z366" s="86" t="s">
        <v>351</v>
      </c>
      <c r="AA366" s="85"/>
      <c r="AB366" s="85"/>
      <c r="AC366" s="151"/>
      <c r="AD366" t="s">
        <v>351</v>
      </c>
      <c r="AE366" s="85"/>
      <c r="AF366" s="85"/>
      <c r="AG366" s="151"/>
    </row>
    <row r="367" spans="1:33" x14ac:dyDescent="0.25">
      <c r="A367" s="84" t="s">
        <v>322</v>
      </c>
      <c r="B367" s="84">
        <v>1942279609</v>
      </c>
      <c r="C367" s="85">
        <v>3</v>
      </c>
      <c r="D367" s="85">
        <v>2020</v>
      </c>
      <c r="E367" s="151">
        <v>105770</v>
      </c>
      <c r="F367" s="86" t="s">
        <v>351</v>
      </c>
      <c r="G367" s="85"/>
      <c r="H367" s="85"/>
      <c r="I367" s="151"/>
      <c r="J367" s="86" t="s">
        <v>351</v>
      </c>
      <c r="K367" s="85"/>
      <c r="L367" s="85"/>
      <c r="M367" s="151"/>
      <c r="N367" s="86" t="s">
        <v>351</v>
      </c>
      <c r="O367" s="85"/>
      <c r="P367" s="85"/>
      <c r="Q367" s="151"/>
      <c r="R367" s="86" t="s">
        <v>351</v>
      </c>
      <c r="S367" s="85"/>
      <c r="T367" s="85"/>
      <c r="U367" s="151"/>
      <c r="V367" s="86" t="s">
        <v>351</v>
      </c>
      <c r="W367" s="85"/>
      <c r="X367" s="85"/>
      <c r="Y367" s="151"/>
      <c r="Z367" s="86" t="s">
        <v>351</v>
      </c>
      <c r="AA367" s="85"/>
      <c r="AB367" s="85"/>
      <c r="AC367" s="151"/>
      <c r="AD367" t="s">
        <v>351</v>
      </c>
      <c r="AE367" s="85"/>
      <c r="AF367" s="85"/>
      <c r="AG367" s="151"/>
    </row>
    <row r="368" spans="1:33" x14ac:dyDescent="0.25">
      <c r="A368" s="87" t="s">
        <v>501</v>
      </c>
      <c r="B368" s="84">
        <v>1114996758</v>
      </c>
      <c r="C368" s="85">
        <v>3</v>
      </c>
      <c r="D368" s="85">
        <v>2016</v>
      </c>
      <c r="E368" s="151">
        <v>58352</v>
      </c>
      <c r="F368" s="86" t="s">
        <v>351</v>
      </c>
      <c r="G368" s="85"/>
      <c r="H368" s="85"/>
      <c r="I368" s="151"/>
      <c r="J368" s="86" t="s">
        <v>351</v>
      </c>
      <c r="K368" s="85"/>
      <c r="L368" s="85"/>
      <c r="M368" s="151"/>
      <c r="N368" s="86" t="s">
        <v>351</v>
      </c>
      <c r="O368" s="85"/>
      <c r="P368" s="85"/>
      <c r="Q368" s="151"/>
      <c r="R368" s="86" t="s">
        <v>351</v>
      </c>
      <c r="S368" s="85"/>
      <c r="T368" s="85"/>
      <c r="U368" s="151"/>
      <c r="V368" s="86" t="s">
        <v>351</v>
      </c>
      <c r="W368" s="85"/>
      <c r="X368" s="85"/>
      <c r="Y368" s="151"/>
      <c r="Z368" s="86" t="s">
        <v>351</v>
      </c>
      <c r="AA368" s="85"/>
      <c r="AB368" s="85"/>
      <c r="AC368" s="151"/>
      <c r="AD368" t="s">
        <v>351</v>
      </c>
      <c r="AE368" s="85"/>
      <c r="AF368" s="85"/>
      <c r="AG368" s="151"/>
    </row>
    <row r="369" spans="1:33" x14ac:dyDescent="0.25">
      <c r="A369" s="97" t="s">
        <v>502</v>
      </c>
      <c r="B369" s="84">
        <v>1902875578</v>
      </c>
      <c r="C369" s="85"/>
      <c r="D369" s="85"/>
      <c r="E369" s="151"/>
      <c r="F369" s="86" t="s">
        <v>351</v>
      </c>
      <c r="G369" s="85"/>
      <c r="H369" s="85"/>
      <c r="I369" s="151"/>
      <c r="J369" s="86" t="s">
        <v>351</v>
      </c>
      <c r="K369" s="85"/>
      <c r="L369" s="85"/>
      <c r="M369" s="151"/>
      <c r="N369" s="86" t="s">
        <v>351</v>
      </c>
      <c r="O369" s="85"/>
      <c r="P369" s="85"/>
      <c r="Q369" s="151"/>
      <c r="R369" s="86" t="s">
        <v>351</v>
      </c>
      <c r="S369" s="85"/>
      <c r="T369" s="85"/>
      <c r="U369" s="151"/>
      <c r="V369" s="86" t="s">
        <v>351</v>
      </c>
      <c r="W369" s="85"/>
      <c r="X369" s="85"/>
      <c r="Y369" s="151"/>
      <c r="Z369" s="86" t="s">
        <v>351</v>
      </c>
      <c r="AA369" s="85"/>
      <c r="AB369" s="85"/>
      <c r="AC369" s="151"/>
      <c r="AD369" t="s">
        <v>351</v>
      </c>
      <c r="AE369" s="85"/>
      <c r="AF369" s="85"/>
      <c r="AG369" s="151"/>
    </row>
    <row r="370" spans="1:33" x14ac:dyDescent="0.25">
      <c r="A370" s="97" t="s">
        <v>323</v>
      </c>
      <c r="B370" s="84">
        <v>1588805014</v>
      </c>
      <c r="C370" s="85">
        <v>3</v>
      </c>
      <c r="D370" s="85">
        <v>2016</v>
      </c>
      <c r="E370" s="151">
        <v>95117</v>
      </c>
      <c r="F370" s="86" t="s">
        <v>351</v>
      </c>
      <c r="G370" s="85"/>
      <c r="H370" s="85"/>
      <c r="I370" s="151"/>
      <c r="J370" s="86" t="s">
        <v>351</v>
      </c>
      <c r="K370" s="85"/>
      <c r="L370" s="85"/>
      <c r="M370" s="151"/>
      <c r="N370" s="86" t="s">
        <v>351</v>
      </c>
      <c r="O370" s="85"/>
      <c r="P370" s="85"/>
      <c r="Q370" s="151"/>
      <c r="R370" s="86" t="s">
        <v>351</v>
      </c>
      <c r="S370" s="85"/>
      <c r="T370" s="85"/>
      <c r="U370" s="151"/>
      <c r="V370" s="86" t="s">
        <v>351</v>
      </c>
      <c r="W370" s="85"/>
      <c r="X370" s="85"/>
      <c r="Y370" s="151"/>
      <c r="Z370" s="86" t="s">
        <v>351</v>
      </c>
      <c r="AA370" s="85"/>
      <c r="AB370" s="85"/>
      <c r="AC370" s="151"/>
      <c r="AD370" t="s">
        <v>351</v>
      </c>
      <c r="AE370" s="85"/>
      <c r="AF370" s="85"/>
      <c r="AG370" s="151"/>
    </row>
    <row r="371" spans="1:33" x14ac:dyDescent="0.25">
      <c r="A371" s="84" t="s">
        <v>503</v>
      </c>
      <c r="B371" s="84">
        <v>1669408969</v>
      </c>
      <c r="C371" s="85">
        <v>3</v>
      </c>
      <c r="D371" s="85">
        <v>2020</v>
      </c>
      <c r="E371" s="151">
        <v>2770833</v>
      </c>
      <c r="F371" s="86" t="s">
        <v>351</v>
      </c>
      <c r="G371" s="85"/>
      <c r="H371" s="85"/>
      <c r="I371" s="151"/>
      <c r="J371" s="86" t="s">
        <v>351</v>
      </c>
      <c r="K371" s="85"/>
      <c r="L371" s="85"/>
      <c r="M371" s="151"/>
      <c r="N371" s="86" t="s">
        <v>351</v>
      </c>
      <c r="O371" s="85"/>
      <c r="P371" s="85"/>
      <c r="Q371" s="151"/>
      <c r="R371" s="86" t="s">
        <v>351</v>
      </c>
      <c r="S371" s="85"/>
      <c r="T371" s="85"/>
      <c r="U371" s="151"/>
      <c r="V371" s="86" t="s">
        <v>351</v>
      </c>
      <c r="W371" s="85"/>
      <c r="X371" s="85"/>
      <c r="Y371" s="151"/>
      <c r="Z371" s="86" t="s">
        <v>351</v>
      </c>
      <c r="AA371" s="85"/>
      <c r="AB371" s="85"/>
      <c r="AC371" s="151"/>
      <c r="AD371" t="s">
        <v>351</v>
      </c>
      <c r="AE371" s="85"/>
      <c r="AF371" s="85"/>
      <c r="AG371" s="151"/>
    </row>
    <row r="372" spans="1:33" x14ac:dyDescent="0.25">
      <c r="A372" s="98" t="s">
        <v>324</v>
      </c>
      <c r="B372" s="84">
        <v>1689640583</v>
      </c>
      <c r="C372" s="85">
        <v>3</v>
      </c>
      <c r="D372" s="85">
        <v>2018</v>
      </c>
      <c r="E372" s="151">
        <v>128868</v>
      </c>
      <c r="F372" s="86" t="s">
        <v>351</v>
      </c>
      <c r="G372" s="85">
        <v>3</v>
      </c>
      <c r="H372" s="85">
        <v>2021</v>
      </c>
      <c r="I372" s="151">
        <v>71274</v>
      </c>
      <c r="J372" s="86" t="s">
        <v>351</v>
      </c>
      <c r="K372" s="85"/>
      <c r="L372" s="85"/>
      <c r="M372" s="151"/>
      <c r="N372" s="86" t="s">
        <v>351</v>
      </c>
      <c r="O372" s="85"/>
      <c r="P372" s="85"/>
      <c r="Q372" s="151"/>
      <c r="R372" s="86" t="s">
        <v>351</v>
      </c>
      <c r="S372" s="85"/>
      <c r="T372" s="85"/>
      <c r="U372" s="151"/>
      <c r="V372" s="86" t="s">
        <v>351</v>
      </c>
      <c r="W372" s="85"/>
      <c r="X372" s="85"/>
      <c r="Y372" s="151"/>
      <c r="Z372" s="86" t="s">
        <v>351</v>
      </c>
      <c r="AA372" s="85"/>
      <c r="AB372" s="85"/>
      <c r="AC372" s="151"/>
      <c r="AD372" t="s">
        <v>351</v>
      </c>
      <c r="AE372" s="85"/>
      <c r="AF372" s="85"/>
      <c r="AG372" s="151"/>
    </row>
    <row r="373" spans="1:33" x14ac:dyDescent="0.25">
      <c r="A373" s="84" t="s">
        <v>325</v>
      </c>
      <c r="B373" s="84">
        <v>1831125285</v>
      </c>
      <c r="C373" s="85">
        <v>3</v>
      </c>
      <c r="D373" s="85">
        <v>2016</v>
      </c>
      <c r="E373" s="151">
        <v>42465</v>
      </c>
      <c r="F373" s="86" t="s">
        <v>351</v>
      </c>
      <c r="G373" s="85">
        <v>3</v>
      </c>
      <c r="H373" s="85">
        <v>2017</v>
      </c>
      <c r="I373" s="151">
        <v>47234</v>
      </c>
      <c r="J373" s="86" t="s">
        <v>351</v>
      </c>
      <c r="K373" s="85">
        <v>3</v>
      </c>
      <c r="L373" s="85">
        <v>2020</v>
      </c>
      <c r="M373" s="151">
        <v>48348</v>
      </c>
      <c r="N373" s="86" t="s">
        <v>351</v>
      </c>
      <c r="O373" s="85">
        <v>3</v>
      </c>
      <c r="P373" s="85">
        <v>2022</v>
      </c>
      <c r="Q373" s="151">
        <v>45180</v>
      </c>
      <c r="R373" s="86" t="s">
        <v>351</v>
      </c>
      <c r="S373" s="85"/>
      <c r="T373" s="85"/>
      <c r="U373" s="151"/>
      <c r="V373" s="86" t="s">
        <v>351</v>
      </c>
      <c r="W373" s="85"/>
      <c r="X373" s="85"/>
      <c r="Y373" s="151"/>
      <c r="Z373" s="86" t="s">
        <v>351</v>
      </c>
      <c r="AA373" s="85"/>
      <c r="AB373" s="85"/>
      <c r="AC373" s="151"/>
      <c r="AD373" t="s">
        <v>351</v>
      </c>
      <c r="AE373" s="85"/>
      <c r="AF373" s="85"/>
      <c r="AG373" s="151"/>
    </row>
    <row r="374" spans="1:33" x14ac:dyDescent="0.25">
      <c r="A374" s="84" t="s">
        <v>326</v>
      </c>
      <c r="B374" s="84">
        <v>1871063214</v>
      </c>
      <c r="C374" s="85">
        <v>3</v>
      </c>
      <c r="D374" s="85">
        <v>2016</v>
      </c>
      <c r="E374" s="151">
        <v>123096</v>
      </c>
      <c r="F374" s="86" t="s">
        <v>351</v>
      </c>
      <c r="G374" s="85">
        <v>3</v>
      </c>
      <c r="H374" s="85">
        <v>2017</v>
      </c>
      <c r="I374" s="151">
        <v>290865</v>
      </c>
      <c r="J374" s="86" t="s">
        <v>351</v>
      </c>
      <c r="K374" s="85">
        <v>3</v>
      </c>
      <c r="L374" s="85">
        <v>2018</v>
      </c>
      <c r="M374" s="151">
        <v>59742</v>
      </c>
      <c r="N374" s="86" t="s">
        <v>351</v>
      </c>
      <c r="O374" s="85"/>
      <c r="P374" s="85"/>
      <c r="Q374" s="151"/>
      <c r="R374" s="86" t="s">
        <v>351</v>
      </c>
      <c r="S374" s="85"/>
      <c r="T374" s="85"/>
      <c r="U374" s="151"/>
      <c r="V374" s="86" t="s">
        <v>351</v>
      </c>
      <c r="W374" s="85"/>
      <c r="X374" s="85"/>
      <c r="Y374" s="151"/>
      <c r="Z374" s="86" t="s">
        <v>351</v>
      </c>
      <c r="AA374" s="85"/>
      <c r="AB374" s="85"/>
      <c r="AC374" s="151"/>
      <c r="AD374" t="s">
        <v>351</v>
      </c>
      <c r="AE374" s="85"/>
      <c r="AF374" s="85"/>
      <c r="AG374" s="151"/>
    </row>
    <row r="375" spans="1:33" x14ac:dyDescent="0.25">
      <c r="A375" s="84" t="s">
        <v>327</v>
      </c>
      <c r="B375" s="84">
        <v>1629515499</v>
      </c>
      <c r="C375" s="85">
        <v>3</v>
      </c>
      <c r="D375" s="85">
        <v>2018</v>
      </c>
      <c r="E375" s="151">
        <v>147269</v>
      </c>
      <c r="F375" s="86" t="s">
        <v>351</v>
      </c>
      <c r="G375" s="85">
        <v>3</v>
      </c>
      <c r="H375" s="85">
        <v>2019</v>
      </c>
      <c r="I375" s="151">
        <v>64739</v>
      </c>
      <c r="J375" s="86" t="s">
        <v>351</v>
      </c>
      <c r="K375" s="85">
        <v>3</v>
      </c>
      <c r="L375" s="85">
        <v>2023</v>
      </c>
      <c r="M375" s="151">
        <v>135894</v>
      </c>
      <c r="N375" s="86" t="s">
        <v>351</v>
      </c>
      <c r="O375" s="85"/>
      <c r="P375" s="85"/>
      <c r="Q375" s="151"/>
      <c r="R375" s="86" t="s">
        <v>351</v>
      </c>
      <c r="S375" s="85"/>
      <c r="T375" s="85"/>
      <c r="U375" s="151"/>
      <c r="V375" s="86" t="s">
        <v>351</v>
      </c>
      <c r="W375" s="85"/>
      <c r="X375" s="85"/>
      <c r="Y375" s="151"/>
      <c r="Z375" s="86" t="s">
        <v>351</v>
      </c>
      <c r="AA375" s="85"/>
      <c r="AB375" s="85"/>
      <c r="AC375" s="151"/>
      <c r="AD375" t="s">
        <v>351</v>
      </c>
      <c r="AE375" s="85"/>
      <c r="AF375" s="85"/>
      <c r="AG375" s="151" t="s">
        <v>596</v>
      </c>
    </row>
    <row r="376" spans="1:33" x14ac:dyDescent="0.25">
      <c r="A376" s="84" t="s">
        <v>504</v>
      </c>
      <c r="B376" s="84">
        <v>1134660103</v>
      </c>
      <c r="C376" s="85">
        <v>3</v>
      </c>
      <c r="D376" s="85">
        <v>2017</v>
      </c>
      <c r="E376" s="151">
        <v>118998</v>
      </c>
      <c r="F376" s="86" t="s">
        <v>351</v>
      </c>
      <c r="G376" s="85">
        <v>3</v>
      </c>
      <c r="H376" s="85">
        <v>2018</v>
      </c>
      <c r="I376" s="151">
        <v>594009</v>
      </c>
      <c r="J376" s="86" t="s">
        <v>351</v>
      </c>
      <c r="K376" s="85">
        <v>3</v>
      </c>
      <c r="L376" s="85">
        <v>2019</v>
      </c>
      <c r="M376" s="151">
        <v>993059</v>
      </c>
      <c r="N376" s="86" t="s">
        <v>351</v>
      </c>
      <c r="O376" s="85">
        <v>3</v>
      </c>
      <c r="P376" s="85">
        <v>2020</v>
      </c>
      <c r="Q376" s="151">
        <v>91112</v>
      </c>
      <c r="R376" s="86" t="s">
        <v>351</v>
      </c>
      <c r="S376" s="85">
        <v>3</v>
      </c>
      <c r="T376" s="85">
        <v>2023</v>
      </c>
      <c r="U376" s="151">
        <v>196938</v>
      </c>
      <c r="V376" s="86" t="s">
        <v>351</v>
      </c>
      <c r="W376" s="85"/>
      <c r="X376" s="85"/>
      <c r="Y376" s="151"/>
      <c r="Z376" s="86" t="s">
        <v>351</v>
      </c>
      <c r="AA376" s="85"/>
      <c r="AB376" s="85"/>
      <c r="AC376" s="151"/>
      <c r="AD376" t="s">
        <v>351</v>
      </c>
      <c r="AE376" s="85"/>
      <c r="AF376" s="85"/>
      <c r="AG376" s="151" t="s">
        <v>596</v>
      </c>
    </row>
    <row r="377" spans="1:33" x14ac:dyDescent="0.25">
      <c r="A377" s="87" t="s">
        <v>328</v>
      </c>
      <c r="B377" s="84">
        <v>1447736087</v>
      </c>
      <c r="C377" s="85">
        <v>3</v>
      </c>
      <c r="D377" s="85">
        <v>2018</v>
      </c>
      <c r="E377" s="151">
        <v>218575</v>
      </c>
      <c r="F377" s="86" t="s">
        <v>351</v>
      </c>
      <c r="G377" s="85">
        <v>3</v>
      </c>
      <c r="H377" s="85">
        <v>2021</v>
      </c>
      <c r="I377" s="151">
        <v>46040</v>
      </c>
      <c r="J377" s="86" t="s">
        <v>351</v>
      </c>
      <c r="K377" s="85">
        <v>3</v>
      </c>
      <c r="L377" s="85">
        <v>2022</v>
      </c>
      <c r="M377" s="151">
        <v>53292</v>
      </c>
      <c r="N377" s="86" t="s">
        <v>351</v>
      </c>
      <c r="O377" s="85">
        <v>3</v>
      </c>
      <c r="P377" s="85">
        <v>2023</v>
      </c>
      <c r="Q377" s="151">
        <v>58751</v>
      </c>
      <c r="R377" s="86" t="s">
        <v>351</v>
      </c>
      <c r="S377" s="85"/>
      <c r="T377" s="85"/>
      <c r="U377" s="151"/>
      <c r="V377" s="86" t="s">
        <v>351</v>
      </c>
      <c r="W377" s="85"/>
      <c r="X377" s="85"/>
      <c r="Y377" s="151"/>
      <c r="Z377" s="86" t="s">
        <v>351</v>
      </c>
      <c r="AA377" s="85"/>
      <c r="AB377" s="85"/>
      <c r="AC377" s="151"/>
      <c r="AD377" t="s">
        <v>351</v>
      </c>
      <c r="AE377" s="85"/>
      <c r="AF377" s="85"/>
      <c r="AG377" s="151" t="s">
        <v>596</v>
      </c>
    </row>
    <row r="378" spans="1:33" x14ac:dyDescent="0.25">
      <c r="A378" s="87" t="s">
        <v>505</v>
      </c>
      <c r="B378" s="84">
        <v>1366418246</v>
      </c>
      <c r="C378" s="85"/>
      <c r="D378" s="85"/>
      <c r="E378" s="151"/>
      <c r="F378" s="86" t="s">
        <v>351</v>
      </c>
      <c r="G378" s="85"/>
      <c r="H378" s="85"/>
      <c r="I378" s="151"/>
      <c r="J378" s="86" t="s">
        <v>351</v>
      </c>
      <c r="K378" s="85"/>
      <c r="L378" s="85"/>
      <c r="M378" s="151"/>
      <c r="N378" s="86" t="s">
        <v>351</v>
      </c>
      <c r="O378" s="85"/>
      <c r="P378" s="85"/>
      <c r="Q378" s="151"/>
      <c r="R378" s="86" t="s">
        <v>351</v>
      </c>
      <c r="S378" s="85"/>
      <c r="T378" s="85"/>
      <c r="U378" s="151"/>
      <c r="V378" s="86" t="s">
        <v>351</v>
      </c>
      <c r="W378" s="85"/>
      <c r="X378" s="85"/>
      <c r="Y378" s="151"/>
      <c r="Z378" s="86" t="s">
        <v>351</v>
      </c>
      <c r="AA378" s="85"/>
      <c r="AB378" s="85"/>
      <c r="AC378" s="151"/>
      <c r="AD378" t="s">
        <v>351</v>
      </c>
      <c r="AE378" s="85"/>
      <c r="AF378" s="85"/>
      <c r="AG378" s="151"/>
    </row>
    <row r="379" spans="1:33" x14ac:dyDescent="0.25">
      <c r="A379" s="84" t="s">
        <v>506</v>
      </c>
      <c r="B379" s="84">
        <v>1124094008</v>
      </c>
      <c r="C379" s="85"/>
      <c r="D379" s="85"/>
      <c r="E379" s="151"/>
      <c r="F379" s="86" t="s">
        <v>351</v>
      </c>
      <c r="G379" s="85"/>
      <c r="H379" s="85"/>
      <c r="I379" s="151"/>
      <c r="J379" s="86" t="s">
        <v>351</v>
      </c>
      <c r="K379" s="85"/>
      <c r="L379" s="85"/>
      <c r="M379" s="151"/>
      <c r="N379" s="86" t="s">
        <v>351</v>
      </c>
      <c r="O379" s="85"/>
      <c r="P379" s="85"/>
      <c r="Q379" s="151"/>
      <c r="R379" s="86" t="s">
        <v>351</v>
      </c>
      <c r="S379" s="85"/>
      <c r="T379" s="85"/>
      <c r="U379" s="151"/>
      <c r="V379" s="86" t="s">
        <v>351</v>
      </c>
      <c r="W379" s="85"/>
      <c r="X379" s="85"/>
      <c r="Y379" s="151"/>
      <c r="Z379" s="86" t="s">
        <v>351</v>
      </c>
      <c r="AA379" s="85"/>
      <c r="AB379" s="85"/>
      <c r="AC379" s="151"/>
      <c r="AD379" t="s">
        <v>351</v>
      </c>
      <c r="AE379" s="85"/>
      <c r="AF379" s="85"/>
      <c r="AG379" s="151"/>
    </row>
    <row r="380" spans="1:33" x14ac:dyDescent="0.25">
      <c r="A380" s="87" t="s">
        <v>588</v>
      </c>
      <c r="B380" s="84">
        <v>1609996552</v>
      </c>
      <c r="C380" s="85">
        <v>3</v>
      </c>
      <c r="D380" s="85">
        <v>2016</v>
      </c>
      <c r="E380" s="151">
        <v>87523</v>
      </c>
      <c r="F380" s="86" t="s">
        <v>351</v>
      </c>
      <c r="G380" s="85">
        <v>3</v>
      </c>
      <c r="H380" s="85">
        <v>2019</v>
      </c>
      <c r="I380" s="151">
        <v>2097573.21</v>
      </c>
      <c r="J380" s="86" t="s">
        <v>351</v>
      </c>
      <c r="K380" s="85">
        <v>3</v>
      </c>
      <c r="L380" s="85">
        <v>2020</v>
      </c>
      <c r="M380" s="151">
        <v>1076206</v>
      </c>
      <c r="N380" s="86" t="s">
        <v>351</v>
      </c>
      <c r="O380" s="85">
        <v>3</v>
      </c>
      <c r="P380" s="85">
        <v>2023</v>
      </c>
      <c r="Q380" s="151">
        <v>55400</v>
      </c>
      <c r="R380" s="86" t="s">
        <v>351</v>
      </c>
      <c r="S380" s="85"/>
      <c r="T380" s="85"/>
      <c r="U380" s="151"/>
      <c r="V380" s="86" t="s">
        <v>351</v>
      </c>
      <c r="W380" s="85"/>
      <c r="X380" s="85"/>
      <c r="Y380" s="151"/>
      <c r="Z380" s="86" t="s">
        <v>351</v>
      </c>
      <c r="AA380" s="85"/>
      <c r="AB380" s="85"/>
      <c r="AC380" s="151"/>
      <c r="AD380" t="s">
        <v>351</v>
      </c>
      <c r="AE380" s="85"/>
      <c r="AF380" s="85"/>
      <c r="AG380" s="151" t="s">
        <v>596</v>
      </c>
    </row>
    <row r="381" spans="1:33" x14ac:dyDescent="0.25">
      <c r="A381" s="87" t="s">
        <v>329</v>
      </c>
      <c r="B381" s="84">
        <v>1659319366</v>
      </c>
      <c r="C381" s="85">
        <v>3</v>
      </c>
      <c r="D381" s="85">
        <v>2016</v>
      </c>
      <c r="E381" s="151">
        <v>0</v>
      </c>
      <c r="F381" s="86" t="s">
        <v>351</v>
      </c>
      <c r="G381" s="85">
        <v>3</v>
      </c>
      <c r="H381" s="85">
        <v>2017</v>
      </c>
      <c r="I381" s="151">
        <v>141755</v>
      </c>
      <c r="J381" s="86" t="s">
        <v>351</v>
      </c>
      <c r="K381" s="85">
        <v>3</v>
      </c>
      <c r="L381" s="85">
        <v>2018</v>
      </c>
      <c r="M381" s="151">
        <v>82784</v>
      </c>
      <c r="N381" s="86" t="s">
        <v>351</v>
      </c>
      <c r="O381" s="85">
        <v>3</v>
      </c>
      <c r="P381" s="85">
        <v>2022</v>
      </c>
      <c r="Q381" s="151">
        <v>64420</v>
      </c>
      <c r="R381" s="86" t="s">
        <v>351</v>
      </c>
      <c r="S381" s="85">
        <v>3</v>
      </c>
      <c r="T381" s="85">
        <v>2023</v>
      </c>
      <c r="U381" s="151">
        <v>132764</v>
      </c>
      <c r="V381" s="86" t="s">
        <v>351</v>
      </c>
      <c r="W381" s="85"/>
      <c r="X381" s="85"/>
      <c r="Y381" s="151"/>
      <c r="Z381" s="86" t="s">
        <v>351</v>
      </c>
      <c r="AA381" s="85"/>
      <c r="AB381" s="85"/>
      <c r="AC381" s="151"/>
      <c r="AD381" t="s">
        <v>351</v>
      </c>
      <c r="AE381" s="85"/>
      <c r="AF381" s="85"/>
      <c r="AG381" s="151" t="s">
        <v>596</v>
      </c>
    </row>
    <row r="382" spans="1:33" x14ac:dyDescent="0.25">
      <c r="A382" s="84" t="s">
        <v>330</v>
      </c>
      <c r="B382" s="84">
        <v>1972050276</v>
      </c>
      <c r="C382" s="85">
        <v>3</v>
      </c>
      <c r="D382" s="85">
        <v>2019</v>
      </c>
      <c r="E382" s="151">
        <v>241620</v>
      </c>
      <c r="F382" s="86" t="s">
        <v>351</v>
      </c>
      <c r="G382" s="85">
        <v>3</v>
      </c>
      <c r="H382" s="85">
        <v>2021</v>
      </c>
      <c r="I382" s="151">
        <v>240285</v>
      </c>
      <c r="J382" s="86" t="s">
        <v>351</v>
      </c>
      <c r="K382" s="85"/>
      <c r="L382" s="85"/>
      <c r="M382" s="151"/>
      <c r="N382" s="86" t="s">
        <v>351</v>
      </c>
      <c r="O382" s="85"/>
      <c r="P382" s="85"/>
      <c r="Q382" s="151"/>
      <c r="R382" s="86" t="s">
        <v>351</v>
      </c>
      <c r="S382" s="85"/>
      <c r="T382" s="85"/>
      <c r="U382" s="151"/>
      <c r="V382" s="86" t="s">
        <v>351</v>
      </c>
      <c r="W382" s="85"/>
      <c r="X382" s="85"/>
      <c r="Y382" s="151"/>
      <c r="Z382" s="86" t="s">
        <v>351</v>
      </c>
      <c r="AA382" s="85"/>
      <c r="AB382" s="85"/>
      <c r="AC382" s="151"/>
      <c r="AD382" t="s">
        <v>351</v>
      </c>
      <c r="AE382" s="85"/>
      <c r="AF382" s="85"/>
      <c r="AG382" s="151"/>
    </row>
    <row r="383" spans="1:33" x14ac:dyDescent="0.25">
      <c r="A383" s="87" t="s">
        <v>507</v>
      </c>
      <c r="B383" s="84">
        <v>1023386190</v>
      </c>
      <c r="C383" s="85">
        <v>3</v>
      </c>
      <c r="D383" s="85">
        <v>2023</v>
      </c>
      <c r="E383" s="151">
        <v>100156</v>
      </c>
      <c r="F383" s="86" t="s">
        <v>351</v>
      </c>
      <c r="G383" s="85"/>
      <c r="H383" s="85"/>
      <c r="I383" s="151"/>
      <c r="J383" s="86" t="s">
        <v>351</v>
      </c>
      <c r="K383" s="85"/>
      <c r="L383" s="85"/>
      <c r="M383" s="151"/>
      <c r="N383" s="86" t="s">
        <v>351</v>
      </c>
      <c r="O383" s="85"/>
      <c r="P383" s="85"/>
      <c r="Q383" s="151"/>
      <c r="R383" s="86" t="s">
        <v>351</v>
      </c>
      <c r="S383" s="85"/>
      <c r="T383" s="85"/>
      <c r="U383" s="151"/>
      <c r="V383" s="86" t="s">
        <v>351</v>
      </c>
      <c r="W383" s="85"/>
      <c r="X383" s="85"/>
      <c r="Y383" s="151"/>
      <c r="Z383" s="86" t="s">
        <v>351</v>
      </c>
      <c r="AA383" s="85"/>
      <c r="AB383" s="85"/>
      <c r="AC383" s="151"/>
      <c r="AD383" t="s">
        <v>351</v>
      </c>
      <c r="AE383" s="85"/>
      <c r="AF383" s="85"/>
      <c r="AG383" s="151" t="s">
        <v>596</v>
      </c>
    </row>
    <row r="384" spans="1:33" x14ac:dyDescent="0.25">
      <c r="A384" s="84" t="s">
        <v>508</v>
      </c>
      <c r="B384" s="84">
        <v>1154369841</v>
      </c>
      <c r="C384" s="85">
        <v>3</v>
      </c>
      <c r="D384" s="85">
        <v>2016</v>
      </c>
      <c r="E384" s="151">
        <v>40585</v>
      </c>
      <c r="F384" s="86" t="s">
        <v>351</v>
      </c>
      <c r="G384" s="85">
        <v>3</v>
      </c>
      <c r="H384" s="85">
        <v>2018</v>
      </c>
      <c r="I384" s="151">
        <v>94699</v>
      </c>
      <c r="J384" s="86" t="s">
        <v>351</v>
      </c>
      <c r="K384" s="85">
        <v>3</v>
      </c>
      <c r="L384" s="85">
        <v>2020</v>
      </c>
      <c r="M384" s="151">
        <v>51908</v>
      </c>
      <c r="N384" s="86" t="s">
        <v>351</v>
      </c>
      <c r="O384" s="85">
        <v>3</v>
      </c>
      <c r="P384" s="85">
        <v>2021</v>
      </c>
      <c r="Q384" s="151">
        <v>61996</v>
      </c>
      <c r="R384" s="86" t="s">
        <v>351</v>
      </c>
      <c r="S384" s="85">
        <v>3</v>
      </c>
      <c r="T384" s="85">
        <v>2022</v>
      </c>
      <c r="U384" s="151">
        <v>98982</v>
      </c>
      <c r="V384" s="86" t="s">
        <v>351</v>
      </c>
      <c r="W384" s="85">
        <v>3</v>
      </c>
      <c r="X384" s="85">
        <v>2023</v>
      </c>
      <c r="Y384" s="151">
        <v>88408</v>
      </c>
      <c r="Z384" s="86" t="s">
        <v>351</v>
      </c>
      <c r="AA384" s="85"/>
      <c r="AB384" s="85"/>
      <c r="AC384" s="151"/>
      <c r="AD384" t="s">
        <v>351</v>
      </c>
      <c r="AE384" s="85"/>
      <c r="AF384" s="85"/>
      <c r="AG384" s="151" t="s">
        <v>596</v>
      </c>
    </row>
    <row r="385" spans="1:33" x14ac:dyDescent="0.25">
      <c r="A385" s="84" t="s">
        <v>331</v>
      </c>
      <c r="B385" s="84">
        <v>1639153919</v>
      </c>
      <c r="C385" s="85">
        <v>3</v>
      </c>
      <c r="D385" s="85">
        <v>2016</v>
      </c>
      <c r="E385" s="151">
        <v>42469</v>
      </c>
      <c r="F385" s="86" t="s">
        <v>351</v>
      </c>
      <c r="G385" s="85">
        <v>3</v>
      </c>
      <c r="H385" s="85">
        <v>2017</v>
      </c>
      <c r="I385" s="151">
        <v>54361</v>
      </c>
      <c r="J385" s="86" t="s">
        <v>351</v>
      </c>
      <c r="K385" s="85">
        <v>3</v>
      </c>
      <c r="L385" s="85">
        <v>2018</v>
      </c>
      <c r="M385" s="151">
        <v>58672</v>
      </c>
      <c r="N385" s="86" t="s">
        <v>351</v>
      </c>
      <c r="O385" s="85">
        <v>3</v>
      </c>
      <c r="P385" s="85">
        <v>2019</v>
      </c>
      <c r="Q385" s="151">
        <v>47012</v>
      </c>
      <c r="R385" s="86" t="s">
        <v>351</v>
      </c>
      <c r="S385" s="85">
        <v>3</v>
      </c>
      <c r="T385" s="85">
        <v>2020</v>
      </c>
      <c r="U385" s="151">
        <v>32219</v>
      </c>
      <c r="V385" s="86" t="s">
        <v>351</v>
      </c>
      <c r="W385" s="85">
        <v>3</v>
      </c>
      <c r="X385" s="85">
        <v>2022</v>
      </c>
      <c r="Y385" s="151">
        <v>55184</v>
      </c>
      <c r="Z385" s="86" t="s">
        <v>351</v>
      </c>
      <c r="AA385" s="85">
        <v>3</v>
      </c>
      <c r="AB385" s="85">
        <v>2023</v>
      </c>
      <c r="AC385" s="151">
        <v>92117</v>
      </c>
      <c r="AD385" t="s">
        <v>351</v>
      </c>
      <c r="AE385" s="85"/>
      <c r="AF385" s="85"/>
      <c r="AG385" s="151" t="s">
        <v>596</v>
      </c>
    </row>
    <row r="386" spans="1:33" x14ac:dyDescent="0.25">
      <c r="A386" s="87" t="s">
        <v>332</v>
      </c>
      <c r="B386" s="84">
        <v>1043314602</v>
      </c>
      <c r="C386" s="85">
        <v>3</v>
      </c>
      <c r="D386" s="85">
        <v>2017</v>
      </c>
      <c r="E386" s="151">
        <v>135625</v>
      </c>
      <c r="F386" s="86" t="s">
        <v>351</v>
      </c>
      <c r="G386" s="85">
        <v>3</v>
      </c>
      <c r="H386" s="85">
        <v>2018</v>
      </c>
      <c r="I386" s="151">
        <v>432063</v>
      </c>
      <c r="J386" s="86" t="s">
        <v>351</v>
      </c>
      <c r="K386" s="85">
        <v>3</v>
      </c>
      <c r="L386" s="85">
        <v>2021</v>
      </c>
      <c r="M386" s="151">
        <v>244839</v>
      </c>
      <c r="N386" s="86" t="s">
        <v>351</v>
      </c>
      <c r="O386" s="85">
        <v>3</v>
      </c>
      <c r="P386" s="85">
        <v>2022</v>
      </c>
      <c r="Q386" s="151">
        <v>174413</v>
      </c>
      <c r="R386" s="86" t="s">
        <v>351</v>
      </c>
      <c r="S386" s="85">
        <v>3</v>
      </c>
      <c r="T386" s="85">
        <v>2023</v>
      </c>
      <c r="U386" s="151">
        <v>509572</v>
      </c>
      <c r="V386" s="86" t="s">
        <v>351</v>
      </c>
      <c r="W386" s="85"/>
      <c r="X386" s="85"/>
      <c r="Y386" s="151"/>
      <c r="Z386" s="86" t="s">
        <v>351</v>
      </c>
      <c r="AA386" s="85"/>
      <c r="AB386" s="85"/>
      <c r="AC386" s="151"/>
      <c r="AD386" t="s">
        <v>351</v>
      </c>
      <c r="AE386" s="85"/>
      <c r="AF386" s="85"/>
      <c r="AG386" s="151" t="s">
        <v>596</v>
      </c>
    </row>
    <row r="387" spans="1:33" x14ac:dyDescent="0.25">
      <c r="A387" s="84" t="s">
        <v>509</v>
      </c>
      <c r="B387" s="84">
        <v>1891740544</v>
      </c>
      <c r="C387" s="85">
        <v>3</v>
      </c>
      <c r="D387" s="85">
        <v>2019</v>
      </c>
      <c r="E387" s="151">
        <v>80421</v>
      </c>
      <c r="F387" s="86" t="s">
        <v>351</v>
      </c>
      <c r="G387" s="85">
        <v>3</v>
      </c>
      <c r="H387" s="85">
        <v>2021</v>
      </c>
      <c r="I387" s="151">
        <v>50912</v>
      </c>
      <c r="J387" s="86" t="s">
        <v>351</v>
      </c>
      <c r="K387" s="85" t="s">
        <v>596</v>
      </c>
      <c r="L387" s="85" t="s">
        <v>596</v>
      </c>
      <c r="M387" s="151"/>
      <c r="N387" s="86" t="s">
        <v>351</v>
      </c>
      <c r="O387" s="85"/>
      <c r="P387" s="85"/>
      <c r="Q387" s="151"/>
      <c r="R387" s="86" t="s">
        <v>351</v>
      </c>
      <c r="S387" s="85"/>
      <c r="T387" s="85"/>
      <c r="U387" s="151"/>
      <c r="V387" s="86" t="s">
        <v>351</v>
      </c>
      <c r="W387" s="85"/>
      <c r="X387" s="85"/>
      <c r="Y387" s="151"/>
      <c r="Z387" s="86" t="s">
        <v>351</v>
      </c>
      <c r="AA387" s="85"/>
      <c r="AB387" s="85"/>
      <c r="AC387" s="151"/>
      <c r="AD387" t="s">
        <v>351</v>
      </c>
      <c r="AE387" s="85"/>
      <c r="AF387" s="85"/>
      <c r="AG387" s="151"/>
    </row>
    <row r="388" spans="1:33" x14ac:dyDescent="0.25">
      <c r="A388" s="87" t="s">
        <v>333</v>
      </c>
      <c r="B388" s="84">
        <v>1700821865</v>
      </c>
      <c r="C388" s="85">
        <v>3</v>
      </c>
      <c r="D388" s="85">
        <v>2017</v>
      </c>
      <c r="E388" s="151">
        <v>58596</v>
      </c>
      <c r="F388" s="86" t="s">
        <v>351</v>
      </c>
      <c r="G388" s="85">
        <v>3</v>
      </c>
      <c r="H388" s="85">
        <v>2018</v>
      </c>
      <c r="I388" s="151">
        <v>53896</v>
      </c>
      <c r="J388" s="86" t="s">
        <v>351</v>
      </c>
      <c r="K388" s="85">
        <v>3</v>
      </c>
      <c r="L388" s="85">
        <v>2021</v>
      </c>
      <c r="M388" s="151">
        <v>81032</v>
      </c>
      <c r="N388" s="86" t="s">
        <v>351</v>
      </c>
      <c r="O388" s="85">
        <v>3</v>
      </c>
      <c r="P388" s="85">
        <v>2023</v>
      </c>
      <c r="Q388" s="151">
        <v>59648</v>
      </c>
      <c r="R388" s="86" t="s">
        <v>351</v>
      </c>
      <c r="S388" s="85"/>
      <c r="T388" s="85"/>
      <c r="U388" s="151"/>
      <c r="V388" s="86" t="s">
        <v>351</v>
      </c>
      <c r="W388" s="85"/>
      <c r="X388" s="85"/>
      <c r="Y388" s="151"/>
      <c r="Z388" s="86" t="s">
        <v>351</v>
      </c>
      <c r="AA388" s="85"/>
      <c r="AB388" s="85"/>
      <c r="AC388" s="151"/>
      <c r="AD388" t="s">
        <v>351</v>
      </c>
      <c r="AE388" s="85"/>
      <c r="AF388" s="85"/>
      <c r="AG388" s="151" t="s">
        <v>596</v>
      </c>
    </row>
    <row r="389" spans="1:33" x14ac:dyDescent="0.25">
      <c r="A389" s="84" t="s">
        <v>510</v>
      </c>
      <c r="B389" s="84">
        <v>1184650541</v>
      </c>
      <c r="C389" s="85">
        <v>3</v>
      </c>
      <c r="D389" s="85">
        <v>2017</v>
      </c>
      <c r="E389" s="151">
        <v>203573</v>
      </c>
      <c r="F389" s="86" t="s">
        <v>351</v>
      </c>
      <c r="G389" s="85">
        <v>3</v>
      </c>
      <c r="H389" s="85">
        <v>2023</v>
      </c>
      <c r="I389" s="151">
        <v>368445</v>
      </c>
      <c r="J389" s="86" t="s">
        <v>351</v>
      </c>
      <c r="K389" s="85"/>
      <c r="L389" s="85"/>
      <c r="M389" s="151"/>
      <c r="N389" s="86" t="s">
        <v>351</v>
      </c>
      <c r="O389" s="85"/>
      <c r="P389" s="85"/>
      <c r="Q389" s="151"/>
      <c r="R389" s="86" t="s">
        <v>351</v>
      </c>
      <c r="S389" s="85"/>
      <c r="T389" s="85"/>
      <c r="U389" s="151"/>
      <c r="V389" s="86" t="s">
        <v>351</v>
      </c>
      <c r="W389" s="85"/>
      <c r="X389" s="85"/>
      <c r="Y389" s="151"/>
      <c r="Z389" s="86" t="s">
        <v>351</v>
      </c>
      <c r="AA389" s="85"/>
      <c r="AB389" s="85"/>
      <c r="AC389" s="151"/>
      <c r="AD389" t="s">
        <v>351</v>
      </c>
      <c r="AE389" s="85"/>
      <c r="AF389" s="85"/>
      <c r="AG389" s="151" t="s">
        <v>596</v>
      </c>
    </row>
    <row r="390" spans="1:33" x14ac:dyDescent="0.25">
      <c r="A390" s="84" t="s">
        <v>334</v>
      </c>
      <c r="B390" s="84">
        <v>1902853781</v>
      </c>
      <c r="C390" s="85">
        <v>3</v>
      </c>
      <c r="D390" s="85">
        <v>2016</v>
      </c>
      <c r="E390" s="151">
        <v>267359</v>
      </c>
      <c r="F390" s="86" t="s">
        <v>351</v>
      </c>
      <c r="G390" s="85">
        <v>3</v>
      </c>
      <c r="H390" s="85">
        <v>2017</v>
      </c>
      <c r="I390" s="151">
        <v>105007</v>
      </c>
      <c r="J390" s="86" t="s">
        <v>351</v>
      </c>
      <c r="K390" s="85">
        <v>3</v>
      </c>
      <c r="L390" s="85">
        <v>2018</v>
      </c>
      <c r="M390" s="151">
        <v>78733</v>
      </c>
      <c r="N390" s="86" t="s">
        <v>351</v>
      </c>
      <c r="O390" s="85">
        <v>3</v>
      </c>
      <c r="P390" s="85">
        <v>2020</v>
      </c>
      <c r="Q390" s="151">
        <v>95486</v>
      </c>
      <c r="R390" s="86" t="s">
        <v>351</v>
      </c>
      <c r="S390" s="85">
        <v>3</v>
      </c>
      <c r="T390" s="85">
        <v>2021</v>
      </c>
      <c r="U390" s="151">
        <v>130330</v>
      </c>
      <c r="V390" s="86" t="s">
        <v>351</v>
      </c>
      <c r="W390" s="85"/>
      <c r="X390" s="85"/>
      <c r="Y390" s="151"/>
      <c r="Z390" s="86" t="s">
        <v>351</v>
      </c>
      <c r="AA390" s="85"/>
      <c r="AB390" s="85"/>
      <c r="AC390" s="151"/>
      <c r="AD390" t="s">
        <v>351</v>
      </c>
      <c r="AE390" s="85"/>
      <c r="AF390" s="85"/>
      <c r="AG390" s="151"/>
    </row>
    <row r="391" spans="1:33" x14ac:dyDescent="0.25">
      <c r="A391" s="84" t="s">
        <v>335</v>
      </c>
      <c r="B391" s="84">
        <v>1235264219</v>
      </c>
      <c r="C391" s="85">
        <v>3</v>
      </c>
      <c r="D391" s="85">
        <v>2016</v>
      </c>
      <c r="E391" s="151">
        <v>227903</v>
      </c>
      <c r="F391" s="86" t="s">
        <v>351</v>
      </c>
      <c r="G391" s="85">
        <v>3</v>
      </c>
      <c r="H391" s="85">
        <v>2017</v>
      </c>
      <c r="I391" s="151">
        <v>145608</v>
      </c>
      <c r="J391" s="86" t="s">
        <v>351</v>
      </c>
      <c r="K391" s="85">
        <v>3</v>
      </c>
      <c r="L391" s="85">
        <v>2018</v>
      </c>
      <c r="M391" s="151">
        <v>98790</v>
      </c>
      <c r="N391" s="86" t="s">
        <v>351</v>
      </c>
      <c r="O391" s="85">
        <v>3</v>
      </c>
      <c r="P391" s="85">
        <v>2019</v>
      </c>
      <c r="Q391" s="151">
        <v>618173</v>
      </c>
      <c r="R391" s="86" t="s">
        <v>351</v>
      </c>
      <c r="S391" s="85">
        <v>3</v>
      </c>
      <c r="T391" s="85">
        <v>2020</v>
      </c>
      <c r="U391" s="151">
        <v>89068</v>
      </c>
      <c r="V391" s="86" t="s">
        <v>351</v>
      </c>
      <c r="W391" s="85">
        <v>3</v>
      </c>
      <c r="X391" s="85">
        <v>2021</v>
      </c>
      <c r="Y391" s="151">
        <v>115553</v>
      </c>
      <c r="Z391" s="86" t="s">
        <v>351</v>
      </c>
      <c r="AA391" s="85">
        <v>3</v>
      </c>
      <c r="AB391" s="85">
        <v>2022</v>
      </c>
      <c r="AC391" s="151">
        <v>169380</v>
      </c>
      <c r="AD391" t="s">
        <v>351</v>
      </c>
      <c r="AE391" s="85">
        <v>3</v>
      </c>
      <c r="AF391" s="85">
        <v>2023</v>
      </c>
      <c r="AG391" s="151">
        <v>125288</v>
      </c>
    </row>
    <row r="392" spans="1:33" x14ac:dyDescent="0.25">
      <c r="A392" s="87" t="s">
        <v>336</v>
      </c>
      <c r="B392" s="84">
        <v>1366577355</v>
      </c>
      <c r="C392" s="85">
        <v>3</v>
      </c>
      <c r="D392" s="85">
        <v>2016</v>
      </c>
      <c r="E392" s="151">
        <v>293981</v>
      </c>
      <c r="F392" s="86" t="s">
        <v>351</v>
      </c>
      <c r="G392" s="85">
        <v>3</v>
      </c>
      <c r="H392" s="85">
        <v>2017</v>
      </c>
      <c r="I392" s="151">
        <v>276094</v>
      </c>
      <c r="J392" s="86" t="s">
        <v>351</v>
      </c>
      <c r="K392" s="85">
        <v>3</v>
      </c>
      <c r="L392" s="85">
        <v>2018</v>
      </c>
      <c r="M392" s="151">
        <v>376835</v>
      </c>
      <c r="N392" s="86" t="s">
        <v>351</v>
      </c>
      <c r="O392" s="85">
        <v>3</v>
      </c>
      <c r="P392" s="85">
        <v>2019</v>
      </c>
      <c r="Q392" s="151">
        <v>147186</v>
      </c>
      <c r="R392" s="86" t="s">
        <v>351</v>
      </c>
      <c r="S392" s="85">
        <v>3</v>
      </c>
      <c r="T392" s="85">
        <v>2020</v>
      </c>
      <c r="U392" s="151">
        <v>176431</v>
      </c>
      <c r="V392" s="86" t="s">
        <v>351</v>
      </c>
      <c r="W392" s="85">
        <v>3</v>
      </c>
      <c r="X392" s="85">
        <v>2021</v>
      </c>
      <c r="Y392" s="151">
        <v>238626</v>
      </c>
      <c r="Z392" s="86" t="s">
        <v>351</v>
      </c>
      <c r="AA392" s="85">
        <v>3</v>
      </c>
      <c r="AB392" s="85">
        <v>2022</v>
      </c>
      <c r="AC392" s="151">
        <v>311631</v>
      </c>
      <c r="AD392" t="s">
        <v>351</v>
      </c>
      <c r="AE392" s="85">
        <v>3</v>
      </c>
      <c r="AF392" s="85">
        <v>2023</v>
      </c>
      <c r="AG392" s="151">
        <v>262363</v>
      </c>
    </row>
    <row r="393" spans="1:33" x14ac:dyDescent="0.25">
      <c r="A393" s="87" t="s">
        <v>337</v>
      </c>
      <c r="B393" s="84">
        <v>1033244090</v>
      </c>
      <c r="C393" s="85">
        <v>3</v>
      </c>
      <c r="D393" s="85">
        <v>2016</v>
      </c>
      <c r="E393" s="151">
        <v>129521</v>
      </c>
      <c r="F393" s="86" t="s">
        <v>351</v>
      </c>
      <c r="G393" s="85">
        <v>3</v>
      </c>
      <c r="H393" s="85">
        <v>2017</v>
      </c>
      <c r="I393" s="151">
        <v>195624</v>
      </c>
      <c r="J393" s="86" t="s">
        <v>351</v>
      </c>
      <c r="K393" s="85">
        <v>3</v>
      </c>
      <c r="L393" s="85">
        <v>2018</v>
      </c>
      <c r="M393" s="151">
        <v>227969</v>
      </c>
      <c r="N393" s="86" t="s">
        <v>351</v>
      </c>
      <c r="O393" s="85">
        <v>3</v>
      </c>
      <c r="P393" s="85">
        <v>2019</v>
      </c>
      <c r="Q393" s="151">
        <v>336176</v>
      </c>
      <c r="R393" s="86" t="s">
        <v>351</v>
      </c>
      <c r="S393" s="85">
        <v>3</v>
      </c>
      <c r="T393" s="85">
        <v>2020</v>
      </c>
      <c r="U393" s="151">
        <v>172774</v>
      </c>
      <c r="V393" s="86" t="s">
        <v>351</v>
      </c>
      <c r="W393" s="85">
        <v>3</v>
      </c>
      <c r="X393" s="85">
        <v>2021</v>
      </c>
      <c r="Y393" s="151">
        <v>260286</v>
      </c>
      <c r="Z393" s="86" t="s">
        <v>351</v>
      </c>
      <c r="AA393" s="85">
        <v>3</v>
      </c>
      <c r="AB393" s="85">
        <v>2022</v>
      </c>
      <c r="AC393" s="151">
        <v>274889</v>
      </c>
      <c r="AD393" t="s">
        <v>351</v>
      </c>
      <c r="AE393" s="85">
        <v>3</v>
      </c>
      <c r="AF393" s="85">
        <v>2023</v>
      </c>
      <c r="AG393" s="151">
        <v>350605</v>
      </c>
    </row>
    <row r="394" spans="1:33" x14ac:dyDescent="0.25">
      <c r="A394" s="87" t="s">
        <v>338</v>
      </c>
      <c r="B394" s="84">
        <v>1770618720</v>
      </c>
      <c r="C394" s="85">
        <v>3</v>
      </c>
      <c r="D394" s="85">
        <v>2016</v>
      </c>
      <c r="E394" s="151">
        <v>741898</v>
      </c>
      <c r="F394" s="86" t="s">
        <v>351</v>
      </c>
      <c r="G394" s="85">
        <v>3</v>
      </c>
      <c r="H394" s="85">
        <v>2017</v>
      </c>
      <c r="I394" s="151">
        <v>148076</v>
      </c>
      <c r="J394" s="86" t="s">
        <v>351</v>
      </c>
      <c r="K394" s="85">
        <v>3</v>
      </c>
      <c r="L394" s="85">
        <v>2018</v>
      </c>
      <c r="M394" s="151">
        <v>83512</v>
      </c>
      <c r="N394" s="86" t="s">
        <v>351</v>
      </c>
      <c r="O394" s="85">
        <v>3</v>
      </c>
      <c r="P394" s="85">
        <v>2020</v>
      </c>
      <c r="Q394" s="151">
        <v>87099</v>
      </c>
      <c r="R394" s="86" t="s">
        <v>351</v>
      </c>
      <c r="S394" s="85">
        <v>3</v>
      </c>
      <c r="T394" s="85">
        <v>2021</v>
      </c>
      <c r="U394" s="151">
        <v>108218</v>
      </c>
      <c r="V394" s="86" t="s">
        <v>351</v>
      </c>
      <c r="W394" s="85">
        <v>3</v>
      </c>
      <c r="X394" s="85">
        <v>2022</v>
      </c>
      <c r="Y394" s="151">
        <v>336783</v>
      </c>
      <c r="Z394" s="86" t="s">
        <v>351</v>
      </c>
      <c r="AA394" s="85"/>
      <c r="AB394" s="85"/>
      <c r="AC394" s="151"/>
      <c r="AD394" t="s">
        <v>351</v>
      </c>
      <c r="AE394" s="85"/>
      <c r="AF394" s="85"/>
      <c r="AG394" s="151" t="s">
        <v>596</v>
      </c>
    </row>
    <row r="395" spans="1:33" x14ac:dyDescent="0.25">
      <c r="A395" s="84" t="s">
        <v>339</v>
      </c>
      <c r="B395" s="84">
        <v>1356476311</v>
      </c>
      <c r="C395" s="85">
        <v>3</v>
      </c>
      <c r="D395" s="85">
        <v>2016</v>
      </c>
      <c r="E395" s="151">
        <v>289885</v>
      </c>
      <c r="F395" s="86" t="s">
        <v>351</v>
      </c>
      <c r="G395" s="85">
        <v>3</v>
      </c>
      <c r="H395" s="85">
        <v>2017</v>
      </c>
      <c r="I395" s="151">
        <v>141051</v>
      </c>
      <c r="J395" s="86" t="s">
        <v>351</v>
      </c>
      <c r="K395" s="85">
        <v>3</v>
      </c>
      <c r="L395" s="85">
        <v>2018</v>
      </c>
      <c r="M395" s="151">
        <v>68079</v>
      </c>
      <c r="N395" s="86" t="s">
        <v>351</v>
      </c>
      <c r="O395" s="85">
        <v>3</v>
      </c>
      <c r="P395" s="85">
        <v>2019</v>
      </c>
      <c r="Q395" s="151">
        <v>62539</v>
      </c>
      <c r="R395" s="86" t="s">
        <v>351</v>
      </c>
      <c r="S395" s="85">
        <v>3</v>
      </c>
      <c r="T395" s="85">
        <v>2020</v>
      </c>
      <c r="U395" s="151">
        <v>111192</v>
      </c>
      <c r="V395" s="86" t="s">
        <v>351</v>
      </c>
      <c r="W395" s="85">
        <v>3</v>
      </c>
      <c r="X395" s="85">
        <v>2021</v>
      </c>
      <c r="Y395" s="151">
        <v>735855</v>
      </c>
      <c r="Z395" s="86" t="s">
        <v>351</v>
      </c>
      <c r="AA395" s="85">
        <v>3</v>
      </c>
      <c r="AB395" s="85">
        <v>2022</v>
      </c>
      <c r="AC395" s="151">
        <v>128910</v>
      </c>
      <c r="AD395" t="s">
        <v>351</v>
      </c>
      <c r="AE395" s="85">
        <v>3</v>
      </c>
      <c r="AF395" s="85">
        <v>2023</v>
      </c>
      <c r="AG395" s="151">
        <v>75534</v>
      </c>
    </row>
    <row r="396" spans="1:33" x14ac:dyDescent="0.25">
      <c r="A396" s="87" t="s">
        <v>511</v>
      </c>
      <c r="B396" s="84">
        <v>1124342241</v>
      </c>
      <c r="C396" s="85">
        <v>3</v>
      </c>
      <c r="D396" s="85">
        <v>2016</v>
      </c>
      <c r="E396" s="151">
        <v>64105</v>
      </c>
      <c r="F396" s="86" t="s">
        <v>351</v>
      </c>
      <c r="G396" s="85">
        <v>3</v>
      </c>
      <c r="H396" s="85">
        <v>2018</v>
      </c>
      <c r="I396" s="151">
        <v>98930</v>
      </c>
      <c r="J396" s="86" t="s">
        <v>351</v>
      </c>
      <c r="K396" s="85">
        <v>3</v>
      </c>
      <c r="L396" s="85">
        <v>2019</v>
      </c>
      <c r="M396" s="151">
        <v>89527</v>
      </c>
      <c r="N396" s="86" t="s">
        <v>351</v>
      </c>
      <c r="O396" s="85">
        <v>3</v>
      </c>
      <c r="P396" s="85">
        <v>2020</v>
      </c>
      <c r="Q396" s="151">
        <v>80651</v>
      </c>
      <c r="R396" s="86" t="s">
        <v>351</v>
      </c>
      <c r="S396" s="85">
        <v>3</v>
      </c>
      <c r="T396" s="85">
        <v>2021</v>
      </c>
      <c r="U396" s="151">
        <v>119719</v>
      </c>
      <c r="V396" s="86" t="s">
        <v>351</v>
      </c>
      <c r="W396" s="85">
        <v>3</v>
      </c>
      <c r="X396" s="85">
        <v>2022</v>
      </c>
      <c r="Y396" s="151">
        <v>152061</v>
      </c>
      <c r="Z396" s="86" t="s">
        <v>351</v>
      </c>
      <c r="AA396" s="85"/>
      <c r="AB396" s="85"/>
      <c r="AC396" s="151"/>
      <c r="AD396" t="s">
        <v>351</v>
      </c>
      <c r="AE396" s="85"/>
      <c r="AF396" s="85"/>
      <c r="AG396" s="151"/>
    </row>
    <row r="397" spans="1:33" x14ac:dyDescent="0.25">
      <c r="A397" s="87" t="s">
        <v>512</v>
      </c>
      <c r="B397" s="84">
        <v>1548230188</v>
      </c>
      <c r="C397" s="85"/>
      <c r="D397" s="85"/>
      <c r="E397" s="151"/>
      <c r="F397" s="86" t="s">
        <v>351</v>
      </c>
      <c r="G397" s="85"/>
      <c r="H397" s="85"/>
      <c r="I397" s="151"/>
      <c r="J397" s="86" t="s">
        <v>351</v>
      </c>
      <c r="K397" s="85"/>
      <c r="L397" s="85"/>
      <c r="M397" s="151"/>
      <c r="N397" s="86" t="s">
        <v>351</v>
      </c>
      <c r="O397" s="85"/>
      <c r="P397" s="85"/>
      <c r="Q397" s="151"/>
      <c r="R397" s="86" t="s">
        <v>351</v>
      </c>
      <c r="S397" s="85"/>
      <c r="T397" s="85"/>
      <c r="U397" s="151"/>
      <c r="V397" s="86" t="s">
        <v>351</v>
      </c>
      <c r="W397" s="85"/>
      <c r="X397" s="85"/>
      <c r="Y397" s="151"/>
      <c r="Z397" s="86" t="s">
        <v>351</v>
      </c>
      <c r="AA397" s="85"/>
      <c r="AB397" s="85"/>
      <c r="AC397" s="151"/>
      <c r="AD397" t="s">
        <v>351</v>
      </c>
      <c r="AE397" s="85"/>
      <c r="AF397" s="85"/>
      <c r="AG397" s="151"/>
    </row>
    <row r="398" spans="1:33" x14ac:dyDescent="0.25">
      <c r="A398" s="87" t="s">
        <v>340</v>
      </c>
      <c r="B398" s="84">
        <v>1528606225</v>
      </c>
      <c r="C398" s="85">
        <v>3</v>
      </c>
      <c r="D398" s="85">
        <v>2016</v>
      </c>
      <c r="E398" s="151">
        <v>157077</v>
      </c>
      <c r="F398" s="86" t="s">
        <v>351</v>
      </c>
      <c r="G398" s="85">
        <v>3</v>
      </c>
      <c r="H398" s="85">
        <v>2020</v>
      </c>
      <c r="I398" s="151">
        <v>114755</v>
      </c>
      <c r="J398" s="86" t="s">
        <v>351</v>
      </c>
      <c r="K398" s="85">
        <v>3</v>
      </c>
      <c r="L398" s="85">
        <v>2021</v>
      </c>
      <c r="M398" s="151">
        <v>67622</v>
      </c>
      <c r="N398" s="86" t="s">
        <v>351</v>
      </c>
      <c r="O398" s="85">
        <v>3</v>
      </c>
      <c r="P398" s="85">
        <v>2022</v>
      </c>
      <c r="Q398" s="151">
        <v>283119</v>
      </c>
      <c r="R398" s="86" t="s">
        <v>351</v>
      </c>
      <c r="S398" s="85">
        <v>3</v>
      </c>
      <c r="T398" s="85">
        <v>2023</v>
      </c>
      <c r="U398" s="151">
        <v>200505</v>
      </c>
      <c r="V398" s="86" t="s">
        <v>351</v>
      </c>
      <c r="W398" s="85"/>
      <c r="X398" s="85"/>
      <c r="Y398" s="151"/>
      <c r="Z398" s="86" t="s">
        <v>351</v>
      </c>
      <c r="AA398" s="85"/>
      <c r="AB398" s="85"/>
      <c r="AC398" s="151"/>
      <c r="AD398" t="s">
        <v>351</v>
      </c>
      <c r="AE398" s="85"/>
      <c r="AF398" s="85"/>
      <c r="AG398" s="151" t="s">
        <v>596</v>
      </c>
    </row>
    <row r="399" spans="1:33" x14ac:dyDescent="0.25">
      <c r="A399" s="84" t="s">
        <v>513</v>
      </c>
      <c r="B399" s="84">
        <v>1508802497</v>
      </c>
      <c r="C399" s="85">
        <v>3</v>
      </c>
      <c r="D399" s="85">
        <v>2023</v>
      </c>
      <c r="E399" s="151">
        <v>492533</v>
      </c>
      <c r="F399" s="86" t="s">
        <v>351</v>
      </c>
      <c r="G399" s="85"/>
      <c r="H399" s="85"/>
      <c r="I399" s="151"/>
      <c r="J399" s="86" t="s">
        <v>351</v>
      </c>
      <c r="K399" s="85"/>
      <c r="L399" s="85"/>
      <c r="M399" s="151"/>
      <c r="N399" s="86" t="s">
        <v>351</v>
      </c>
      <c r="O399" s="85"/>
      <c r="P399" s="85"/>
      <c r="Q399" s="151"/>
      <c r="R399" s="86" t="s">
        <v>351</v>
      </c>
      <c r="S399" s="85"/>
      <c r="T399" s="85"/>
      <c r="U399" s="151"/>
      <c r="V399" s="86" t="s">
        <v>351</v>
      </c>
      <c r="W399" s="85"/>
      <c r="X399" s="85"/>
      <c r="Y399" s="151"/>
      <c r="Z399" s="86" t="s">
        <v>351</v>
      </c>
      <c r="AA399" s="85"/>
      <c r="AB399" s="85"/>
      <c r="AC399" s="151"/>
      <c r="AD399" t="s">
        <v>351</v>
      </c>
      <c r="AE399" s="85"/>
      <c r="AF399" s="85"/>
      <c r="AG399" s="151" t="s">
        <v>596</v>
      </c>
    </row>
    <row r="400" spans="1:33" x14ac:dyDescent="0.25">
      <c r="A400" s="84" t="s">
        <v>341</v>
      </c>
      <c r="B400" s="84">
        <v>1629425491</v>
      </c>
      <c r="C400" s="85">
        <v>1</v>
      </c>
      <c r="D400" s="85">
        <v>2019</v>
      </c>
      <c r="E400" s="151">
        <v>-14</v>
      </c>
      <c r="F400" s="86" t="s">
        <v>351</v>
      </c>
      <c r="G400" s="85">
        <v>3</v>
      </c>
      <c r="H400" s="85">
        <v>2023</v>
      </c>
      <c r="I400" s="151">
        <v>757462</v>
      </c>
      <c r="J400" s="86" t="s">
        <v>351</v>
      </c>
      <c r="K400" s="85"/>
      <c r="L400" s="85"/>
      <c r="M400" s="151"/>
      <c r="N400" s="86" t="s">
        <v>351</v>
      </c>
      <c r="O400" s="85"/>
      <c r="P400" s="85"/>
      <c r="Q400" s="151"/>
      <c r="R400" s="86" t="s">
        <v>351</v>
      </c>
      <c r="S400" s="85"/>
      <c r="T400" s="85"/>
      <c r="U400" s="151"/>
      <c r="V400" s="86" t="s">
        <v>351</v>
      </c>
      <c r="W400" s="85"/>
      <c r="X400" s="85"/>
      <c r="Y400" s="151"/>
      <c r="Z400" s="86" t="s">
        <v>351</v>
      </c>
      <c r="AA400" s="85"/>
      <c r="AB400" s="85"/>
      <c r="AC400" s="151"/>
      <c r="AD400" t="s">
        <v>351</v>
      </c>
      <c r="AE400" s="85"/>
      <c r="AF400" s="85"/>
      <c r="AG400" s="151" t="s">
        <v>596</v>
      </c>
    </row>
    <row r="401" spans="1:33" x14ac:dyDescent="0.25">
      <c r="A401" s="84" t="s">
        <v>342</v>
      </c>
      <c r="B401" s="84">
        <v>1629016340</v>
      </c>
      <c r="C401" s="85">
        <v>3</v>
      </c>
      <c r="D401" s="85">
        <v>2017</v>
      </c>
      <c r="E401" s="151">
        <v>44210</v>
      </c>
      <c r="F401" s="86" t="s">
        <v>351</v>
      </c>
      <c r="G401" s="85">
        <v>3</v>
      </c>
      <c r="H401" s="85">
        <v>2021</v>
      </c>
      <c r="I401" s="151">
        <v>51375</v>
      </c>
      <c r="J401" s="86" t="s">
        <v>351</v>
      </c>
      <c r="K401" s="85">
        <v>3</v>
      </c>
      <c r="L401" s="85">
        <v>2023</v>
      </c>
      <c r="M401" s="151">
        <v>56268</v>
      </c>
      <c r="N401" s="86" t="s">
        <v>351</v>
      </c>
      <c r="O401" s="85"/>
      <c r="P401" s="85"/>
      <c r="Q401" s="151"/>
      <c r="R401" s="86" t="s">
        <v>351</v>
      </c>
      <c r="S401" s="85"/>
      <c r="T401" s="85"/>
      <c r="U401" s="151"/>
      <c r="V401" s="86" t="s">
        <v>351</v>
      </c>
      <c r="W401" s="85"/>
      <c r="X401" s="85"/>
      <c r="Y401" s="151"/>
      <c r="Z401" s="86" t="s">
        <v>351</v>
      </c>
      <c r="AA401" s="85"/>
      <c r="AB401" s="85"/>
      <c r="AC401" s="151"/>
      <c r="AD401" t="s">
        <v>351</v>
      </c>
      <c r="AE401" s="85"/>
      <c r="AF401" s="85"/>
      <c r="AG401" s="151" t="s">
        <v>596</v>
      </c>
    </row>
    <row r="402" spans="1:33" x14ac:dyDescent="0.25">
      <c r="A402" s="84" t="s">
        <v>343</v>
      </c>
      <c r="B402" s="84">
        <v>1215979059</v>
      </c>
      <c r="C402" s="85">
        <v>3</v>
      </c>
      <c r="D402" s="85">
        <v>2016</v>
      </c>
      <c r="E402" s="151">
        <v>487980</v>
      </c>
      <c r="F402" s="86" t="s">
        <v>351</v>
      </c>
      <c r="G402" s="85">
        <v>3</v>
      </c>
      <c r="H402" s="85">
        <v>2018</v>
      </c>
      <c r="I402" s="151">
        <v>113861</v>
      </c>
      <c r="J402" s="86" t="s">
        <v>351</v>
      </c>
      <c r="K402" s="85">
        <v>3</v>
      </c>
      <c r="L402" s="85">
        <v>2020</v>
      </c>
      <c r="M402" s="151">
        <v>102873</v>
      </c>
      <c r="N402" s="86" t="s">
        <v>351</v>
      </c>
      <c r="O402" s="85">
        <v>3</v>
      </c>
      <c r="P402" s="85">
        <v>2021</v>
      </c>
      <c r="Q402" s="151">
        <v>51890</v>
      </c>
      <c r="R402" s="86" t="s">
        <v>351</v>
      </c>
      <c r="S402" s="85"/>
      <c r="T402" s="85"/>
      <c r="U402" s="151"/>
      <c r="V402" s="86" t="s">
        <v>351</v>
      </c>
      <c r="W402" s="85"/>
      <c r="X402" s="85"/>
      <c r="Y402" s="151"/>
      <c r="Z402" s="86" t="s">
        <v>351</v>
      </c>
      <c r="AA402" s="85"/>
      <c r="AB402" s="85"/>
      <c r="AC402" s="151"/>
      <c r="AD402" t="s">
        <v>351</v>
      </c>
      <c r="AE402" s="85"/>
      <c r="AF402" s="85"/>
      <c r="AG402" s="151" t="s">
        <v>596</v>
      </c>
    </row>
    <row r="403" spans="1:33" x14ac:dyDescent="0.25">
      <c r="A403" s="84" t="s">
        <v>589</v>
      </c>
      <c r="B403" s="84">
        <v>1639299571</v>
      </c>
      <c r="C403" s="85">
        <v>3</v>
      </c>
      <c r="D403" s="85">
        <v>2016</v>
      </c>
      <c r="E403" s="151">
        <v>146870</v>
      </c>
      <c r="F403" s="86" t="s">
        <v>351</v>
      </c>
      <c r="G403" s="85">
        <v>3</v>
      </c>
      <c r="H403" s="85">
        <v>2017</v>
      </c>
      <c r="I403" s="151">
        <v>82593.22</v>
      </c>
      <c r="J403" s="86" t="s">
        <v>351</v>
      </c>
      <c r="K403" s="85">
        <v>3</v>
      </c>
      <c r="L403" s="85">
        <v>2020</v>
      </c>
      <c r="M403" s="151">
        <v>227234</v>
      </c>
      <c r="N403" s="86" t="s">
        <v>351</v>
      </c>
      <c r="O403" s="85">
        <v>3</v>
      </c>
      <c r="P403" s="85">
        <v>2021</v>
      </c>
      <c r="Q403" s="151">
        <v>228983</v>
      </c>
      <c r="R403" s="86" t="s">
        <v>351</v>
      </c>
      <c r="S403" s="85">
        <v>3</v>
      </c>
      <c r="T403" s="85">
        <v>2023</v>
      </c>
      <c r="U403" s="151">
        <v>133917</v>
      </c>
      <c r="V403" s="86" t="s">
        <v>351</v>
      </c>
      <c r="W403" s="85"/>
      <c r="X403" s="85"/>
      <c r="Y403" s="151"/>
      <c r="Z403" s="86" t="s">
        <v>351</v>
      </c>
      <c r="AA403" s="85"/>
      <c r="AB403" s="85"/>
      <c r="AC403" s="151"/>
      <c r="AD403" t="s">
        <v>351</v>
      </c>
      <c r="AE403" s="85"/>
      <c r="AF403" s="85"/>
      <c r="AG403" s="151" t="s">
        <v>596</v>
      </c>
    </row>
    <row r="404" spans="1:33" x14ac:dyDescent="0.25">
      <c r="A404" s="84" t="s">
        <v>514</v>
      </c>
      <c r="B404" s="84">
        <v>1700812146</v>
      </c>
      <c r="C404" s="85"/>
      <c r="D404" s="85"/>
      <c r="E404" s="151"/>
      <c r="F404" s="86" t="s">
        <v>351</v>
      </c>
      <c r="G404" s="85"/>
      <c r="H404" s="85"/>
      <c r="I404" s="151"/>
      <c r="J404" s="86" t="s">
        <v>351</v>
      </c>
      <c r="K404" s="85"/>
      <c r="L404" s="85"/>
      <c r="M404" s="151"/>
      <c r="N404" s="86" t="s">
        <v>351</v>
      </c>
      <c r="O404" s="85"/>
      <c r="P404" s="85"/>
      <c r="Q404" s="151"/>
      <c r="R404" s="86" t="s">
        <v>351</v>
      </c>
      <c r="S404" s="85"/>
      <c r="T404" s="85"/>
      <c r="U404" s="151"/>
      <c r="V404" s="86" t="s">
        <v>351</v>
      </c>
      <c r="W404" s="85"/>
      <c r="X404" s="85"/>
      <c r="Y404" s="151"/>
      <c r="Z404" s="86" t="s">
        <v>351</v>
      </c>
      <c r="AA404" s="85"/>
      <c r="AB404" s="85"/>
      <c r="AC404" s="151"/>
      <c r="AD404" t="s">
        <v>351</v>
      </c>
      <c r="AE404" s="85"/>
      <c r="AF404" s="85"/>
      <c r="AG404" s="151"/>
    </row>
    <row r="405" spans="1:33" x14ac:dyDescent="0.25">
      <c r="A405" s="96" t="s">
        <v>515</v>
      </c>
      <c r="B405" s="84">
        <v>1750703278</v>
      </c>
      <c r="C405" s="85"/>
      <c r="D405" s="85"/>
      <c r="E405" s="151"/>
      <c r="F405" s="86" t="s">
        <v>351</v>
      </c>
      <c r="G405" s="85"/>
      <c r="H405" s="85"/>
      <c r="I405" s="151"/>
      <c r="J405" s="86" t="s">
        <v>351</v>
      </c>
      <c r="K405" s="85"/>
      <c r="L405" s="85"/>
      <c r="M405" s="151"/>
      <c r="N405" s="86" t="s">
        <v>351</v>
      </c>
      <c r="O405" s="85"/>
      <c r="P405" s="85"/>
      <c r="Q405" s="151"/>
      <c r="R405" s="86" t="s">
        <v>351</v>
      </c>
      <c r="S405" s="85"/>
      <c r="T405" s="85"/>
      <c r="U405" s="151"/>
      <c r="V405" s="86" t="s">
        <v>351</v>
      </c>
      <c r="W405" s="85"/>
      <c r="X405" s="85"/>
      <c r="Y405" s="151"/>
      <c r="Z405" s="86" t="s">
        <v>351</v>
      </c>
      <c r="AA405" s="85"/>
      <c r="AB405" s="85"/>
      <c r="AC405" s="151"/>
      <c r="AD405" t="s">
        <v>351</v>
      </c>
      <c r="AE405" s="85"/>
      <c r="AF405" s="85"/>
      <c r="AG405" s="151"/>
    </row>
    <row r="406" spans="1:33" x14ac:dyDescent="0.25">
      <c r="A406" s="84" t="s">
        <v>344</v>
      </c>
      <c r="B406" s="84">
        <v>1992793962</v>
      </c>
      <c r="C406" s="85">
        <v>3</v>
      </c>
      <c r="D406" s="85">
        <v>2023</v>
      </c>
      <c r="E406" s="151">
        <v>435870</v>
      </c>
      <c r="F406" s="86" t="s">
        <v>351</v>
      </c>
      <c r="G406" s="85"/>
      <c r="H406" s="85"/>
      <c r="I406" s="151"/>
      <c r="J406" s="86" t="s">
        <v>351</v>
      </c>
      <c r="K406" s="85"/>
      <c r="L406" s="85"/>
      <c r="M406" s="151"/>
      <c r="N406" s="86" t="s">
        <v>351</v>
      </c>
      <c r="O406" s="85"/>
      <c r="P406" s="85"/>
      <c r="Q406" s="151"/>
      <c r="R406" s="86" t="s">
        <v>351</v>
      </c>
      <c r="S406" s="85"/>
      <c r="T406" s="85"/>
      <c r="U406" s="151"/>
      <c r="V406" s="86" t="s">
        <v>351</v>
      </c>
      <c r="W406" s="85"/>
      <c r="X406" s="85"/>
      <c r="Y406" s="151"/>
      <c r="Z406" s="86" t="s">
        <v>351</v>
      </c>
      <c r="AA406" s="85"/>
      <c r="AB406" s="85"/>
      <c r="AC406" s="151"/>
      <c r="AD406" t="s">
        <v>351</v>
      </c>
      <c r="AE406" s="85"/>
      <c r="AF406" s="85"/>
      <c r="AG406" s="151" t="s">
        <v>596</v>
      </c>
    </row>
    <row r="407" spans="1:33" x14ac:dyDescent="0.25">
      <c r="A407" s="84" t="s">
        <v>516</v>
      </c>
      <c r="B407" s="84">
        <v>1528040888</v>
      </c>
      <c r="C407" s="85"/>
      <c r="D407" s="85"/>
      <c r="E407" s="151"/>
      <c r="F407" s="86" t="s">
        <v>351</v>
      </c>
      <c r="G407" s="85"/>
      <c r="H407" s="85"/>
      <c r="I407" s="151"/>
      <c r="J407" s="86" t="s">
        <v>351</v>
      </c>
      <c r="K407" s="85"/>
      <c r="L407" s="85"/>
      <c r="M407" s="151"/>
      <c r="N407" s="86" t="s">
        <v>351</v>
      </c>
      <c r="O407" s="85"/>
      <c r="P407" s="85"/>
      <c r="Q407" s="151"/>
      <c r="R407" s="86" t="s">
        <v>351</v>
      </c>
      <c r="S407" s="85"/>
      <c r="T407" s="85"/>
      <c r="U407" s="151"/>
      <c r="V407" s="86" t="s">
        <v>351</v>
      </c>
      <c r="W407" s="85"/>
      <c r="X407" s="85"/>
      <c r="Y407" s="151"/>
      <c r="Z407" s="86" t="s">
        <v>351</v>
      </c>
      <c r="AA407" s="85"/>
      <c r="AB407" s="85"/>
      <c r="AC407" s="151"/>
      <c r="AD407" t="s">
        <v>351</v>
      </c>
      <c r="AE407" s="85"/>
      <c r="AF407" s="85"/>
      <c r="AG407" s="151"/>
    </row>
    <row r="408" spans="1:33" x14ac:dyDescent="0.25">
      <c r="A408" s="84" t="s">
        <v>795</v>
      </c>
      <c r="B408" s="84">
        <v>1467016105</v>
      </c>
      <c r="C408" s="85">
        <v>3</v>
      </c>
      <c r="D408" s="85">
        <v>2016</v>
      </c>
      <c r="E408" s="151">
        <v>207936</v>
      </c>
      <c r="F408" s="86" t="s">
        <v>351</v>
      </c>
      <c r="G408" s="85">
        <v>3</v>
      </c>
      <c r="H408" s="85">
        <v>2020</v>
      </c>
      <c r="I408" s="151">
        <v>72587</v>
      </c>
      <c r="J408" s="86" t="s">
        <v>351</v>
      </c>
      <c r="K408" s="85">
        <v>3</v>
      </c>
      <c r="L408" s="85">
        <v>2021</v>
      </c>
      <c r="M408" s="151">
        <v>75474</v>
      </c>
      <c r="N408" s="86" t="s">
        <v>351</v>
      </c>
      <c r="O408" s="85">
        <v>3</v>
      </c>
      <c r="P408" s="85">
        <v>2023</v>
      </c>
      <c r="Q408" s="151">
        <v>101276</v>
      </c>
      <c r="R408" s="86" t="s">
        <v>351</v>
      </c>
      <c r="S408" s="85"/>
      <c r="T408" s="85"/>
      <c r="U408" s="151"/>
      <c r="V408" s="86" t="s">
        <v>351</v>
      </c>
      <c r="W408" s="85"/>
      <c r="X408" s="85"/>
      <c r="Y408" s="151"/>
      <c r="Z408" s="86" t="s">
        <v>351</v>
      </c>
      <c r="AA408" s="85"/>
      <c r="AB408" s="85"/>
      <c r="AC408" s="151"/>
      <c r="AD408" t="s">
        <v>351</v>
      </c>
      <c r="AE408" s="85"/>
      <c r="AF408" s="85"/>
      <c r="AG408" s="151" t="s">
        <v>596</v>
      </c>
    </row>
    <row r="409" spans="1:33" x14ac:dyDescent="0.25">
      <c r="A409" s="87" t="s">
        <v>345</v>
      </c>
      <c r="B409" s="84">
        <v>1023481520</v>
      </c>
      <c r="C409" s="85">
        <v>3</v>
      </c>
      <c r="D409" s="85">
        <v>2017</v>
      </c>
      <c r="E409" s="151">
        <v>200382</v>
      </c>
      <c r="F409" s="86" t="s">
        <v>351</v>
      </c>
      <c r="G409" s="85">
        <v>3</v>
      </c>
      <c r="H409" s="85">
        <v>2019</v>
      </c>
      <c r="I409" s="151">
        <v>132537</v>
      </c>
      <c r="J409" s="86" t="s">
        <v>351</v>
      </c>
      <c r="K409" s="85">
        <v>3</v>
      </c>
      <c r="L409" s="85">
        <v>2022</v>
      </c>
      <c r="M409" s="151">
        <v>114362</v>
      </c>
      <c r="N409" s="86" t="s">
        <v>351</v>
      </c>
      <c r="O409" s="85"/>
      <c r="P409" s="85"/>
      <c r="Q409" s="151"/>
      <c r="R409" s="86" t="s">
        <v>351</v>
      </c>
      <c r="S409" s="85"/>
      <c r="T409" s="85"/>
      <c r="U409" s="151"/>
      <c r="V409" s="86" t="s">
        <v>351</v>
      </c>
      <c r="W409" s="85"/>
      <c r="X409" s="85"/>
      <c r="Y409" s="151"/>
      <c r="Z409" s="86" t="s">
        <v>351</v>
      </c>
      <c r="AA409" s="85"/>
      <c r="AB409" s="85"/>
      <c r="AC409" s="151"/>
      <c r="AD409" t="s">
        <v>351</v>
      </c>
      <c r="AE409" s="85"/>
      <c r="AF409" s="85"/>
      <c r="AG409" s="151"/>
    </row>
    <row r="410" spans="1:33" x14ac:dyDescent="0.25">
      <c r="A410" s="84" t="s">
        <v>346</v>
      </c>
      <c r="B410" s="84">
        <v>1174178313</v>
      </c>
      <c r="C410" s="85">
        <v>3</v>
      </c>
      <c r="D410" s="85">
        <v>2017</v>
      </c>
      <c r="E410" s="151">
        <v>90445</v>
      </c>
      <c r="F410" s="86" t="s">
        <v>351</v>
      </c>
      <c r="G410" s="85">
        <v>3</v>
      </c>
      <c r="H410" s="85">
        <v>2020</v>
      </c>
      <c r="I410" s="151">
        <v>120628</v>
      </c>
      <c r="J410" s="86" t="s">
        <v>351</v>
      </c>
      <c r="K410" s="85">
        <v>3</v>
      </c>
      <c r="L410" s="85">
        <v>2021</v>
      </c>
      <c r="M410" s="151">
        <v>273686</v>
      </c>
      <c r="N410" s="86" t="s">
        <v>351</v>
      </c>
      <c r="O410" s="85"/>
      <c r="P410" s="85"/>
      <c r="Q410" s="151"/>
      <c r="R410" s="86" t="s">
        <v>351</v>
      </c>
      <c r="S410" s="85"/>
      <c r="T410" s="85"/>
      <c r="U410" s="151"/>
      <c r="V410" s="86" t="s">
        <v>351</v>
      </c>
      <c r="W410" s="85"/>
      <c r="X410" s="85"/>
      <c r="Y410" s="151"/>
      <c r="Z410" s="86" t="s">
        <v>351</v>
      </c>
      <c r="AA410" s="85"/>
      <c r="AB410" s="85"/>
      <c r="AC410" s="151"/>
      <c r="AD410" t="s">
        <v>351</v>
      </c>
      <c r="AE410" s="85"/>
      <c r="AF410" s="85"/>
      <c r="AG410" s="151"/>
    </row>
    <row r="411" spans="1:33" x14ac:dyDescent="0.25">
      <c r="A411" s="87" t="s">
        <v>347</v>
      </c>
      <c r="B411" s="84">
        <v>1164848503</v>
      </c>
      <c r="C411" s="85">
        <v>3</v>
      </c>
      <c r="D411" s="85">
        <v>2019</v>
      </c>
      <c r="E411" s="151">
        <v>33631</v>
      </c>
      <c r="F411" s="86" t="s">
        <v>351</v>
      </c>
      <c r="G411" s="85">
        <v>3</v>
      </c>
      <c r="H411" s="85">
        <v>2021</v>
      </c>
      <c r="I411" s="151">
        <v>89329</v>
      </c>
      <c r="J411" s="86" t="s">
        <v>351</v>
      </c>
      <c r="K411" s="85">
        <v>3</v>
      </c>
      <c r="L411" s="85">
        <v>2022</v>
      </c>
      <c r="M411" s="151">
        <v>248388</v>
      </c>
      <c r="N411" s="86" t="s">
        <v>351</v>
      </c>
      <c r="O411" s="85">
        <v>3</v>
      </c>
      <c r="P411" s="85">
        <v>2023</v>
      </c>
      <c r="Q411" s="151">
        <v>87996</v>
      </c>
      <c r="R411" s="86" t="s">
        <v>351</v>
      </c>
      <c r="S411" s="85"/>
      <c r="T411" s="85"/>
      <c r="U411" s="151"/>
      <c r="V411" s="86" t="s">
        <v>351</v>
      </c>
      <c r="W411" s="85"/>
      <c r="X411" s="85"/>
      <c r="Y411" s="151"/>
      <c r="Z411" s="86" t="s">
        <v>351</v>
      </c>
      <c r="AA411" s="85"/>
      <c r="AB411" s="85"/>
      <c r="AC411" s="151"/>
      <c r="AD411" t="s">
        <v>351</v>
      </c>
      <c r="AE411" s="85"/>
      <c r="AF411" s="85"/>
      <c r="AG411" s="15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O86"/>
  <sheetViews>
    <sheetView workbookViewId="0">
      <selection activeCell="E12" sqref="E12"/>
    </sheetView>
  </sheetViews>
  <sheetFormatPr defaultRowHeight="13.2" x14ac:dyDescent="0.25"/>
  <cols>
    <col min="2" max="2" width="12.88671875" style="1" bestFit="1" customWidth="1"/>
    <col min="3" max="3" width="10" bestFit="1" customWidth="1"/>
    <col min="5" max="5" width="17.6640625" style="31" bestFit="1" customWidth="1"/>
    <col min="6" max="6" width="11.44140625" style="31" bestFit="1" customWidth="1"/>
    <col min="7" max="7" width="7.88671875" style="7" bestFit="1" customWidth="1"/>
    <col min="8" max="8" width="8.44140625" style="44" bestFit="1" customWidth="1"/>
    <col min="9" max="9" width="7.88671875" style="44" bestFit="1" customWidth="1"/>
    <col min="10" max="10" width="10.6640625" style="44" bestFit="1" customWidth="1"/>
    <col min="11" max="11" width="7.88671875" style="44" bestFit="1" customWidth="1"/>
    <col min="12" max="12" width="13.5546875" style="44" bestFit="1" customWidth="1"/>
    <col min="14" max="14" width="40.88671875" bestFit="1" customWidth="1"/>
    <col min="15" max="15" width="10" bestFit="1" customWidth="1"/>
  </cols>
  <sheetData>
    <row r="1" spans="1:15" s="2" customFormat="1" x14ac:dyDescent="0.25">
      <c r="A1" s="22" t="s">
        <v>18</v>
      </c>
      <c r="B1" s="23"/>
      <c r="C1" s="39"/>
      <c r="E1" t="s">
        <v>49</v>
      </c>
      <c r="F1" s="31"/>
      <c r="G1" s="7"/>
      <c r="H1" s="44"/>
      <c r="I1" s="44"/>
      <c r="J1" s="44"/>
      <c r="K1" s="44"/>
      <c r="L1" s="44"/>
      <c r="N1" s="31" t="s">
        <v>117</v>
      </c>
      <c r="O1" s="31" t="s">
        <v>118</v>
      </c>
    </row>
    <row r="2" spans="1:15" s="2" customFormat="1" x14ac:dyDescent="0.25">
      <c r="A2" s="24" t="s">
        <v>14</v>
      </c>
      <c r="B2" s="25" t="s">
        <v>0</v>
      </c>
      <c r="C2" s="24" t="s">
        <v>762</v>
      </c>
      <c r="F2" s="38" t="s">
        <v>51</v>
      </c>
      <c r="G2" s="202" t="s">
        <v>50</v>
      </c>
      <c r="H2" s="203" t="s">
        <v>7</v>
      </c>
      <c r="I2" s="203" t="s">
        <v>22</v>
      </c>
      <c r="J2" s="203" t="s">
        <v>1</v>
      </c>
      <c r="K2" s="203" t="s">
        <v>3</v>
      </c>
      <c r="L2" s="203" t="s">
        <v>2</v>
      </c>
      <c r="N2" s="31">
        <v>0</v>
      </c>
      <c r="O2" s="31">
        <v>425</v>
      </c>
    </row>
    <row r="3" spans="1:15" x14ac:dyDescent="0.25">
      <c r="A3" s="26">
        <v>270</v>
      </c>
      <c r="B3" s="27" t="s">
        <v>1</v>
      </c>
      <c r="C3" s="146">
        <v>0.87</v>
      </c>
      <c r="E3">
        <v>2023</v>
      </c>
      <c r="F3" s="145">
        <f t="shared" ref="F3" si="0">+F4/G4*G3</f>
        <v>97043.701799485876</v>
      </c>
      <c r="G3" s="7">
        <f>AVERAGE(H3:L3)</f>
        <v>256.7</v>
      </c>
      <c r="H3" s="44">
        <v>259.8</v>
      </c>
      <c r="I3" s="44">
        <v>259.3</v>
      </c>
      <c r="J3" s="44">
        <v>255.5</v>
      </c>
      <c r="K3" s="44">
        <v>254.1</v>
      </c>
      <c r="L3" s="44">
        <v>254.8</v>
      </c>
      <c r="M3" s="42"/>
      <c r="N3" s="31">
        <v>10.00001</v>
      </c>
      <c r="O3" s="31">
        <v>400</v>
      </c>
    </row>
    <row r="4" spans="1:15" x14ac:dyDescent="0.25">
      <c r="A4" s="26">
        <v>272</v>
      </c>
      <c r="B4" s="27" t="s">
        <v>1</v>
      </c>
      <c r="C4" s="146">
        <v>0.87</v>
      </c>
      <c r="E4">
        <v>2022</v>
      </c>
      <c r="F4" s="72">
        <f t="shared" ref="F4:F18" si="1">+F5/G5*G4</f>
        <v>90443.066686828985</v>
      </c>
      <c r="G4" s="7">
        <f>AVERAGE(H4:L4)</f>
        <v>239.24</v>
      </c>
      <c r="H4" s="44">
        <v>242.1</v>
      </c>
      <c r="I4" s="44">
        <v>241.7</v>
      </c>
      <c r="J4" s="44">
        <v>238.1</v>
      </c>
      <c r="K4" s="44">
        <v>236.8</v>
      </c>
      <c r="L4" s="44">
        <v>237.5</v>
      </c>
      <c r="M4" s="42"/>
      <c r="N4" s="31">
        <v>20.00001</v>
      </c>
      <c r="O4" s="31">
        <v>375</v>
      </c>
    </row>
    <row r="5" spans="1:15" x14ac:dyDescent="0.25">
      <c r="A5" s="26">
        <v>273</v>
      </c>
      <c r="B5" s="27" t="s">
        <v>1</v>
      </c>
      <c r="C5" s="146">
        <v>0.87</v>
      </c>
      <c r="E5">
        <v>2021</v>
      </c>
      <c r="F5" s="37">
        <f t="shared" si="1"/>
        <v>76599.122939664303</v>
      </c>
      <c r="G5" s="7">
        <f>AVERAGE(H5:L5)</f>
        <v>202.62</v>
      </c>
      <c r="H5" s="44">
        <v>204.8</v>
      </c>
      <c r="I5" s="44">
        <v>203.9</v>
      </c>
      <c r="J5" s="44">
        <v>201.9</v>
      </c>
      <c r="K5" s="44">
        <v>200.9</v>
      </c>
      <c r="L5" s="44">
        <v>201.6</v>
      </c>
      <c r="M5" s="42"/>
      <c r="N5" s="31">
        <v>25.00001</v>
      </c>
      <c r="O5" s="31">
        <v>350</v>
      </c>
    </row>
    <row r="6" spans="1:15" x14ac:dyDescent="0.25">
      <c r="A6" s="26">
        <v>274</v>
      </c>
      <c r="B6" s="27" t="s">
        <v>1</v>
      </c>
      <c r="C6" s="146">
        <v>0.87</v>
      </c>
      <c r="E6">
        <v>2020</v>
      </c>
      <c r="F6" s="37">
        <f t="shared" si="1"/>
        <v>75699.380009073036</v>
      </c>
      <c r="G6" s="7">
        <v>200.24</v>
      </c>
      <c r="H6" s="44">
        <v>203.6</v>
      </c>
      <c r="I6" s="44">
        <v>201.3</v>
      </c>
      <c r="J6" s="44">
        <v>199.3</v>
      </c>
      <c r="K6" s="44">
        <v>198</v>
      </c>
      <c r="L6" s="44">
        <v>199</v>
      </c>
      <c r="M6" s="42"/>
      <c r="N6" s="31">
        <v>30.00001</v>
      </c>
      <c r="O6" s="31">
        <v>325</v>
      </c>
    </row>
    <row r="7" spans="1:15" x14ac:dyDescent="0.25">
      <c r="A7" s="26">
        <v>271</v>
      </c>
      <c r="B7" s="28" t="s">
        <v>2</v>
      </c>
      <c r="C7" s="146">
        <v>0.87</v>
      </c>
      <c r="E7">
        <v>2019</v>
      </c>
      <c r="F7" s="37">
        <f t="shared" si="1"/>
        <v>71291.395735672151</v>
      </c>
      <c r="G7" s="7">
        <v>188.57999999999998</v>
      </c>
      <c r="H7" s="44">
        <v>187.3</v>
      </c>
      <c r="I7" s="44">
        <v>191.1</v>
      </c>
      <c r="J7" s="44">
        <v>189.1</v>
      </c>
      <c r="K7" s="44">
        <v>186.8</v>
      </c>
      <c r="L7" s="44">
        <v>188.6</v>
      </c>
      <c r="M7" s="42"/>
    </row>
    <row r="8" spans="1:15" x14ac:dyDescent="0.25">
      <c r="A8" s="26">
        <v>275</v>
      </c>
      <c r="B8" s="28" t="s">
        <v>3</v>
      </c>
      <c r="C8" s="146">
        <v>0.87</v>
      </c>
      <c r="E8">
        <v>2018</v>
      </c>
      <c r="F8" s="37">
        <f t="shared" si="1"/>
        <v>69945.561772266738</v>
      </c>
      <c r="G8" s="7">
        <v>185.01999999999998</v>
      </c>
      <c r="H8" s="44">
        <v>183.8</v>
      </c>
      <c r="I8" s="44">
        <v>187.5</v>
      </c>
      <c r="J8" s="44">
        <v>185.5</v>
      </c>
      <c r="K8" s="44">
        <v>183.3</v>
      </c>
      <c r="L8" s="44">
        <v>185</v>
      </c>
      <c r="N8" s="31" t="s">
        <v>573</v>
      </c>
      <c r="O8" s="204">
        <v>276.7</v>
      </c>
    </row>
    <row r="9" spans="1:15" x14ac:dyDescent="0.25">
      <c r="A9" s="26">
        <v>276</v>
      </c>
      <c r="B9" s="28" t="s">
        <v>3</v>
      </c>
      <c r="C9" s="146">
        <v>0.87</v>
      </c>
      <c r="E9">
        <v>2017</v>
      </c>
      <c r="F9" s="37">
        <f t="shared" si="1"/>
        <v>67238.77211553001</v>
      </c>
      <c r="G9" s="7">
        <v>177.85999999999999</v>
      </c>
      <c r="H9" s="44">
        <v>177</v>
      </c>
      <c r="I9" s="44">
        <v>180.3</v>
      </c>
      <c r="J9" s="44">
        <v>178.2</v>
      </c>
      <c r="K9" s="44">
        <v>175.8</v>
      </c>
      <c r="L9" s="44">
        <v>178</v>
      </c>
    </row>
    <row r="10" spans="1:15" x14ac:dyDescent="0.25">
      <c r="A10" s="26">
        <v>277</v>
      </c>
      <c r="B10" s="28" t="s">
        <v>22</v>
      </c>
      <c r="C10" s="146">
        <v>0.89</v>
      </c>
      <c r="E10">
        <v>2016</v>
      </c>
      <c r="F10" s="37">
        <f t="shared" si="1"/>
        <v>67790.715257825505</v>
      </c>
      <c r="G10" s="7">
        <v>179.32000000000002</v>
      </c>
      <c r="H10" s="44">
        <v>180.6</v>
      </c>
      <c r="I10" s="44">
        <v>182</v>
      </c>
      <c r="J10" s="44">
        <v>179.8</v>
      </c>
      <c r="K10" s="44">
        <v>174.6</v>
      </c>
      <c r="L10" s="44">
        <v>179.6</v>
      </c>
    </row>
    <row r="11" spans="1:15" x14ac:dyDescent="0.25">
      <c r="A11" s="26">
        <v>278</v>
      </c>
      <c r="B11" s="28" t="s">
        <v>4</v>
      </c>
      <c r="C11" s="146">
        <v>0.85</v>
      </c>
      <c r="E11">
        <v>2015</v>
      </c>
      <c r="F11" s="37">
        <f t="shared" si="1"/>
        <v>64577.347648570998</v>
      </c>
      <c r="G11" s="7">
        <v>170.82</v>
      </c>
      <c r="H11" s="44">
        <v>173.1</v>
      </c>
      <c r="I11" s="44">
        <v>172.3</v>
      </c>
      <c r="J11" s="44">
        <v>170.5</v>
      </c>
      <c r="K11" s="44">
        <v>167.6</v>
      </c>
      <c r="L11" s="44">
        <v>170.6</v>
      </c>
    </row>
    <row r="12" spans="1:15" x14ac:dyDescent="0.25">
      <c r="A12" s="26">
        <v>279</v>
      </c>
      <c r="B12" s="28" t="s">
        <v>5</v>
      </c>
      <c r="C12" s="146">
        <v>0.85</v>
      </c>
      <c r="E12">
        <v>2014</v>
      </c>
      <c r="F12" s="37">
        <f t="shared" si="1"/>
        <v>62036.897021019206</v>
      </c>
      <c r="G12" s="7">
        <v>164.1</v>
      </c>
      <c r="H12" s="44">
        <v>165.5</v>
      </c>
      <c r="I12" s="44">
        <v>165.2</v>
      </c>
      <c r="J12" s="44">
        <v>163.9</v>
      </c>
      <c r="K12" s="44">
        <v>161.6</v>
      </c>
      <c r="L12" s="44">
        <v>164.3</v>
      </c>
      <c r="O12" s="7"/>
    </row>
    <row r="13" spans="1:15" x14ac:dyDescent="0.25">
      <c r="A13" s="26">
        <v>280</v>
      </c>
      <c r="B13" s="28" t="s">
        <v>6</v>
      </c>
      <c r="C13" s="146">
        <v>0.88</v>
      </c>
      <c r="E13">
        <v>2013</v>
      </c>
      <c r="F13" s="37">
        <f t="shared" si="1"/>
        <v>59980.341751096334</v>
      </c>
      <c r="G13" s="7">
        <v>158.66000000000003</v>
      </c>
      <c r="H13" s="44">
        <v>159.6</v>
      </c>
      <c r="I13" s="44">
        <v>158.4</v>
      </c>
      <c r="J13" s="44">
        <v>158.69999999999999</v>
      </c>
      <c r="K13" s="44">
        <v>157.5</v>
      </c>
      <c r="L13" s="44">
        <v>159.1</v>
      </c>
      <c r="O13" s="7"/>
    </row>
    <row r="14" spans="1:15" x14ac:dyDescent="0.25">
      <c r="A14" s="26">
        <v>281</v>
      </c>
      <c r="B14" s="28" t="s">
        <v>7</v>
      </c>
      <c r="C14" s="146">
        <v>0.89</v>
      </c>
      <c r="E14">
        <v>2012</v>
      </c>
      <c r="F14" s="37">
        <f t="shared" si="1"/>
        <v>59042.794495690308</v>
      </c>
      <c r="G14" s="7">
        <v>156.18</v>
      </c>
      <c r="H14" s="44">
        <v>156.4</v>
      </c>
      <c r="I14" s="44">
        <v>155.6</v>
      </c>
      <c r="J14" s="44">
        <v>156.30000000000001</v>
      </c>
      <c r="K14" s="44">
        <v>155.4</v>
      </c>
      <c r="L14" s="44">
        <v>157.19999999999999</v>
      </c>
      <c r="O14" s="7"/>
    </row>
    <row r="15" spans="1:15" x14ac:dyDescent="0.25">
      <c r="A15" s="26">
        <v>282</v>
      </c>
      <c r="B15" s="28" t="s">
        <v>7</v>
      </c>
      <c r="C15" s="146">
        <v>0.89</v>
      </c>
      <c r="E15">
        <v>2011</v>
      </c>
      <c r="F15" s="37">
        <f t="shared" si="1"/>
        <v>53856.04113110539</v>
      </c>
      <c r="G15" s="7">
        <v>142.45999999999998</v>
      </c>
      <c r="H15" s="44">
        <v>142.6</v>
      </c>
      <c r="I15" s="44">
        <v>143.80000000000001</v>
      </c>
      <c r="J15" s="44">
        <v>142.19999999999999</v>
      </c>
      <c r="K15" s="44">
        <v>142.80000000000001</v>
      </c>
      <c r="L15" s="44">
        <v>140.9</v>
      </c>
      <c r="O15" s="7"/>
    </row>
    <row r="16" spans="1:15" x14ac:dyDescent="0.25">
      <c r="A16" s="26">
        <v>283</v>
      </c>
      <c r="B16" s="28" t="s">
        <v>8</v>
      </c>
      <c r="C16" s="146">
        <v>0.88</v>
      </c>
      <c r="E16">
        <v>2010</v>
      </c>
      <c r="F16" s="37">
        <f t="shared" si="1"/>
        <v>53039.467715106613</v>
      </c>
      <c r="G16" s="7">
        <v>140.30000000000001</v>
      </c>
      <c r="H16" s="44">
        <v>140.5</v>
      </c>
      <c r="I16" s="44">
        <v>141.6</v>
      </c>
      <c r="J16" s="44">
        <v>140</v>
      </c>
      <c r="K16" s="44">
        <v>140.6</v>
      </c>
      <c r="L16" s="44">
        <v>138.80000000000001</v>
      </c>
      <c r="O16" s="7"/>
    </row>
    <row r="17" spans="1:15" x14ac:dyDescent="0.25">
      <c r="A17" s="26">
        <v>284</v>
      </c>
      <c r="B17" s="28" t="s">
        <v>9</v>
      </c>
      <c r="C17" s="146">
        <v>0.85</v>
      </c>
      <c r="E17">
        <v>2009</v>
      </c>
      <c r="F17" s="37">
        <f t="shared" si="1"/>
        <v>54642.371087252388</v>
      </c>
      <c r="G17" s="7">
        <v>144.54000000000002</v>
      </c>
      <c r="H17" s="44">
        <v>145.1</v>
      </c>
      <c r="I17" s="44">
        <v>145.80000000000001</v>
      </c>
      <c r="J17" s="44">
        <v>144</v>
      </c>
      <c r="K17" s="44">
        <v>145.1</v>
      </c>
      <c r="L17" s="44">
        <v>142.69999999999999</v>
      </c>
      <c r="O17" s="7"/>
    </row>
    <row r="18" spans="1:15" x14ac:dyDescent="0.25">
      <c r="A18" s="26">
        <v>285</v>
      </c>
      <c r="B18" s="28" t="s">
        <v>10</v>
      </c>
      <c r="C18" s="146">
        <v>0.83</v>
      </c>
      <c r="E18">
        <v>2008</v>
      </c>
      <c r="F18" s="37">
        <f t="shared" si="1"/>
        <v>51119.008014516847</v>
      </c>
      <c r="G18" s="7">
        <v>135.21999999999997</v>
      </c>
      <c r="H18" s="44">
        <v>135.80000000000001</v>
      </c>
      <c r="I18" s="44">
        <v>136.6</v>
      </c>
      <c r="J18" s="44">
        <v>134.6</v>
      </c>
      <c r="K18" s="44">
        <v>135.30000000000001</v>
      </c>
      <c r="L18" s="44">
        <v>133.80000000000001</v>
      </c>
    </row>
    <row r="19" spans="1:15" x14ac:dyDescent="0.25">
      <c r="A19" s="26">
        <v>286</v>
      </c>
      <c r="B19" s="28" t="s">
        <v>11</v>
      </c>
      <c r="C19" s="146">
        <v>0.86</v>
      </c>
      <c r="E19">
        <v>2007</v>
      </c>
      <c r="F19" s="37">
        <v>50000</v>
      </c>
      <c r="G19" s="7">
        <v>132.26</v>
      </c>
      <c r="H19" s="44">
        <v>132.80000000000001</v>
      </c>
      <c r="I19" s="44">
        <v>133.69999999999999</v>
      </c>
      <c r="J19" s="44">
        <v>131.69999999999999</v>
      </c>
      <c r="K19" s="44">
        <v>132.1</v>
      </c>
      <c r="L19" s="44">
        <v>131</v>
      </c>
    </row>
    <row r="20" spans="1:15" x14ac:dyDescent="0.25">
      <c r="A20" s="26">
        <v>287</v>
      </c>
      <c r="B20" s="28" t="s">
        <v>12</v>
      </c>
      <c r="C20" s="146">
        <v>0.85</v>
      </c>
      <c r="E20">
        <v>2006</v>
      </c>
      <c r="F20" s="37">
        <f t="shared" ref="F20:F76" si="2">+F19/G19*G20</f>
        <v>46930.288825041593</v>
      </c>
      <c r="G20" s="7">
        <v>124.14000000000001</v>
      </c>
      <c r="H20" s="44">
        <v>125.1</v>
      </c>
      <c r="I20" s="44">
        <v>124.6</v>
      </c>
      <c r="J20" s="44">
        <v>123.8</v>
      </c>
      <c r="K20" s="44">
        <v>124.2</v>
      </c>
      <c r="L20" s="44">
        <v>123</v>
      </c>
    </row>
    <row r="21" spans="1:15" x14ac:dyDescent="0.25">
      <c r="A21" s="26">
        <v>288</v>
      </c>
      <c r="B21" s="28" t="s">
        <v>12</v>
      </c>
      <c r="C21" s="146">
        <v>0.85</v>
      </c>
      <c r="E21">
        <v>2005</v>
      </c>
      <c r="F21" s="37">
        <f t="shared" si="2"/>
        <v>42182.065628307879</v>
      </c>
      <c r="G21" s="7">
        <v>111.58</v>
      </c>
      <c r="H21" s="44">
        <v>110.5</v>
      </c>
      <c r="I21" s="44">
        <v>112.1</v>
      </c>
      <c r="J21" s="44">
        <v>112.1</v>
      </c>
      <c r="K21" s="44">
        <v>112.1</v>
      </c>
      <c r="L21" s="44">
        <v>111.1</v>
      </c>
    </row>
    <row r="22" spans="1:15" x14ac:dyDescent="0.25">
      <c r="A22" s="26">
        <v>289</v>
      </c>
      <c r="B22" s="28" t="s">
        <v>13</v>
      </c>
      <c r="C22" s="146">
        <v>0.83</v>
      </c>
      <c r="E22">
        <v>2004</v>
      </c>
      <c r="F22" s="37">
        <f t="shared" si="2"/>
        <v>37706.033570240441</v>
      </c>
      <c r="G22" s="7">
        <v>99.740000000000009</v>
      </c>
      <c r="H22" s="44">
        <v>98.9</v>
      </c>
      <c r="I22" s="44">
        <v>100</v>
      </c>
      <c r="J22" s="44">
        <v>100.1</v>
      </c>
      <c r="K22" s="44">
        <v>100.3</v>
      </c>
      <c r="L22" s="44">
        <v>99.4</v>
      </c>
    </row>
    <row r="23" spans="1:15" x14ac:dyDescent="0.25">
      <c r="C23" s="147"/>
      <c r="E23">
        <v>2003</v>
      </c>
      <c r="F23" s="37">
        <f t="shared" si="2"/>
        <v>36730.681990019657</v>
      </c>
      <c r="G23" s="7">
        <v>97.16</v>
      </c>
      <c r="H23" s="44">
        <v>96.2</v>
      </c>
      <c r="I23" s="44">
        <v>97.5</v>
      </c>
      <c r="J23" s="44">
        <v>97.5</v>
      </c>
      <c r="K23" s="44">
        <v>97.8</v>
      </c>
      <c r="L23" s="44">
        <v>96.8</v>
      </c>
    </row>
    <row r="24" spans="1:15" x14ac:dyDescent="0.25">
      <c r="E24">
        <v>2002</v>
      </c>
      <c r="F24" s="37">
        <f t="shared" si="2"/>
        <v>36201.421442613035</v>
      </c>
      <c r="G24" s="7">
        <v>95.76</v>
      </c>
      <c r="H24" s="44">
        <v>94.8</v>
      </c>
      <c r="I24" s="44">
        <v>96.1</v>
      </c>
      <c r="J24" s="44">
        <v>96.1</v>
      </c>
      <c r="K24" s="44">
        <v>96.3</v>
      </c>
      <c r="L24" s="44">
        <v>95.5</v>
      </c>
    </row>
    <row r="25" spans="1:15" x14ac:dyDescent="0.25">
      <c r="E25">
        <v>2001</v>
      </c>
      <c r="F25" s="37">
        <f t="shared" si="2"/>
        <v>34999.243913503713</v>
      </c>
      <c r="G25" s="7">
        <v>92.580000000000013</v>
      </c>
      <c r="H25" s="44">
        <v>91.5</v>
      </c>
      <c r="I25" s="44">
        <v>92.9</v>
      </c>
      <c r="J25" s="44">
        <v>92.9</v>
      </c>
      <c r="K25" s="44">
        <v>93.3</v>
      </c>
      <c r="L25" s="44">
        <v>92.3</v>
      </c>
    </row>
    <row r="26" spans="1:15" x14ac:dyDescent="0.25">
      <c r="E26">
        <v>2000</v>
      </c>
      <c r="F26" s="37">
        <f t="shared" si="2"/>
        <v>34507.787690911849</v>
      </c>
      <c r="G26" s="7">
        <v>91.28</v>
      </c>
      <c r="H26" s="44">
        <v>90.3</v>
      </c>
      <c r="I26" s="44">
        <v>91.6</v>
      </c>
      <c r="J26" s="44">
        <v>91.6</v>
      </c>
      <c r="K26" s="44">
        <v>91.9</v>
      </c>
      <c r="L26" s="44">
        <v>91</v>
      </c>
    </row>
    <row r="27" spans="1:15" x14ac:dyDescent="0.25">
      <c r="E27">
        <v>1999</v>
      </c>
      <c r="F27" s="37">
        <f t="shared" si="2"/>
        <v>34054.135793134745</v>
      </c>
      <c r="G27" s="7">
        <v>90.08</v>
      </c>
      <c r="H27" s="44">
        <v>89.3</v>
      </c>
      <c r="I27" s="44">
        <v>90.2</v>
      </c>
      <c r="J27" s="44">
        <v>90.3</v>
      </c>
      <c r="K27" s="44">
        <v>90.5</v>
      </c>
      <c r="L27" s="44">
        <v>90.1</v>
      </c>
    </row>
    <row r="28" spans="1:15" x14ac:dyDescent="0.25">
      <c r="E28">
        <v>1998</v>
      </c>
      <c r="F28" s="37">
        <f t="shared" si="2"/>
        <v>33638.288220172391</v>
      </c>
      <c r="G28" s="7">
        <v>88.97999999999999</v>
      </c>
      <c r="H28" s="46">
        <v>88.2</v>
      </c>
      <c r="I28" s="46">
        <v>89.1</v>
      </c>
      <c r="J28" s="46">
        <v>89.2</v>
      </c>
      <c r="K28" s="46">
        <v>89.4</v>
      </c>
      <c r="L28" s="46">
        <v>89</v>
      </c>
    </row>
    <row r="29" spans="1:15" x14ac:dyDescent="0.25">
      <c r="E29">
        <v>1997</v>
      </c>
      <c r="F29" s="37">
        <f t="shared" si="2"/>
        <v>31173.446242250116</v>
      </c>
      <c r="G29" s="7">
        <v>82.46</v>
      </c>
      <c r="H29" s="44">
        <v>81.8</v>
      </c>
      <c r="I29" s="44">
        <v>82.6</v>
      </c>
      <c r="J29" s="44">
        <v>82.6</v>
      </c>
      <c r="K29" s="44">
        <v>82.7</v>
      </c>
      <c r="L29" s="44">
        <v>82.6</v>
      </c>
    </row>
    <row r="30" spans="1:15" x14ac:dyDescent="0.25">
      <c r="E30">
        <v>1996</v>
      </c>
      <c r="F30" s="37">
        <f t="shared" si="2"/>
        <v>31173.446242250116</v>
      </c>
      <c r="G30" s="7">
        <v>82.46</v>
      </c>
      <c r="H30" s="44">
        <v>81.8</v>
      </c>
      <c r="I30" s="44">
        <v>82.6</v>
      </c>
      <c r="J30" s="44">
        <v>82.6</v>
      </c>
      <c r="K30" s="44">
        <v>82.7</v>
      </c>
      <c r="L30" s="44">
        <v>82.6</v>
      </c>
    </row>
    <row r="31" spans="1:15" x14ac:dyDescent="0.25">
      <c r="E31">
        <v>1995</v>
      </c>
      <c r="F31" s="37">
        <f t="shared" si="2"/>
        <v>31173.446242250116</v>
      </c>
      <c r="G31" s="7">
        <v>82.46</v>
      </c>
      <c r="H31" s="44">
        <v>81.8</v>
      </c>
      <c r="I31" s="44">
        <v>82.6</v>
      </c>
      <c r="J31" s="44">
        <v>82.6</v>
      </c>
      <c r="K31" s="44">
        <v>82.7</v>
      </c>
      <c r="L31" s="44">
        <v>82.6</v>
      </c>
    </row>
    <row r="32" spans="1:15" x14ac:dyDescent="0.25">
      <c r="E32">
        <v>1994</v>
      </c>
      <c r="F32" s="37">
        <f t="shared" si="2"/>
        <v>28466.656585513385</v>
      </c>
      <c r="G32" s="7">
        <v>75.3</v>
      </c>
      <c r="H32" s="44">
        <v>74.8</v>
      </c>
      <c r="I32" s="44">
        <v>75.400000000000006</v>
      </c>
      <c r="J32" s="44">
        <v>75.5</v>
      </c>
      <c r="K32" s="44">
        <v>75.5</v>
      </c>
      <c r="L32" s="44">
        <v>75.3</v>
      </c>
    </row>
    <row r="33" spans="5:12" x14ac:dyDescent="0.25">
      <c r="E33">
        <v>1993</v>
      </c>
      <c r="F33" s="37">
        <f t="shared" si="2"/>
        <v>28466.656585513385</v>
      </c>
      <c r="G33" s="7">
        <v>75.3</v>
      </c>
      <c r="H33" s="44">
        <v>74.8</v>
      </c>
      <c r="I33" s="44">
        <v>75.400000000000006</v>
      </c>
      <c r="J33" s="44">
        <v>75.5</v>
      </c>
      <c r="K33" s="44">
        <v>75.5</v>
      </c>
      <c r="L33" s="44">
        <v>75.3</v>
      </c>
    </row>
    <row r="34" spans="5:12" x14ac:dyDescent="0.25">
      <c r="E34">
        <v>1992</v>
      </c>
      <c r="F34" s="37">
        <f t="shared" si="2"/>
        <v>28466.656585513385</v>
      </c>
      <c r="G34" s="7">
        <v>75.3</v>
      </c>
      <c r="H34" s="44">
        <v>74.8</v>
      </c>
      <c r="I34" s="44">
        <v>75.400000000000006</v>
      </c>
      <c r="J34" s="44">
        <v>75.5</v>
      </c>
      <c r="K34" s="44">
        <v>75.5</v>
      </c>
      <c r="L34" s="44">
        <v>75.3</v>
      </c>
    </row>
    <row r="35" spans="5:12" x14ac:dyDescent="0.25">
      <c r="E35">
        <v>1991</v>
      </c>
      <c r="F35" s="37">
        <f t="shared" si="2"/>
        <v>28466.656585513385</v>
      </c>
      <c r="G35" s="7">
        <v>75.3</v>
      </c>
      <c r="H35" s="44">
        <v>74.8</v>
      </c>
      <c r="I35" s="44">
        <v>75.400000000000006</v>
      </c>
      <c r="J35" s="44">
        <v>75.5</v>
      </c>
      <c r="K35" s="44">
        <v>75.5</v>
      </c>
      <c r="L35" s="44">
        <v>75.3</v>
      </c>
    </row>
    <row r="36" spans="5:12" x14ac:dyDescent="0.25">
      <c r="E36">
        <v>1990</v>
      </c>
      <c r="F36" s="37">
        <f t="shared" si="2"/>
        <v>28466.656585513385</v>
      </c>
      <c r="G36" s="7">
        <v>75.3</v>
      </c>
      <c r="H36" s="44">
        <v>74.8</v>
      </c>
      <c r="I36" s="44">
        <v>75.400000000000006</v>
      </c>
      <c r="J36" s="44">
        <v>75.5</v>
      </c>
      <c r="K36" s="44">
        <v>75.5</v>
      </c>
      <c r="L36" s="44">
        <v>75.3</v>
      </c>
    </row>
    <row r="37" spans="5:12" x14ac:dyDescent="0.25">
      <c r="E37">
        <v>1989</v>
      </c>
      <c r="F37" s="37">
        <f t="shared" si="2"/>
        <v>25502.797520036293</v>
      </c>
      <c r="G37" s="7">
        <v>67.459999999999994</v>
      </c>
      <c r="H37" s="44">
        <v>66.900000000000006</v>
      </c>
      <c r="I37" s="44">
        <v>67.599999999999994</v>
      </c>
      <c r="J37" s="44">
        <v>67.7</v>
      </c>
      <c r="K37" s="44">
        <v>67.599999999999994</v>
      </c>
      <c r="L37" s="44">
        <v>67.5</v>
      </c>
    </row>
    <row r="38" spans="5:12" x14ac:dyDescent="0.25">
      <c r="E38">
        <v>1988</v>
      </c>
      <c r="F38" s="37">
        <f t="shared" si="2"/>
        <v>25502.797520036293</v>
      </c>
      <c r="G38" s="7">
        <v>67.459999999999994</v>
      </c>
      <c r="H38" s="44">
        <v>66.900000000000006</v>
      </c>
      <c r="I38" s="44">
        <v>67.599999999999994</v>
      </c>
      <c r="J38" s="44">
        <v>67.7</v>
      </c>
      <c r="K38" s="44">
        <v>67.599999999999994</v>
      </c>
      <c r="L38" s="44">
        <v>67.5</v>
      </c>
    </row>
    <row r="39" spans="5:12" x14ac:dyDescent="0.25">
      <c r="E39">
        <v>1987</v>
      </c>
      <c r="F39" s="37">
        <f t="shared" si="2"/>
        <v>25502.797520036293</v>
      </c>
      <c r="G39" s="7">
        <v>67.459999999999994</v>
      </c>
      <c r="H39" s="44">
        <v>66.900000000000006</v>
      </c>
      <c r="I39" s="44">
        <v>67.599999999999994</v>
      </c>
      <c r="J39" s="44">
        <v>67.7</v>
      </c>
      <c r="K39" s="44">
        <v>67.599999999999994</v>
      </c>
      <c r="L39" s="44">
        <v>67.5</v>
      </c>
    </row>
    <row r="40" spans="5:12" x14ac:dyDescent="0.25">
      <c r="E40">
        <v>1986</v>
      </c>
      <c r="F40" s="37">
        <f t="shared" si="2"/>
        <v>25502.797520036293</v>
      </c>
      <c r="G40" s="7">
        <v>67.459999999999994</v>
      </c>
      <c r="H40" s="44">
        <v>66.900000000000006</v>
      </c>
      <c r="I40" s="44">
        <v>67.599999999999994</v>
      </c>
      <c r="J40" s="44">
        <v>67.7</v>
      </c>
      <c r="K40" s="44">
        <v>67.599999999999994</v>
      </c>
      <c r="L40" s="44">
        <v>67.5</v>
      </c>
    </row>
    <row r="41" spans="5:12" x14ac:dyDescent="0.25">
      <c r="E41">
        <v>1985</v>
      </c>
      <c r="F41" s="37">
        <f t="shared" si="2"/>
        <v>25502.797520036293</v>
      </c>
      <c r="G41" s="7">
        <v>67.459999999999994</v>
      </c>
      <c r="H41" s="44">
        <v>66.900000000000006</v>
      </c>
      <c r="I41" s="44">
        <v>67.599999999999994</v>
      </c>
      <c r="J41" s="44">
        <v>67.7</v>
      </c>
      <c r="K41" s="44">
        <v>67.599999999999994</v>
      </c>
      <c r="L41" s="44">
        <v>67.5</v>
      </c>
    </row>
    <row r="42" spans="5:12" x14ac:dyDescent="0.25">
      <c r="E42">
        <v>1984</v>
      </c>
      <c r="F42" s="37">
        <f t="shared" si="2"/>
        <v>19529.714199304406</v>
      </c>
      <c r="G42" s="7">
        <v>51.660000000000004</v>
      </c>
      <c r="H42" s="44">
        <v>51.1</v>
      </c>
      <c r="I42" s="44">
        <v>52.2</v>
      </c>
      <c r="J42" s="44">
        <v>52.5</v>
      </c>
      <c r="K42" s="44">
        <v>51.7</v>
      </c>
      <c r="L42" s="44">
        <v>50.8</v>
      </c>
    </row>
    <row r="43" spans="5:12" x14ac:dyDescent="0.25">
      <c r="E43">
        <v>1983</v>
      </c>
      <c r="F43" s="37">
        <f t="shared" si="2"/>
        <v>19529.714199304406</v>
      </c>
      <c r="G43" s="7">
        <v>51.660000000000004</v>
      </c>
      <c r="H43" s="44">
        <v>51.1</v>
      </c>
      <c r="I43" s="44">
        <v>52.2</v>
      </c>
      <c r="J43" s="44">
        <v>52.5</v>
      </c>
      <c r="K43" s="44">
        <v>51.7</v>
      </c>
      <c r="L43" s="44">
        <v>50.8</v>
      </c>
    </row>
    <row r="44" spans="5:12" x14ac:dyDescent="0.25">
      <c r="E44">
        <v>1982</v>
      </c>
      <c r="F44" s="37">
        <f t="shared" si="2"/>
        <v>19529.714199304406</v>
      </c>
      <c r="G44" s="7">
        <v>51.660000000000004</v>
      </c>
      <c r="H44" s="44">
        <v>51.1</v>
      </c>
      <c r="I44" s="44">
        <v>52.2</v>
      </c>
      <c r="J44" s="44">
        <v>52.5</v>
      </c>
      <c r="K44" s="44">
        <v>51.7</v>
      </c>
      <c r="L44" s="44">
        <v>50.8</v>
      </c>
    </row>
    <row r="45" spans="5:12" x14ac:dyDescent="0.25">
      <c r="E45">
        <v>1981</v>
      </c>
      <c r="F45" s="37">
        <f t="shared" si="2"/>
        <v>19529.714199304406</v>
      </c>
      <c r="G45" s="7">
        <v>51.660000000000004</v>
      </c>
      <c r="H45" s="44">
        <v>51.1</v>
      </c>
      <c r="I45" s="44">
        <v>52.2</v>
      </c>
      <c r="J45" s="44">
        <v>52.5</v>
      </c>
      <c r="K45" s="44">
        <v>51.7</v>
      </c>
      <c r="L45" s="44">
        <v>50.8</v>
      </c>
    </row>
    <row r="46" spans="5:12" x14ac:dyDescent="0.25">
      <c r="E46">
        <v>1980</v>
      </c>
      <c r="F46" s="37">
        <f t="shared" si="2"/>
        <v>19529.714199304406</v>
      </c>
      <c r="G46" s="7">
        <v>51.660000000000004</v>
      </c>
      <c r="H46" s="44">
        <v>51.1</v>
      </c>
      <c r="I46" s="44">
        <v>52.2</v>
      </c>
      <c r="J46" s="44">
        <v>52.5</v>
      </c>
      <c r="K46" s="44">
        <v>51.7</v>
      </c>
      <c r="L46" s="44">
        <v>50.8</v>
      </c>
    </row>
    <row r="47" spans="5:12" x14ac:dyDescent="0.25">
      <c r="E47">
        <v>1979</v>
      </c>
      <c r="F47" s="37">
        <f t="shared" si="2"/>
        <v>13874.187207016483</v>
      </c>
      <c r="G47" s="7">
        <v>36.699999999999996</v>
      </c>
      <c r="H47" s="44">
        <v>36.1</v>
      </c>
      <c r="I47" s="44">
        <v>37</v>
      </c>
      <c r="J47" s="44">
        <v>37</v>
      </c>
      <c r="K47" s="44">
        <v>37.299999999999997</v>
      </c>
      <c r="L47" s="44">
        <v>36.1</v>
      </c>
    </row>
    <row r="48" spans="5:12" x14ac:dyDescent="0.25">
      <c r="E48">
        <v>1978</v>
      </c>
      <c r="F48" s="37">
        <f t="shared" si="2"/>
        <v>13874.187207016483</v>
      </c>
      <c r="G48" s="7">
        <v>36.699999999999996</v>
      </c>
      <c r="H48" s="44">
        <v>36.1</v>
      </c>
      <c r="I48" s="44">
        <v>37</v>
      </c>
      <c r="J48" s="44">
        <v>37</v>
      </c>
      <c r="K48" s="44">
        <v>37.299999999999997</v>
      </c>
      <c r="L48" s="44">
        <v>36.1</v>
      </c>
    </row>
    <row r="49" spans="5:12" x14ac:dyDescent="0.25">
      <c r="E49">
        <v>1977</v>
      </c>
      <c r="F49" s="37">
        <f t="shared" si="2"/>
        <v>13874.187207016483</v>
      </c>
      <c r="G49" s="7">
        <v>36.699999999999996</v>
      </c>
      <c r="H49" s="44">
        <v>36.1</v>
      </c>
      <c r="I49" s="44">
        <v>37</v>
      </c>
      <c r="J49" s="44">
        <v>37</v>
      </c>
      <c r="K49" s="44">
        <v>37.299999999999997</v>
      </c>
      <c r="L49" s="44">
        <v>36.1</v>
      </c>
    </row>
    <row r="50" spans="5:12" x14ac:dyDescent="0.25">
      <c r="E50">
        <v>1976</v>
      </c>
      <c r="F50" s="37">
        <f t="shared" si="2"/>
        <v>13874.187207016483</v>
      </c>
      <c r="G50" s="7">
        <v>36.699999999999996</v>
      </c>
      <c r="H50" s="44">
        <v>36.1</v>
      </c>
      <c r="I50" s="44">
        <v>37</v>
      </c>
      <c r="J50" s="44">
        <v>37</v>
      </c>
      <c r="K50" s="44">
        <v>37.299999999999997</v>
      </c>
      <c r="L50" s="44">
        <v>36.1</v>
      </c>
    </row>
    <row r="51" spans="5:12" x14ac:dyDescent="0.25">
      <c r="E51">
        <v>1975</v>
      </c>
      <c r="F51" s="37">
        <f t="shared" si="2"/>
        <v>13874.187207016483</v>
      </c>
      <c r="G51" s="7">
        <v>36.699999999999996</v>
      </c>
      <c r="H51" s="44">
        <v>36.1</v>
      </c>
      <c r="I51" s="44">
        <v>37</v>
      </c>
      <c r="J51" s="44">
        <v>37</v>
      </c>
      <c r="K51" s="44">
        <v>37.299999999999997</v>
      </c>
      <c r="L51" s="44">
        <v>36.1</v>
      </c>
    </row>
    <row r="52" spans="5:12" x14ac:dyDescent="0.25">
      <c r="E52">
        <v>1974</v>
      </c>
      <c r="F52" s="37">
        <f t="shared" si="2"/>
        <v>8664.7512475427193</v>
      </c>
      <c r="G52" s="7">
        <v>22.919999999999998</v>
      </c>
      <c r="H52" s="44">
        <v>20.9</v>
      </c>
      <c r="I52" s="44">
        <v>23.7</v>
      </c>
      <c r="J52" s="44">
        <v>23.6</v>
      </c>
      <c r="K52" s="44">
        <v>23.4</v>
      </c>
      <c r="L52" s="44">
        <v>23</v>
      </c>
    </row>
    <row r="53" spans="5:12" x14ac:dyDescent="0.25">
      <c r="E53">
        <v>1973</v>
      </c>
      <c r="F53" s="37">
        <f t="shared" si="2"/>
        <v>8664.7512475427193</v>
      </c>
      <c r="G53" s="7">
        <v>22.919999999999998</v>
      </c>
      <c r="H53" s="44">
        <v>20.9</v>
      </c>
      <c r="I53" s="44">
        <v>23.7</v>
      </c>
      <c r="J53" s="44">
        <v>23.6</v>
      </c>
      <c r="K53" s="44">
        <v>23.4</v>
      </c>
      <c r="L53" s="44">
        <v>23</v>
      </c>
    </row>
    <row r="54" spans="5:12" x14ac:dyDescent="0.25">
      <c r="E54">
        <v>1972</v>
      </c>
      <c r="F54" s="37">
        <f t="shared" si="2"/>
        <v>8664.7512475427193</v>
      </c>
      <c r="G54" s="7">
        <v>22.919999999999998</v>
      </c>
      <c r="H54" s="44">
        <v>20.9</v>
      </c>
      <c r="I54" s="44">
        <v>23.7</v>
      </c>
      <c r="J54" s="44">
        <v>23.6</v>
      </c>
      <c r="K54" s="44">
        <v>23.4</v>
      </c>
      <c r="L54" s="44">
        <v>23</v>
      </c>
    </row>
    <row r="55" spans="5:12" x14ac:dyDescent="0.25">
      <c r="E55">
        <v>1971</v>
      </c>
      <c r="F55" s="37">
        <f t="shared" si="2"/>
        <v>8664.7512475427193</v>
      </c>
      <c r="G55" s="7">
        <v>22.919999999999998</v>
      </c>
      <c r="H55" s="44">
        <v>20.9</v>
      </c>
      <c r="I55" s="44">
        <v>23.7</v>
      </c>
      <c r="J55" s="44">
        <v>23.6</v>
      </c>
      <c r="K55" s="44">
        <v>23.4</v>
      </c>
      <c r="L55" s="44">
        <v>23</v>
      </c>
    </row>
    <row r="56" spans="5:12" x14ac:dyDescent="0.25">
      <c r="E56">
        <v>1970</v>
      </c>
      <c r="F56" s="37">
        <f t="shared" si="2"/>
        <v>8664.7512475427193</v>
      </c>
      <c r="G56" s="7">
        <v>22.919999999999998</v>
      </c>
      <c r="H56" s="44">
        <v>20.9</v>
      </c>
      <c r="I56" s="44">
        <v>23.7</v>
      </c>
      <c r="J56" s="44">
        <v>23.6</v>
      </c>
      <c r="K56" s="44">
        <v>23.4</v>
      </c>
      <c r="L56" s="44">
        <v>23</v>
      </c>
    </row>
    <row r="57" spans="5:12" x14ac:dyDescent="0.25">
      <c r="E57">
        <v>1969</v>
      </c>
      <c r="F57" s="37">
        <f t="shared" si="2"/>
        <v>6661.1220323605039</v>
      </c>
      <c r="G57" s="7">
        <v>17.62</v>
      </c>
      <c r="H57" s="44">
        <v>16</v>
      </c>
      <c r="I57" s="44">
        <v>18.2</v>
      </c>
      <c r="J57" s="44">
        <v>18.2</v>
      </c>
      <c r="K57" s="44">
        <v>18</v>
      </c>
      <c r="L57" s="44">
        <v>17.7</v>
      </c>
    </row>
    <row r="58" spans="5:12" x14ac:dyDescent="0.25">
      <c r="E58">
        <v>1968</v>
      </c>
      <c r="F58" s="37">
        <f t="shared" si="2"/>
        <v>6661.1220323605039</v>
      </c>
      <c r="G58" s="7">
        <v>17.62</v>
      </c>
      <c r="H58" s="44">
        <v>16</v>
      </c>
      <c r="I58" s="44">
        <v>18.2</v>
      </c>
      <c r="J58" s="44">
        <v>18.2</v>
      </c>
      <c r="K58" s="44">
        <v>18</v>
      </c>
      <c r="L58" s="44">
        <v>17.7</v>
      </c>
    </row>
    <row r="59" spans="5:12" x14ac:dyDescent="0.25">
      <c r="E59">
        <v>1967</v>
      </c>
      <c r="F59" s="37">
        <f t="shared" si="2"/>
        <v>6661.1220323605039</v>
      </c>
      <c r="G59" s="7">
        <v>17.62</v>
      </c>
      <c r="H59" s="44">
        <v>16</v>
      </c>
      <c r="I59" s="44">
        <v>18.2</v>
      </c>
      <c r="J59" s="44">
        <v>18.2</v>
      </c>
      <c r="K59" s="44">
        <v>18</v>
      </c>
      <c r="L59" s="44">
        <v>17.7</v>
      </c>
    </row>
    <row r="60" spans="5:12" x14ac:dyDescent="0.25">
      <c r="E60">
        <v>1966</v>
      </c>
      <c r="F60" s="37">
        <f t="shared" si="2"/>
        <v>6661.1220323605039</v>
      </c>
      <c r="G60" s="7">
        <v>17.62</v>
      </c>
      <c r="H60" s="44">
        <v>16</v>
      </c>
      <c r="I60" s="44">
        <v>18.2</v>
      </c>
      <c r="J60" s="44">
        <v>18.2</v>
      </c>
      <c r="K60" s="44">
        <v>18</v>
      </c>
      <c r="L60" s="44">
        <v>17.7</v>
      </c>
    </row>
    <row r="61" spans="5:12" x14ac:dyDescent="0.25">
      <c r="E61">
        <v>1965</v>
      </c>
      <c r="F61" s="37">
        <f t="shared" si="2"/>
        <v>6661.1220323605039</v>
      </c>
      <c r="G61" s="7">
        <v>17.62</v>
      </c>
      <c r="H61" s="44">
        <v>16</v>
      </c>
      <c r="I61" s="44">
        <v>18.2</v>
      </c>
      <c r="J61" s="44">
        <v>18.2</v>
      </c>
      <c r="K61" s="44">
        <v>18</v>
      </c>
      <c r="L61" s="44">
        <v>17.7</v>
      </c>
    </row>
    <row r="62" spans="5:12" x14ac:dyDescent="0.25">
      <c r="E62">
        <v>1964</v>
      </c>
      <c r="F62" s="37">
        <f t="shared" si="2"/>
        <v>6056.2528353243615</v>
      </c>
      <c r="G62" s="7">
        <v>16.02</v>
      </c>
      <c r="H62" s="44">
        <v>14.4</v>
      </c>
      <c r="I62" s="44">
        <v>16.600000000000001</v>
      </c>
      <c r="J62" s="44">
        <v>16.600000000000001</v>
      </c>
      <c r="K62" s="44">
        <v>16.399999999999999</v>
      </c>
      <c r="L62" s="44">
        <v>16.100000000000001</v>
      </c>
    </row>
    <row r="63" spans="5:12" x14ac:dyDescent="0.25">
      <c r="E63">
        <v>1963</v>
      </c>
      <c r="F63" s="37">
        <f t="shared" si="2"/>
        <v>6056.2528353243615</v>
      </c>
      <c r="G63" s="7">
        <v>16.02</v>
      </c>
      <c r="H63" s="44">
        <v>14.4</v>
      </c>
      <c r="I63" s="44">
        <v>16.600000000000001</v>
      </c>
      <c r="J63" s="44">
        <v>16.600000000000001</v>
      </c>
      <c r="K63" s="44">
        <v>16.399999999999999</v>
      </c>
      <c r="L63" s="44">
        <v>16.100000000000001</v>
      </c>
    </row>
    <row r="64" spans="5:12" x14ac:dyDescent="0.25">
      <c r="E64">
        <v>1962</v>
      </c>
      <c r="F64" s="37">
        <f t="shared" si="2"/>
        <v>6056.2528353243615</v>
      </c>
      <c r="G64" s="7">
        <v>16.02</v>
      </c>
      <c r="H64" s="44">
        <v>14.4</v>
      </c>
      <c r="I64" s="44">
        <v>16.600000000000001</v>
      </c>
      <c r="J64" s="44">
        <v>16.600000000000001</v>
      </c>
      <c r="K64" s="44">
        <v>16.399999999999999</v>
      </c>
      <c r="L64" s="44">
        <v>16.100000000000001</v>
      </c>
    </row>
    <row r="65" spans="5:12" x14ac:dyDescent="0.25">
      <c r="E65">
        <v>1961</v>
      </c>
      <c r="F65" s="37">
        <f t="shared" si="2"/>
        <v>6056.2528353243615</v>
      </c>
      <c r="G65" s="7">
        <v>16.02</v>
      </c>
      <c r="H65" s="44">
        <v>14.4</v>
      </c>
      <c r="I65" s="44">
        <v>16.600000000000001</v>
      </c>
      <c r="J65" s="44">
        <v>16.600000000000001</v>
      </c>
      <c r="K65" s="44">
        <v>16.399999999999999</v>
      </c>
      <c r="L65" s="44">
        <v>16.100000000000001</v>
      </c>
    </row>
    <row r="66" spans="5:12" x14ac:dyDescent="0.25">
      <c r="E66">
        <v>1960</v>
      </c>
      <c r="F66" s="37">
        <f t="shared" si="2"/>
        <v>6056.2528353243615</v>
      </c>
      <c r="G66" s="7">
        <v>16.02</v>
      </c>
      <c r="H66" s="44">
        <v>14.4</v>
      </c>
      <c r="I66" s="44">
        <v>16.600000000000001</v>
      </c>
      <c r="J66" s="44">
        <v>16.600000000000001</v>
      </c>
      <c r="K66" s="44">
        <v>16.399999999999999</v>
      </c>
      <c r="L66" s="44">
        <v>16.100000000000001</v>
      </c>
    </row>
    <row r="67" spans="5:12" x14ac:dyDescent="0.25">
      <c r="E67">
        <v>1959</v>
      </c>
      <c r="F67" s="37">
        <f t="shared" si="2"/>
        <v>5073.3403901406318</v>
      </c>
      <c r="G67" s="7">
        <v>13.419999999999998</v>
      </c>
      <c r="H67" s="44">
        <v>12.1</v>
      </c>
      <c r="I67" s="44">
        <v>13.9</v>
      </c>
      <c r="J67" s="44">
        <v>13.9</v>
      </c>
      <c r="K67" s="44">
        <v>13.7</v>
      </c>
      <c r="L67" s="44">
        <v>13.5</v>
      </c>
    </row>
    <row r="68" spans="5:12" x14ac:dyDescent="0.25">
      <c r="E68">
        <v>1958</v>
      </c>
      <c r="F68" s="37">
        <f t="shared" si="2"/>
        <v>5073.3403901406318</v>
      </c>
      <c r="G68" s="7">
        <v>13.419999999999998</v>
      </c>
      <c r="H68" s="44">
        <v>12.1</v>
      </c>
      <c r="I68" s="44">
        <v>13.9</v>
      </c>
      <c r="J68" s="44">
        <v>13.9</v>
      </c>
      <c r="K68" s="44">
        <v>13.7</v>
      </c>
      <c r="L68" s="44">
        <v>13.5</v>
      </c>
    </row>
    <row r="69" spans="5:12" x14ac:dyDescent="0.25">
      <c r="E69">
        <v>1957</v>
      </c>
      <c r="F69" s="37">
        <f t="shared" si="2"/>
        <v>5073.3403901406318</v>
      </c>
      <c r="G69" s="7">
        <v>13.419999999999998</v>
      </c>
      <c r="H69" s="44">
        <v>12.1</v>
      </c>
      <c r="I69" s="44">
        <v>13.9</v>
      </c>
      <c r="J69" s="44">
        <v>13.9</v>
      </c>
      <c r="K69" s="44">
        <v>13.7</v>
      </c>
      <c r="L69" s="44">
        <v>13.5</v>
      </c>
    </row>
    <row r="70" spans="5:12" x14ac:dyDescent="0.25">
      <c r="E70">
        <v>1956</v>
      </c>
      <c r="F70" s="37">
        <f t="shared" si="2"/>
        <v>5073.3403901406318</v>
      </c>
      <c r="G70" s="7">
        <v>13.419999999999998</v>
      </c>
      <c r="H70" s="44">
        <v>12.1</v>
      </c>
      <c r="I70" s="44">
        <v>13.9</v>
      </c>
      <c r="J70" s="44">
        <v>13.9</v>
      </c>
      <c r="K70" s="44">
        <v>13.7</v>
      </c>
      <c r="L70" s="44">
        <v>13.5</v>
      </c>
    </row>
    <row r="71" spans="5:12" x14ac:dyDescent="0.25">
      <c r="E71">
        <v>1955</v>
      </c>
      <c r="F71" s="37">
        <f t="shared" si="2"/>
        <v>5073.3403901406318</v>
      </c>
      <c r="G71" s="7">
        <v>13.419999999999998</v>
      </c>
      <c r="H71" s="44">
        <v>12.1</v>
      </c>
      <c r="I71" s="44">
        <v>13.9</v>
      </c>
      <c r="J71" s="44">
        <v>13.9</v>
      </c>
      <c r="K71" s="44">
        <v>13.7</v>
      </c>
      <c r="L71" s="44">
        <v>13.5</v>
      </c>
    </row>
    <row r="72" spans="5:12" x14ac:dyDescent="0.25">
      <c r="E72">
        <v>1954</v>
      </c>
      <c r="F72" s="37">
        <f t="shared" si="2"/>
        <v>4203.8409194011801</v>
      </c>
      <c r="G72" s="7">
        <v>11.12</v>
      </c>
      <c r="H72" s="44">
        <v>10</v>
      </c>
      <c r="I72" s="44">
        <v>11.5</v>
      </c>
      <c r="J72" s="44">
        <v>11.5</v>
      </c>
      <c r="K72" s="44">
        <v>11.4</v>
      </c>
      <c r="L72" s="44">
        <v>11.2</v>
      </c>
    </row>
    <row r="73" spans="5:12" x14ac:dyDescent="0.25">
      <c r="E73">
        <v>1953</v>
      </c>
      <c r="F73" s="37">
        <f t="shared" si="2"/>
        <v>4203.8409194011801</v>
      </c>
      <c r="G73" s="7">
        <v>11.12</v>
      </c>
      <c r="H73" s="44">
        <v>10</v>
      </c>
      <c r="I73" s="44">
        <v>11.5</v>
      </c>
      <c r="J73" s="44">
        <v>11.5</v>
      </c>
      <c r="K73" s="44">
        <v>11.4</v>
      </c>
      <c r="L73" s="44">
        <v>11.2</v>
      </c>
    </row>
    <row r="74" spans="5:12" x14ac:dyDescent="0.25">
      <c r="E74">
        <v>1952</v>
      </c>
      <c r="F74" s="37">
        <f t="shared" si="2"/>
        <v>4203.8409194011801</v>
      </c>
      <c r="G74" s="7">
        <v>11.12</v>
      </c>
      <c r="H74" s="44">
        <v>10</v>
      </c>
      <c r="I74" s="44">
        <v>11.5</v>
      </c>
      <c r="J74" s="44">
        <v>11.5</v>
      </c>
      <c r="K74" s="44">
        <v>11.4</v>
      </c>
      <c r="L74" s="44">
        <v>11.2</v>
      </c>
    </row>
    <row r="75" spans="5:12" x14ac:dyDescent="0.25">
      <c r="E75">
        <v>1951</v>
      </c>
      <c r="F75" s="37">
        <f t="shared" si="2"/>
        <v>4203.8409194011801</v>
      </c>
      <c r="G75" s="7">
        <v>11.12</v>
      </c>
      <c r="H75" s="44">
        <v>10</v>
      </c>
      <c r="I75" s="44">
        <v>11.5</v>
      </c>
      <c r="J75" s="44">
        <v>11.5</v>
      </c>
      <c r="K75" s="44">
        <v>11.4</v>
      </c>
      <c r="L75" s="44">
        <v>11.2</v>
      </c>
    </row>
    <row r="76" spans="5:12" x14ac:dyDescent="0.25">
      <c r="E76">
        <v>1950</v>
      </c>
      <c r="F76" s="37">
        <f t="shared" si="2"/>
        <v>4203.8409194011801</v>
      </c>
      <c r="G76" s="7">
        <v>11.12</v>
      </c>
      <c r="H76" s="44">
        <v>10</v>
      </c>
      <c r="I76" s="44">
        <v>11.5</v>
      </c>
      <c r="J76" s="44">
        <v>11.5</v>
      </c>
      <c r="K76" s="44">
        <v>11.4</v>
      </c>
      <c r="L76" s="44">
        <v>11.2</v>
      </c>
    </row>
    <row r="77" spans="5:12" x14ac:dyDescent="0.25">
      <c r="E77">
        <v>1949</v>
      </c>
      <c r="F77" s="37"/>
      <c r="G77" s="7">
        <v>11.12</v>
      </c>
      <c r="H77" s="44">
        <v>10</v>
      </c>
      <c r="I77" s="44">
        <v>11.5</v>
      </c>
      <c r="J77" s="44">
        <v>11.5</v>
      </c>
      <c r="K77" s="44">
        <v>11.4</v>
      </c>
      <c r="L77" s="44">
        <v>11.2</v>
      </c>
    </row>
    <row r="78" spans="5:12" x14ac:dyDescent="0.25">
      <c r="E78">
        <v>1948</v>
      </c>
      <c r="F78" s="37"/>
      <c r="G78" s="7">
        <v>11.12</v>
      </c>
      <c r="H78" s="44">
        <v>10</v>
      </c>
      <c r="I78" s="44">
        <v>11.5</v>
      </c>
      <c r="J78" s="44">
        <v>11.5</v>
      </c>
      <c r="K78" s="44">
        <v>11.4</v>
      </c>
      <c r="L78" s="44">
        <v>11.2</v>
      </c>
    </row>
    <row r="79" spans="5:12" x14ac:dyDescent="0.25">
      <c r="E79">
        <v>1947</v>
      </c>
      <c r="F79" s="37"/>
      <c r="G79" s="7">
        <v>11.12</v>
      </c>
      <c r="H79" s="44">
        <v>10</v>
      </c>
      <c r="I79" s="44">
        <v>11.5</v>
      </c>
      <c r="J79" s="44">
        <v>11.5</v>
      </c>
      <c r="K79" s="44">
        <v>11.4</v>
      </c>
      <c r="L79" s="44">
        <v>11.2</v>
      </c>
    </row>
    <row r="80" spans="5:12" x14ac:dyDescent="0.25">
      <c r="E80">
        <v>1946</v>
      </c>
      <c r="F80" s="37"/>
      <c r="G80" s="7">
        <v>11.12</v>
      </c>
      <c r="H80" s="44">
        <v>10</v>
      </c>
      <c r="I80" s="44">
        <v>11.5</v>
      </c>
      <c r="J80" s="44">
        <v>11.5</v>
      </c>
      <c r="K80" s="44">
        <v>11.4</v>
      </c>
      <c r="L80" s="44">
        <v>11.2</v>
      </c>
    </row>
    <row r="81" spans="5:12" x14ac:dyDescent="0.25">
      <c r="E81">
        <v>1945</v>
      </c>
      <c r="F81" s="37"/>
      <c r="G81" s="7">
        <v>11.12</v>
      </c>
      <c r="H81" s="44">
        <v>10</v>
      </c>
      <c r="I81" s="44">
        <v>11.5</v>
      </c>
      <c r="J81" s="44">
        <v>11.5</v>
      </c>
      <c r="K81" s="44">
        <v>11.4</v>
      </c>
      <c r="L81" s="44">
        <v>11.2</v>
      </c>
    </row>
    <row r="82" spans="5:12" x14ac:dyDescent="0.25">
      <c r="E82">
        <v>1944</v>
      </c>
      <c r="F82" s="37"/>
      <c r="G82" s="7">
        <v>11.12</v>
      </c>
      <c r="H82" s="44">
        <v>10</v>
      </c>
      <c r="I82" s="44">
        <v>11.5</v>
      </c>
      <c r="J82" s="44">
        <v>11.5</v>
      </c>
      <c r="K82" s="44">
        <v>11.4</v>
      </c>
      <c r="L82" s="44">
        <v>11.2</v>
      </c>
    </row>
    <row r="83" spans="5:12" x14ac:dyDescent="0.25">
      <c r="E83">
        <v>1943</v>
      </c>
      <c r="F83" s="37"/>
      <c r="G83" s="7">
        <v>11.12</v>
      </c>
      <c r="H83" s="44">
        <v>10</v>
      </c>
      <c r="I83" s="44">
        <v>11.5</v>
      </c>
      <c r="J83" s="44">
        <v>11.5</v>
      </c>
      <c r="K83" s="44">
        <v>11.4</v>
      </c>
      <c r="L83" s="44">
        <v>11.2</v>
      </c>
    </row>
    <row r="84" spans="5:12" x14ac:dyDescent="0.25">
      <c r="E84">
        <v>1942</v>
      </c>
      <c r="F84" s="37"/>
      <c r="G84" s="7">
        <v>11.12</v>
      </c>
      <c r="H84" s="44">
        <v>10</v>
      </c>
      <c r="I84" s="44">
        <v>11.5</v>
      </c>
      <c r="J84" s="44">
        <v>11.5</v>
      </c>
      <c r="K84" s="44">
        <v>11.4</v>
      </c>
      <c r="L84" s="44">
        <v>11.2</v>
      </c>
    </row>
    <row r="85" spans="5:12" x14ac:dyDescent="0.25">
      <c r="E85">
        <v>1941</v>
      </c>
      <c r="F85" s="37"/>
      <c r="G85" s="7">
        <v>11.12</v>
      </c>
      <c r="H85" s="44">
        <v>10</v>
      </c>
      <c r="I85" s="44">
        <v>11.5</v>
      </c>
      <c r="J85" s="44">
        <v>11.5</v>
      </c>
      <c r="K85" s="44">
        <v>11.4</v>
      </c>
      <c r="L85" s="44">
        <v>11.2</v>
      </c>
    </row>
    <row r="86" spans="5:12" x14ac:dyDescent="0.25">
      <c r="E86">
        <v>1940</v>
      </c>
      <c r="F86" s="37"/>
      <c r="G86" s="7">
        <v>11.12</v>
      </c>
      <c r="H86" s="44">
        <v>10</v>
      </c>
      <c r="I86" s="44">
        <v>11.5</v>
      </c>
      <c r="J86" s="44">
        <v>11.5</v>
      </c>
      <c r="K86" s="44">
        <v>11.4</v>
      </c>
      <c r="L86" s="44">
        <v>11.2</v>
      </c>
    </row>
  </sheetData>
  <phoneticPr fontId="6" type="noConversion"/>
  <pageMargins left="0.75" right="0.75" top="1" bottom="1" header="0.5" footer="0.5"/>
  <headerFooter alignWithMargins="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filterMode="1">
    <tabColor theme="0" tint="-0.249977111117893"/>
  </sheetPr>
  <dimension ref="A1:AA795"/>
  <sheetViews>
    <sheetView zoomScaleNormal="100" workbookViewId="0">
      <pane xSplit="1" ySplit="1" topLeftCell="B2" activePane="bottomRight" state="frozen"/>
      <selection pane="topRight" activeCell="B1" sqref="B1"/>
      <selection pane="bottomLeft" activeCell="A2" sqref="A2"/>
      <selection pane="bottomRight" activeCell="A399" sqref="A399"/>
    </sheetView>
  </sheetViews>
  <sheetFormatPr defaultColWidth="8.88671875" defaultRowHeight="13.2" x14ac:dyDescent="0.25"/>
  <cols>
    <col min="1" max="1" width="12.5546875" customWidth="1"/>
    <col min="2" max="2" width="16.6640625" style="36" bestFit="1" customWidth="1"/>
    <col min="3" max="3" width="11.33203125" style="63" bestFit="1" customWidth="1"/>
    <col min="4" max="4" width="11" style="63" customWidth="1"/>
    <col min="5" max="5" width="9.33203125" style="31" customWidth="1"/>
    <col min="6" max="6" width="8.6640625" style="31" customWidth="1"/>
    <col min="7" max="7" width="9.33203125" style="59" bestFit="1" customWidth="1"/>
    <col min="8" max="8" width="12.33203125" style="63" bestFit="1" customWidth="1"/>
    <col min="9" max="9" width="10.44140625" style="59" bestFit="1" customWidth="1"/>
    <col min="10" max="10" width="10.6640625" style="163" bestFit="1" customWidth="1"/>
    <col min="11" max="11" width="10.5546875" style="163" customWidth="1"/>
    <col min="12" max="12" width="9.109375"/>
    <col min="13" max="13" width="11.6640625" style="31" bestFit="1" customWidth="1"/>
    <col min="14" max="14" width="14.88671875" style="31" bestFit="1" customWidth="1"/>
    <col min="15" max="15" width="11.44140625" style="31" bestFit="1" customWidth="1"/>
    <col min="16" max="16" width="8.88671875" style="31"/>
    <col min="17" max="17" width="8.33203125" style="31" bestFit="1" customWidth="1"/>
    <col min="18" max="18" width="10.44140625" style="59" bestFit="1" customWidth="1"/>
    <col min="19" max="19" width="11.44140625" style="63" bestFit="1" customWidth="1"/>
    <col min="20" max="20" width="16.6640625" style="31" bestFit="1" customWidth="1"/>
    <col min="21" max="21" width="11.33203125" style="31" bestFit="1" customWidth="1"/>
    <col min="22" max="22" width="11" style="31" customWidth="1"/>
    <col min="23" max="23" width="6" style="31" bestFit="1" customWidth="1"/>
    <col min="24" max="24" width="8.6640625" style="31" customWidth="1"/>
    <col min="25" max="25" width="8.33203125" style="31" bestFit="1" customWidth="1"/>
    <col min="26" max="26" width="7.88671875" style="31" bestFit="1" customWidth="1"/>
    <col min="27" max="27" width="11.44140625" style="31" bestFit="1" customWidth="1"/>
    <col min="28" max="16384" width="8.88671875" style="31"/>
  </cols>
  <sheetData>
    <row r="1" spans="1:27" s="64" customFormat="1" ht="38.4" customHeight="1" x14ac:dyDescent="0.25">
      <c r="A1" s="142" t="s">
        <v>48</v>
      </c>
      <c r="B1" s="142" t="s">
        <v>349</v>
      </c>
      <c r="C1" s="141" t="s">
        <v>561</v>
      </c>
      <c r="D1" s="141" t="s">
        <v>562</v>
      </c>
      <c r="E1" s="142" t="s">
        <v>560</v>
      </c>
      <c r="F1" s="142" t="s">
        <v>563</v>
      </c>
      <c r="G1" s="148" t="s">
        <v>571</v>
      </c>
      <c r="H1" s="141" t="s">
        <v>352</v>
      </c>
      <c r="I1" s="148" t="s">
        <v>350</v>
      </c>
      <c r="J1" s="142" t="s">
        <v>27</v>
      </c>
      <c r="K1" s="142" t="s">
        <v>802</v>
      </c>
      <c r="L1" s="148" t="s">
        <v>572</v>
      </c>
      <c r="M1" s="224" t="s">
        <v>599</v>
      </c>
      <c r="N1" s="142"/>
      <c r="O1" s="142"/>
      <c r="R1" s="65"/>
      <c r="S1" s="66"/>
      <c r="T1" s="65"/>
    </row>
    <row r="2" spans="1:27" hidden="1" x14ac:dyDescent="0.25">
      <c r="A2">
        <v>1114501442</v>
      </c>
      <c r="B2" s="36">
        <v>0.68513532662604515</v>
      </c>
      <c r="C2" s="63">
        <f>_xlfn.XLOOKUP($A2,'[1]FRV Output'!$F:$F,'[1]FRV Output'!$M:$M)</f>
        <v>51274.113785557987</v>
      </c>
      <c r="D2" s="63">
        <f>_xlfn.XLOOKUP($A2,'[1]FRV Output'!$F:$F,'[1]FRV Output'!$N:$N)</f>
        <v>41064.169902656948</v>
      </c>
      <c r="E2" s="31">
        <f>_xlfn.XLOOKUP($A2,'[1]FRV Output'!$F:$F,'[1]FRV Output'!$U:$U)</f>
        <v>27215</v>
      </c>
      <c r="F2" s="31">
        <f>_xlfn.XLOOKUP($A2,'[1]FRV Output'!$F:$F,'[1]FRV Output'!$W:$W)</f>
        <v>180</v>
      </c>
      <c r="G2" s="59">
        <f>_xlfn.XLOOKUP($A2,'[1]FRV Output'!$F:$F,'[1]FRV Output'!$AO:$AO)</f>
        <v>16.509999999999991</v>
      </c>
      <c r="H2" s="63">
        <f>+I2*F2</f>
        <v>51563.999999999993</v>
      </c>
      <c r="I2" s="59">
        <f>_xlfn.XLOOKUP($A2,'[1]FRV Output'!$F:$F,'[1]FRV Output'!$Z:$Z)</f>
        <v>286.46666666666664</v>
      </c>
      <c r="J2" s="162">
        <v>9.4499999999999993</v>
      </c>
      <c r="K2" s="164">
        <v>1.2385999999999999</v>
      </c>
      <c r="L2" s="59">
        <f>_xlfn.XLOOKUP(A2,'[1]Aging Schedule'!$OA:$OA,'[1]Aging Schedule'!$NW:$NW)</f>
        <v>16.509999999999991</v>
      </c>
      <c r="M2" s="59">
        <f>_xlfn.XLOOKUP(A2,'[1]FRV Output'!$F:$F,'[1]FRV Output'!$BC:$BC)</f>
        <v>19.251895039484307</v>
      </c>
      <c r="N2" s="68"/>
      <c r="O2" s="68"/>
      <c r="R2" s="31"/>
      <c r="T2" s="59"/>
      <c r="U2" s="108"/>
      <c r="V2" s="110"/>
      <c r="Y2" s="59"/>
      <c r="Z2" s="63"/>
      <c r="AA2" s="63"/>
    </row>
    <row r="3" spans="1:27" hidden="1" x14ac:dyDescent="0.25">
      <c r="A3">
        <v>1962126904</v>
      </c>
      <c r="B3" s="36">
        <v>0.65933065189345075</v>
      </c>
      <c r="C3" s="63">
        <f>_xlfn.XLOOKUP($A3,'[1]FRV Output'!$F:$F,'[1]FRV Output'!$M:$M)</f>
        <v>17558</v>
      </c>
      <c r="D3" s="63">
        <f>_xlfn.XLOOKUP($A3,'[1]FRV Output'!$F:$F,'[1]FRV Output'!$N:$N)</f>
        <v>17606.104109589043</v>
      </c>
      <c r="E3" s="31">
        <f>_xlfn.XLOOKUP(A3,'[1]FRV Output'!$F:$F,'[1]FRV Output'!$U:$U)</f>
        <v>28054</v>
      </c>
      <c r="F3" s="31">
        <f>_xlfn.XLOOKUP($A3,'[1]FRV Output'!$F:$F,'[1]FRV Output'!$W:$W)</f>
        <v>60</v>
      </c>
      <c r="G3" s="59">
        <f>_xlfn.XLOOKUP($A3,'[1]FRV Output'!$F:$F,'[1]FRV Output'!$AO:$AO)</f>
        <v>25.269999999999982</v>
      </c>
      <c r="H3" s="63">
        <f t="shared" ref="H3:H66" si="0">+I3*F3</f>
        <v>17703.794984040127</v>
      </c>
      <c r="I3" s="59">
        <f>_xlfn.XLOOKUP($A3,'[1]FRV Output'!$F:$F,'[1]FRV Output'!$Z:$Z)</f>
        <v>295.06324973400211</v>
      </c>
      <c r="J3" s="162">
        <v>29.25</v>
      </c>
      <c r="K3" s="164">
        <v>1.1662999999999999</v>
      </c>
      <c r="L3" s="59">
        <f>_xlfn.XLOOKUP(A3,'[1]Aging Schedule'!$OA:$OA,'[1]Aging Schedule'!$NW:$NW)</f>
        <v>25.269999999999982</v>
      </c>
      <c r="M3" s="59">
        <f>_xlfn.XLOOKUP(A3,'[1]FRV Output'!$F:$F,'[1]FRV Output'!$BC:$BC)</f>
        <v>13.147780941659905</v>
      </c>
      <c r="N3" s="68"/>
      <c r="O3" s="68"/>
      <c r="Q3" s="178"/>
      <c r="R3" s="31"/>
      <c r="T3" s="59"/>
      <c r="U3" s="108"/>
      <c r="V3" s="110"/>
      <c r="Y3" s="59"/>
      <c r="Z3" s="63"/>
      <c r="AA3" s="63"/>
    </row>
    <row r="4" spans="1:27" hidden="1" x14ac:dyDescent="0.25">
      <c r="A4">
        <v>1760106702</v>
      </c>
      <c r="B4" s="36">
        <v>0.62328819524137402</v>
      </c>
      <c r="C4" s="63">
        <f>_xlfn.XLOOKUP($A4,'[1]FRV Output'!$F:$F,'[1]FRV Output'!$M:$M)</f>
        <v>27887</v>
      </c>
      <c r="D4" s="63">
        <f>_xlfn.XLOOKUP($A4,'[1]FRV Output'!$F:$F,'[1]FRV Output'!$N:$N)</f>
        <v>27963.402739726029</v>
      </c>
      <c r="E4" s="31">
        <f>_xlfn.XLOOKUP(A4,'[1]FRV Output'!$F:$F,'[1]FRV Output'!$U:$U)</f>
        <v>27292</v>
      </c>
      <c r="F4" s="31">
        <f>_xlfn.XLOOKUP($A4,'[1]FRV Output'!$F:$F,'[1]FRV Output'!$W:$W)</f>
        <v>100</v>
      </c>
      <c r="G4" s="59">
        <f>_xlfn.XLOOKUP($A4,'[1]FRV Output'!$F:$F,'[1]FRV Output'!$AO:$AO)</f>
        <v>16.930000000000064</v>
      </c>
      <c r="H4" s="63">
        <f t="shared" si="0"/>
        <v>55000</v>
      </c>
      <c r="I4" s="59">
        <f>_xlfn.XLOOKUP($A4,'[1]FRV Output'!$F:$F,'[1]FRV Output'!$Z:$Z)</f>
        <v>550</v>
      </c>
      <c r="J4" s="162">
        <v>29.25</v>
      </c>
      <c r="K4" s="164">
        <v>1.3121</v>
      </c>
      <c r="L4" s="59">
        <f>_xlfn.XLOOKUP(A4,'[1]Aging Schedule'!$OA:$OA,'[1]Aging Schedule'!$NW:$NW)</f>
        <v>16.930000000000064</v>
      </c>
      <c r="M4" s="59">
        <f>_xlfn.XLOOKUP(A4,'[1]FRV Output'!$F:$F,'[1]FRV Output'!$BC:$BC)</f>
        <v>25.59238111087836</v>
      </c>
      <c r="N4" s="68"/>
      <c r="O4" s="68"/>
      <c r="R4" s="31"/>
      <c r="T4" s="59"/>
      <c r="U4" s="108"/>
      <c r="V4" s="110"/>
      <c r="Y4" s="59"/>
      <c r="Z4" s="63"/>
      <c r="AA4" s="63"/>
    </row>
    <row r="5" spans="1:27" hidden="1" x14ac:dyDescent="0.25">
      <c r="A5">
        <v>1962505313</v>
      </c>
      <c r="B5" s="36">
        <v>0.64008067473413999</v>
      </c>
      <c r="C5" s="63">
        <f>_xlfn.XLOOKUP($A5,'[1]FRV Output'!$F:$F,'[1]FRV Output'!$M:$M)</f>
        <v>35566</v>
      </c>
      <c r="D5" s="63">
        <f>_xlfn.XLOOKUP($A5,'[1]FRV Output'!$F:$F,'[1]FRV Output'!$N:$N)</f>
        <v>35663.441095890412</v>
      </c>
      <c r="E5" s="31">
        <f>_xlfn.XLOOKUP(A5,'[1]FRV Output'!$F:$F,'[1]FRV Output'!$U:$U)</f>
        <v>28640</v>
      </c>
      <c r="F5" s="31">
        <f>_xlfn.XLOOKUP($A5,'[1]FRV Output'!$F:$F,'[1]FRV Output'!$W:$W)</f>
        <v>210</v>
      </c>
      <c r="G5" s="59">
        <f>_xlfn.XLOOKUP($A5,'[1]FRV Output'!$F:$F,'[1]FRV Output'!$AO:$AO)</f>
        <v>22.650000000000091</v>
      </c>
      <c r="H5" s="63">
        <f t="shared" si="0"/>
        <v>86795</v>
      </c>
      <c r="I5" s="59">
        <f>_xlfn.XLOOKUP($A5,'[1]FRV Output'!$F:$F,'[1]FRV Output'!$Z:$Z)</f>
        <v>413.3095238095238</v>
      </c>
      <c r="J5" s="162">
        <v>29.25</v>
      </c>
      <c r="K5" s="164">
        <v>1.3192999999999999</v>
      </c>
      <c r="L5" s="59">
        <f>_xlfn.XLOOKUP(A5,'[1]Aging Schedule'!$OA:$OA,'[1]Aging Schedule'!$NW:$NW)</f>
        <v>22.650000000000091</v>
      </c>
      <c r="M5" s="59">
        <f>_xlfn.XLOOKUP(A5,'[1]FRV Output'!$F:$F,'[1]FRV Output'!$BC:$BC)</f>
        <v>16.829967884951607</v>
      </c>
      <c r="N5" s="68"/>
      <c r="O5" s="68"/>
      <c r="R5" s="31"/>
      <c r="T5" s="59"/>
      <c r="U5" s="108"/>
      <c r="V5" s="110"/>
      <c r="Y5" s="59"/>
      <c r="Z5" s="63"/>
      <c r="AA5" s="63"/>
    </row>
    <row r="6" spans="1:27" hidden="1" x14ac:dyDescent="0.25">
      <c r="A6">
        <v>1396202024</v>
      </c>
      <c r="B6" s="36">
        <v>0.60816967792615872</v>
      </c>
      <c r="C6" s="63">
        <f>_xlfn.XLOOKUP($A6,'[1]FRV Output'!$F:$F,'[1]FRV Output'!$M:$M)</f>
        <v>29742</v>
      </c>
      <c r="D6" s="63">
        <f>_xlfn.XLOOKUP($A6,'[1]FRV Output'!$F:$F,'[1]FRV Output'!$N:$N)</f>
        <v>29823.484931506853</v>
      </c>
      <c r="E6" s="31">
        <f>_xlfn.XLOOKUP(A6,'[1]FRV Output'!$F:$F,'[1]FRV Output'!$U:$U)</f>
        <v>28778</v>
      </c>
      <c r="F6" s="31">
        <f>_xlfn.XLOOKUP($A6,'[1]FRV Output'!$F:$F,'[1]FRV Output'!$W:$W)</f>
        <v>106</v>
      </c>
      <c r="G6" s="59">
        <f>_xlfn.XLOOKUP($A6,'[1]FRV Output'!$F:$F,'[1]FRV Output'!$AO:$AO)</f>
        <v>14.440000000000055</v>
      </c>
      <c r="H6" s="63">
        <f t="shared" si="0"/>
        <v>34353</v>
      </c>
      <c r="I6" s="59">
        <f>_xlfn.XLOOKUP($A6,'[1]FRV Output'!$F:$F,'[1]FRV Output'!$Z:$Z)</f>
        <v>324.08490566037733</v>
      </c>
      <c r="J6" s="162">
        <v>29.25</v>
      </c>
      <c r="K6" s="164">
        <v>1.1950000000000001</v>
      </c>
      <c r="L6" s="59">
        <f>_xlfn.XLOOKUP(A6,'[1]Aging Schedule'!$OA:$OA,'[1]Aging Schedule'!$NW:$NW)</f>
        <v>14.440000000000055</v>
      </c>
      <c r="M6" s="59">
        <f>_xlfn.XLOOKUP(A6,'[1]FRV Output'!$F:$F,'[1]FRV Output'!$BC:$BC)</f>
        <v>19.638481059790511</v>
      </c>
      <c r="N6" s="68"/>
      <c r="O6" s="68"/>
      <c r="R6" s="31"/>
      <c r="T6" s="59"/>
      <c r="U6" s="108"/>
      <c r="V6" s="110"/>
      <c r="Y6" s="59"/>
      <c r="Z6" s="63"/>
      <c r="AA6" s="63"/>
    </row>
    <row r="7" spans="1:27" hidden="1" x14ac:dyDescent="0.25">
      <c r="A7">
        <v>1194722629</v>
      </c>
      <c r="B7" s="36">
        <v>0.70954356846473021</v>
      </c>
      <c r="C7" s="63">
        <f>_xlfn.XLOOKUP($A7,'[1]FRV Output'!$F:$F,'[1]FRV Output'!$M:$M)</f>
        <v>30227</v>
      </c>
      <c r="D7" s="63">
        <f>_xlfn.XLOOKUP($A7,'[1]FRV Output'!$F:$F,'[1]FRV Output'!$N:$N)</f>
        <v>30309.81369863014</v>
      </c>
      <c r="E7" s="31">
        <f>_xlfn.XLOOKUP(A7,'[1]FRV Output'!$F:$F,'[1]FRV Output'!$U:$U)</f>
        <v>28806</v>
      </c>
      <c r="F7" s="31">
        <f>_xlfn.XLOOKUP($A7,'[1]FRV Output'!$F:$F,'[1]FRV Output'!$W:$W)</f>
        <v>120</v>
      </c>
      <c r="G7" s="59">
        <f>_xlfn.XLOOKUP($A7,'[1]FRV Output'!$F:$F,'[1]FRV Output'!$AO:$AO)</f>
        <v>5.5299999999999727</v>
      </c>
      <c r="H7" s="63">
        <f t="shared" si="0"/>
        <v>72307.628347090795</v>
      </c>
      <c r="I7" s="59">
        <f>_xlfn.XLOOKUP($A7,'[1]FRV Output'!$F:$F,'[1]FRV Output'!$Z:$Z)</f>
        <v>602.56356955908996</v>
      </c>
      <c r="J7" s="162">
        <v>29.25</v>
      </c>
      <c r="K7" s="164">
        <v>1.1912</v>
      </c>
      <c r="L7" s="59">
        <f>_xlfn.XLOOKUP(A7,'[1]Aging Schedule'!$OA:$OA,'[1]Aging Schedule'!$NW:$NW)</f>
        <v>5.5299999999999727</v>
      </c>
      <c r="M7" s="59">
        <f>_xlfn.XLOOKUP(A7,'[1]FRV Output'!$F:$F,'[1]FRV Output'!$BC:$BC)</f>
        <v>35.172914088690838</v>
      </c>
      <c r="N7" s="68"/>
      <c r="O7" s="68"/>
      <c r="R7" s="31"/>
      <c r="T7" s="59"/>
      <c r="U7" s="108"/>
      <c r="V7" s="110"/>
      <c r="Y7" s="59"/>
      <c r="Z7" s="63"/>
      <c r="AA7" s="63"/>
    </row>
    <row r="8" spans="1:27" hidden="1" x14ac:dyDescent="0.25">
      <c r="A8">
        <v>1255878245</v>
      </c>
      <c r="B8" s="36">
        <v>0.64206844523695217</v>
      </c>
      <c r="C8" s="63">
        <f>_xlfn.XLOOKUP($A8,'[1]FRV Output'!$F:$F,'[1]FRV Output'!$M:$M)</f>
        <v>27160</v>
      </c>
      <c r="D8" s="63">
        <f>_xlfn.XLOOKUP($A8,'[1]FRV Output'!$F:$F,'[1]FRV Output'!$N:$N)</f>
        <v>27234.410958904111</v>
      </c>
      <c r="E8" s="31">
        <f>_xlfn.XLOOKUP(A8,'[1]FRV Output'!$F:$F,'[1]FRV Output'!$U:$U)</f>
        <v>27209</v>
      </c>
      <c r="F8" s="31">
        <f>_xlfn.XLOOKUP($A8,'[1]FRV Output'!$F:$F,'[1]FRV Output'!$W:$W)</f>
        <v>141</v>
      </c>
      <c r="G8" s="59">
        <f>_xlfn.XLOOKUP($A8,'[1]FRV Output'!$F:$F,'[1]FRV Output'!$AO:$AO)</f>
        <v>29.279999999999973</v>
      </c>
      <c r="H8" s="63">
        <f t="shared" si="0"/>
        <v>50014.306784660766</v>
      </c>
      <c r="I8" s="59">
        <f>_xlfn.XLOOKUP($A8,'[1]FRV Output'!$F:$F,'[1]FRV Output'!$Z:$Z)</f>
        <v>354.71139563589196</v>
      </c>
      <c r="J8" s="162">
        <v>29.25</v>
      </c>
      <c r="K8" s="164">
        <v>1.1913</v>
      </c>
      <c r="L8" s="59">
        <f>_xlfn.XLOOKUP(A8,'[1]Aging Schedule'!$OA:$OA,'[1]Aging Schedule'!$NW:$NW)</f>
        <v>29.279999999999973</v>
      </c>
      <c r="M8" s="59">
        <f>_xlfn.XLOOKUP(A8,'[1]FRV Output'!$F:$F,'[1]FRV Output'!$BC:$BC)</f>
        <v>11.768345193633253</v>
      </c>
      <c r="N8" s="68"/>
      <c r="O8" s="68"/>
      <c r="R8" s="31"/>
      <c r="T8" s="59"/>
      <c r="U8" s="108"/>
      <c r="V8" s="110"/>
      <c r="Y8" s="59"/>
      <c r="Z8" s="63"/>
      <c r="AA8" s="63"/>
    </row>
    <row r="9" spans="1:27" hidden="1" x14ac:dyDescent="0.25">
      <c r="A9">
        <v>1275519506</v>
      </c>
      <c r="B9" s="36">
        <v>0.62167197081425141</v>
      </c>
      <c r="C9" s="63">
        <f>_xlfn.XLOOKUP($A9,'[1]FRV Output'!$F:$F,'[1]FRV Output'!$M:$M)</f>
        <v>28215</v>
      </c>
      <c r="D9" s="63">
        <f>_xlfn.XLOOKUP($A9,'[1]FRV Output'!$F:$F,'[1]FRV Output'!$N:$N)</f>
        <v>28292.301369863017</v>
      </c>
      <c r="E9" s="31">
        <f>_xlfn.XLOOKUP(A9,'[1]FRV Output'!$F:$F,'[1]FRV Output'!$U:$U)</f>
        <v>28619</v>
      </c>
      <c r="F9" s="31">
        <f>_xlfn.XLOOKUP($A9,'[1]FRV Output'!$F:$F,'[1]FRV Output'!$W:$W)</f>
        <v>100</v>
      </c>
      <c r="G9" s="59">
        <f>_xlfn.XLOOKUP($A9,'[1]FRV Output'!$F:$F,'[1]FRV Output'!$AO:$AO)</f>
        <v>31.400000000000091</v>
      </c>
      <c r="H9" s="63">
        <f t="shared" si="0"/>
        <v>37684.210526315786</v>
      </c>
      <c r="I9" s="59">
        <f>_xlfn.XLOOKUP($A9,'[1]FRV Output'!$F:$F,'[1]FRV Output'!$Z:$Z)</f>
        <v>376.84210526315786</v>
      </c>
      <c r="J9" s="162">
        <v>29.25</v>
      </c>
      <c r="K9" s="164">
        <v>1.2485999999999999</v>
      </c>
      <c r="L9" s="59">
        <f>_xlfn.XLOOKUP(A9,'[1]Aging Schedule'!$OA:$OA,'[1]Aging Schedule'!$NW:$NW)</f>
        <v>31.400000000000091</v>
      </c>
      <c r="M9" s="59">
        <f>_xlfn.XLOOKUP(A9,'[1]FRV Output'!$F:$F,'[1]FRV Output'!$BC:$BC)</f>
        <v>11.492299787862038</v>
      </c>
      <c r="N9" s="68"/>
      <c r="O9" s="68"/>
      <c r="R9" s="31"/>
      <c r="T9" s="59"/>
      <c r="U9" s="108"/>
      <c r="V9" s="110"/>
      <c r="Y9" s="59"/>
      <c r="Z9" s="63"/>
      <c r="AA9" s="63"/>
    </row>
    <row r="10" spans="1:27" hidden="1" x14ac:dyDescent="0.25">
      <c r="A10">
        <v>1770995094</v>
      </c>
      <c r="B10" s="36">
        <v>0.62451068955133993</v>
      </c>
      <c r="C10" s="63">
        <f>_xlfn.XLOOKUP($A10,'[1]FRV Output'!$F:$F,'[1]FRV Output'!$M:$M)</f>
        <v>10174</v>
      </c>
      <c r="D10" s="63">
        <f>_xlfn.XLOOKUP($A10,'[1]FRV Output'!$F:$F,'[1]FRV Output'!$N:$N)</f>
        <v>10201.873972602742</v>
      </c>
      <c r="E10" s="31">
        <f>_xlfn.XLOOKUP(A10,'[1]FRV Output'!$F:$F,'[1]FRV Output'!$U:$U)</f>
        <v>28043</v>
      </c>
      <c r="F10" s="31">
        <f>_xlfn.XLOOKUP($A10,'[1]FRV Output'!$F:$F,'[1]FRV Output'!$W:$W)</f>
        <v>100</v>
      </c>
      <c r="G10" s="59">
        <f>_xlfn.XLOOKUP($A10,'[1]FRV Output'!$F:$F,'[1]FRV Output'!$AO:$AO)</f>
        <v>26.8900000000001</v>
      </c>
      <c r="H10" s="63">
        <f t="shared" si="0"/>
        <v>25129.789985029482</v>
      </c>
      <c r="I10" s="59">
        <f>_xlfn.XLOOKUP($A10,'[1]FRV Output'!$F:$F,'[1]FRV Output'!$Z:$Z)</f>
        <v>251.29789985029481</v>
      </c>
      <c r="J10" s="162">
        <v>29.25</v>
      </c>
      <c r="K10" s="164">
        <v>1.0255000000000001</v>
      </c>
      <c r="L10" s="59">
        <f>_xlfn.XLOOKUP(A10,'[1]Aging Schedule'!$OA:$OA,'[1]Aging Schedule'!$NW:$NW)</f>
        <v>26.8900000000001</v>
      </c>
      <c r="M10" s="59">
        <f>_xlfn.XLOOKUP(A10,'[1]FRV Output'!$F:$F,'[1]FRV Output'!$BC:$BC)</f>
        <v>12.681576853344076</v>
      </c>
      <c r="N10" s="68"/>
      <c r="O10" s="68"/>
      <c r="R10" s="31"/>
      <c r="T10" s="59"/>
      <c r="U10" s="108"/>
      <c r="V10" s="110"/>
      <c r="Y10" s="59"/>
      <c r="Z10" s="63"/>
      <c r="AA10" s="63"/>
    </row>
    <row r="11" spans="1:27" hidden="1" x14ac:dyDescent="0.25">
      <c r="A11">
        <v>1609852375</v>
      </c>
      <c r="B11" s="36">
        <v>0.62215152411956209</v>
      </c>
      <c r="C11" s="63">
        <f>_xlfn.XLOOKUP($A11,'[1]FRV Output'!$F:$F,'[1]FRV Output'!$M:$M)</f>
        <v>32331</v>
      </c>
      <c r="D11" s="63">
        <f>_xlfn.XLOOKUP($A11,'[1]FRV Output'!$F:$F,'[1]FRV Output'!$N:$N)</f>
        <v>32419.578082191783</v>
      </c>
      <c r="E11" s="31">
        <f>_xlfn.XLOOKUP(A11,'[1]FRV Output'!$F:$F,'[1]FRV Output'!$U:$U)</f>
        <v>28752</v>
      </c>
      <c r="F11" s="31">
        <f>_xlfn.XLOOKUP($A11,'[1]FRV Output'!$F:$F,'[1]FRV Output'!$W:$W)</f>
        <v>110</v>
      </c>
      <c r="G11" s="59">
        <f>_xlfn.XLOOKUP($A11,'[1]FRV Output'!$F:$F,'[1]FRV Output'!$AO:$AO)</f>
        <v>33.099999999999909</v>
      </c>
      <c r="H11" s="63">
        <f t="shared" si="0"/>
        <v>37900.498753117208</v>
      </c>
      <c r="I11" s="59">
        <f>_xlfn.XLOOKUP($A11,'[1]FRV Output'!$F:$F,'[1]FRV Output'!$Z:$Z)</f>
        <v>344.54998866470191</v>
      </c>
      <c r="J11" s="162">
        <v>29.25</v>
      </c>
      <c r="K11" s="164">
        <v>1.1211</v>
      </c>
      <c r="L11" s="59">
        <f>_xlfn.XLOOKUP(A11,'[1]Aging Schedule'!$OA:$OA,'[1]Aging Schedule'!$NW:$NW)</f>
        <v>33.099999999999909</v>
      </c>
      <c r="M11" s="59">
        <f>_xlfn.XLOOKUP(A11,'[1]FRV Output'!$F:$F,'[1]FRV Output'!$BC:$BC)</f>
        <v>9.6130363602099784</v>
      </c>
      <c r="N11" s="68"/>
      <c r="O11" s="68"/>
      <c r="R11" s="31"/>
      <c r="T11" s="59"/>
      <c r="U11" s="108"/>
      <c r="V11" s="110"/>
      <c r="Y11" s="59"/>
      <c r="Z11" s="63"/>
      <c r="AA11" s="63"/>
    </row>
    <row r="12" spans="1:27" hidden="1" x14ac:dyDescent="0.25">
      <c r="A12">
        <v>1093791337</v>
      </c>
      <c r="B12" s="36">
        <v>0.65260011123470529</v>
      </c>
      <c r="C12" s="63">
        <f>_xlfn.XLOOKUP($A12,'[1]FRV Output'!$F:$F,'[1]FRV Output'!$M:$M)</f>
        <v>28817</v>
      </c>
      <c r="D12" s="63">
        <f>_xlfn.XLOOKUP($A12,'[1]FRV Output'!$F:$F,'[1]FRV Output'!$N:$N)</f>
        <v>28895.950684931511</v>
      </c>
      <c r="E12" s="31">
        <f>_xlfn.XLOOKUP(A12,'[1]FRV Output'!$F:$F,'[1]FRV Output'!$U:$U)</f>
        <v>28103</v>
      </c>
      <c r="F12" s="31">
        <f>_xlfn.XLOOKUP($A12,'[1]FRV Output'!$F:$F,'[1]FRV Output'!$W:$W)</f>
        <v>110</v>
      </c>
      <c r="G12" s="59">
        <f>_xlfn.XLOOKUP($A12,'[1]FRV Output'!$F:$F,'[1]FRV Output'!$AO:$AO)</f>
        <v>10.190000000000055</v>
      </c>
      <c r="H12" s="63">
        <f t="shared" si="0"/>
        <v>50841.91082802548</v>
      </c>
      <c r="I12" s="59">
        <f>_xlfn.XLOOKUP($A12,'[1]FRV Output'!$F:$F,'[1]FRV Output'!$Z:$Z)</f>
        <v>462.19918934568619</v>
      </c>
      <c r="J12" s="162">
        <v>29.25</v>
      </c>
      <c r="K12" s="164">
        <v>1.1496</v>
      </c>
      <c r="L12" s="59">
        <f>_xlfn.XLOOKUP(A12,'[1]Aging Schedule'!$OA:$OA,'[1]Aging Schedule'!$NW:$NW)</f>
        <v>10.190000000000055</v>
      </c>
      <c r="M12" s="59">
        <f>_xlfn.XLOOKUP(A12,'[1]FRV Output'!$F:$F,'[1]FRV Output'!$BC:$BC)</f>
        <v>25.626129684792851</v>
      </c>
      <c r="N12" s="68"/>
      <c r="O12" s="68"/>
      <c r="R12" s="31"/>
      <c r="T12" s="59"/>
      <c r="U12" s="108"/>
      <c r="V12" s="110"/>
      <c r="Y12" s="59"/>
      <c r="Z12" s="63"/>
      <c r="AA12" s="63"/>
    </row>
    <row r="13" spans="1:27" hidden="1" x14ac:dyDescent="0.25">
      <c r="A13">
        <v>1912485517</v>
      </c>
      <c r="B13" s="36">
        <v>0.63963075188499752</v>
      </c>
      <c r="C13" s="63">
        <f>_xlfn.XLOOKUP($A13,'[1]FRV Output'!$F:$F,'[1]FRV Output'!$M:$M)</f>
        <v>31385</v>
      </c>
      <c r="D13" s="63">
        <f>_xlfn.XLOOKUP($A13,'[1]FRV Output'!$F:$F,'[1]FRV Output'!$N:$N)</f>
        <v>31470.986301369867</v>
      </c>
      <c r="E13" s="31">
        <f>_xlfn.XLOOKUP(A13,'[1]FRV Output'!$F:$F,'[1]FRV Output'!$U:$U)</f>
        <v>27028</v>
      </c>
      <c r="F13" s="31">
        <f>_xlfn.XLOOKUP($A13,'[1]FRV Output'!$F:$F,'[1]FRV Output'!$W:$W)</f>
        <v>96</v>
      </c>
      <c r="G13" s="59">
        <f>_xlfn.XLOOKUP($A13,'[1]FRV Output'!$F:$F,'[1]FRV Output'!$AO:$AO)</f>
        <v>5</v>
      </c>
      <c r="H13" s="63">
        <f t="shared" si="0"/>
        <v>56888.888888888891</v>
      </c>
      <c r="I13" s="59">
        <f>_xlfn.XLOOKUP($A13,'[1]FRV Output'!$F:$F,'[1]FRV Output'!$Z:$Z)</f>
        <v>592.59259259259261</v>
      </c>
      <c r="J13" s="162">
        <v>29.25</v>
      </c>
      <c r="K13" s="164">
        <v>1.1666000000000001</v>
      </c>
      <c r="L13" s="59">
        <f>_xlfn.XLOOKUP(A13,'[1]Aging Schedule'!$OA:$OA,'[1]Aging Schedule'!$NW:$NW)</f>
        <v>5</v>
      </c>
      <c r="M13" s="59">
        <f>_xlfn.XLOOKUP(A13,'[1]FRV Output'!$F:$F,'[1]FRV Output'!$BC:$BC)</f>
        <v>33.940742103977485</v>
      </c>
      <c r="N13" s="68"/>
      <c r="O13" s="68"/>
      <c r="R13" s="31"/>
      <c r="T13" s="59"/>
      <c r="U13" s="108"/>
      <c r="V13" s="110"/>
      <c r="Y13" s="59"/>
      <c r="Z13" s="63"/>
      <c r="AA13" s="63"/>
    </row>
    <row r="14" spans="1:27" hidden="1" x14ac:dyDescent="0.25">
      <c r="A14">
        <v>1073599635</v>
      </c>
      <c r="B14" s="36">
        <v>0.62471984179301254</v>
      </c>
      <c r="C14" s="63">
        <f>_xlfn.XLOOKUP($A14,'[1]FRV Output'!$F:$F,'[1]FRV Output'!$M:$M)</f>
        <v>29242</v>
      </c>
      <c r="D14" s="63">
        <f>_xlfn.XLOOKUP($A14,'[1]FRV Output'!$F:$F,'[1]FRV Output'!$N:$N)</f>
        <v>29322.115068493153</v>
      </c>
      <c r="E14" s="31">
        <f>_xlfn.XLOOKUP(A14,'[1]FRV Output'!$F:$F,'[1]FRV Output'!$U:$U)</f>
        <v>28408</v>
      </c>
      <c r="F14" s="31">
        <f>_xlfn.XLOOKUP($A14,'[1]FRV Output'!$F:$F,'[1]FRV Output'!$W:$W)</f>
        <v>90</v>
      </c>
      <c r="G14" s="59">
        <f>_xlfn.XLOOKUP($A14,'[1]FRV Output'!$F:$F,'[1]FRV Output'!$AO:$AO)</f>
        <v>13.029999999999973</v>
      </c>
      <c r="H14" s="63">
        <f t="shared" si="0"/>
        <v>57297.989949748735</v>
      </c>
      <c r="I14" s="59">
        <f>_xlfn.XLOOKUP($A14,'[1]FRV Output'!$F:$F,'[1]FRV Output'!$Z:$Z)</f>
        <v>636.64433277498597</v>
      </c>
      <c r="J14" s="162">
        <v>29.25</v>
      </c>
      <c r="K14" s="164">
        <v>1.2763</v>
      </c>
      <c r="L14" s="59">
        <f>_xlfn.XLOOKUP(A14,'[1]Aging Schedule'!$OA:$OA,'[1]Aging Schedule'!$NW:$NW)</f>
        <v>13.029999999999973</v>
      </c>
      <c r="M14" s="59">
        <f>_xlfn.XLOOKUP(A14,'[1]FRV Output'!$F:$F,'[1]FRV Output'!$BC:$BC)</f>
        <v>29.155707584711767</v>
      </c>
      <c r="N14" s="68"/>
      <c r="O14" s="68"/>
      <c r="R14" s="31"/>
      <c r="T14" s="59"/>
      <c r="U14" s="108"/>
      <c r="V14" s="110"/>
      <c r="Y14" s="59"/>
      <c r="Z14" s="63"/>
      <c r="AA14" s="63"/>
    </row>
    <row r="15" spans="1:27" hidden="1" x14ac:dyDescent="0.25">
      <c r="A15">
        <v>1053396788</v>
      </c>
      <c r="B15" s="36">
        <v>0.65973166262781491</v>
      </c>
      <c r="C15" s="63">
        <f>_xlfn.XLOOKUP($A15,'[1]FRV Output'!$F:$F,'[1]FRV Output'!$M:$M)</f>
        <v>18452</v>
      </c>
      <c r="D15" s="63">
        <f>_xlfn.XLOOKUP($A15,'[1]FRV Output'!$F:$F,'[1]FRV Output'!$N:$N)</f>
        <v>18502.553424657537</v>
      </c>
      <c r="E15" s="31">
        <f>_xlfn.XLOOKUP(A15,'[1]FRV Output'!$F:$F,'[1]FRV Output'!$U:$U)</f>
        <v>27856</v>
      </c>
      <c r="F15" s="31">
        <f>_xlfn.XLOOKUP($A15,'[1]FRV Output'!$F:$F,'[1]FRV Output'!$W:$W)</f>
        <v>60</v>
      </c>
      <c r="G15" s="59">
        <f>_xlfn.XLOOKUP($A15,'[1]FRV Output'!$F:$F,'[1]FRV Output'!$AO:$AO)</f>
        <v>7.25</v>
      </c>
      <c r="H15" s="63">
        <f t="shared" si="0"/>
        <v>40703.644646924826</v>
      </c>
      <c r="I15" s="59">
        <f>_xlfn.XLOOKUP($A15,'[1]FRV Output'!$F:$F,'[1]FRV Output'!$Z:$Z)</f>
        <v>678.39407744874711</v>
      </c>
      <c r="J15" s="162">
        <v>29.25</v>
      </c>
      <c r="K15" s="164">
        <v>1.1125</v>
      </c>
      <c r="L15" s="59">
        <f>_xlfn.XLOOKUP(A15,'[1]Aging Schedule'!$OA:$OA,'[1]Aging Schedule'!$NW:$NW)</f>
        <v>7.25</v>
      </c>
      <c r="M15" s="59">
        <f>_xlfn.XLOOKUP(A15,'[1]FRV Output'!$F:$F,'[1]FRV Output'!$BC:$BC)</f>
        <v>36.525944424769015</v>
      </c>
      <c r="N15" s="68"/>
      <c r="O15" s="68"/>
      <c r="R15" s="31"/>
      <c r="T15" s="59"/>
      <c r="U15" s="108"/>
      <c r="V15" s="110"/>
      <c r="Y15" s="59"/>
      <c r="Z15" s="63"/>
      <c r="AA15" s="63"/>
    </row>
    <row r="16" spans="1:27" hidden="1" x14ac:dyDescent="0.25">
      <c r="A16">
        <v>1851377543</v>
      </c>
      <c r="B16" s="36">
        <v>0.63779365297430968</v>
      </c>
      <c r="C16" s="63">
        <f>_xlfn.XLOOKUP($A16,'[1]FRV Output'!$F:$F,'[1]FRV Output'!$M:$M)</f>
        <v>37159</v>
      </c>
      <c r="D16" s="63">
        <f>_xlfn.XLOOKUP($A16,'[1]FRV Output'!$F:$F,'[1]FRV Output'!$N:$N)</f>
        <v>37260.805479452058</v>
      </c>
      <c r="E16" s="31">
        <f>_xlfn.XLOOKUP(A16,'[1]FRV Output'!$F:$F,'[1]FRV Output'!$U:$U)</f>
        <v>28376</v>
      </c>
      <c r="F16" s="31">
        <f>_xlfn.XLOOKUP($A16,'[1]FRV Output'!$F:$F,'[1]FRV Output'!$W:$W)</f>
        <v>132</v>
      </c>
      <c r="G16" s="59">
        <f>_xlfn.XLOOKUP($A16,'[1]FRV Output'!$F:$F,'[1]FRV Output'!$AO:$AO)</f>
        <v>21.069999999999936</v>
      </c>
      <c r="H16" s="63">
        <f t="shared" si="0"/>
        <v>45645.251396648047</v>
      </c>
      <c r="I16" s="59">
        <f>_xlfn.XLOOKUP($A16,'[1]FRV Output'!$F:$F,'[1]FRV Output'!$Z:$Z)</f>
        <v>345.79735906551554</v>
      </c>
      <c r="J16" s="162">
        <v>29.25</v>
      </c>
      <c r="K16" s="164">
        <v>1.2277</v>
      </c>
      <c r="L16" s="59">
        <f>_xlfn.XLOOKUP(A16,'[1]Aging Schedule'!$OA:$OA,'[1]Aging Schedule'!$NW:$NW)</f>
        <v>21.069999999999936</v>
      </c>
      <c r="M16" s="59">
        <f>_xlfn.XLOOKUP(A16,'[1]FRV Output'!$F:$F,'[1]FRV Output'!$BC:$BC)</f>
        <v>16.250572374294951</v>
      </c>
      <c r="N16" s="68"/>
      <c r="O16" s="68"/>
      <c r="R16" s="31"/>
      <c r="T16" s="59"/>
      <c r="U16" s="108"/>
      <c r="V16" s="110"/>
      <c r="Y16" s="59"/>
      <c r="Z16" s="63"/>
      <c r="AA16" s="63"/>
    </row>
    <row r="17" spans="1:27" hidden="1" x14ac:dyDescent="0.25">
      <c r="A17">
        <v>1598127276</v>
      </c>
      <c r="B17" s="36">
        <v>0.50631240201336747</v>
      </c>
      <c r="C17" s="63">
        <f>_xlfn.XLOOKUP($A17,'[1]FRV Output'!$F:$F,'[1]FRV Output'!$M:$M)</f>
        <v>21314</v>
      </c>
      <c r="D17" s="63">
        <f>_xlfn.XLOOKUP($A17,'[1]FRV Output'!$F:$F,'[1]FRV Output'!$N:$N)</f>
        <v>21372.394520547947</v>
      </c>
      <c r="E17" s="31">
        <f>_xlfn.XLOOKUP(A17,'[1]FRV Output'!$F:$F,'[1]FRV Output'!$U:$U)</f>
        <v>27869</v>
      </c>
      <c r="F17" s="31">
        <f>_xlfn.XLOOKUP($A17,'[1]FRV Output'!$F:$F,'[1]FRV Output'!$W:$W)</f>
        <v>69</v>
      </c>
      <c r="G17" s="59">
        <f>_xlfn.XLOOKUP($A17,'[1]FRV Output'!$F:$F,'[1]FRV Output'!$AO:$AO)</f>
        <v>14</v>
      </c>
      <c r="H17" s="63">
        <f t="shared" si="0"/>
        <v>28496</v>
      </c>
      <c r="I17" s="59">
        <f>_xlfn.XLOOKUP($A17,'[1]FRV Output'!$F:$F,'[1]FRV Output'!$Z:$Z)</f>
        <v>412.98550724637681</v>
      </c>
      <c r="J17" s="162">
        <v>29.25</v>
      </c>
      <c r="K17" s="164">
        <v>1.1383000000000001</v>
      </c>
      <c r="L17" s="59">
        <f>_xlfn.XLOOKUP(A17,'[1]Aging Schedule'!$OA:$OA,'[1]Aging Schedule'!$NW:$NW)</f>
        <v>14</v>
      </c>
      <c r="M17" s="59">
        <f>_xlfn.XLOOKUP(A17,'[1]FRV Output'!$F:$F,'[1]FRV Output'!$BC:$BC)</f>
        <v>20.726740450716463</v>
      </c>
      <c r="N17" s="68"/>
      <c r="O17" s="68"/>
      <c r="R17" s="31"/>
      <c r="T17" s="59"/>
      <c r="U17" s="108"/>
      <c r="V17" s="110"/>
      <c r="Y17" s="59"/>
      <c r="Z17" s="63"/>
      <c r="AA17" s="63"/>
    </row>
    <row r="18" spans="1:27" hidden="1" x14ac:dyDescent="0.25">
      <c r="A18">
        <v>1508842295</v>
      </c>
      <c r="B18" s="36">
        <v>0.61917024320457792</v>
      </c>
      <c r="C18" s="63">
        <f>_xlfn.XLOOKUP($A18,'[1]FRV Output'!$F:$F,'[1]FRV Output'!$M:$M)</f>
        <v>31402</v>
      </c>
      <c r="D18" s="63">
        <f>_xlfn.XLOOKUP($A18,'[1]FRV Output'!$F:$F,'[1]FRV Output'!$N:$N)</f>
        <v>31488.032876712332</v>
      </c>
      <c r="E18" s="31">
        <f>_xlfn.XLOOKUP(A18,'[1]FRV Output'!$F:$F,'[1]FRV Output'!$U:$U)</f>
        <v>28145</v>
      </c>
      <c r="F18" s="31">
        <f>_xlfn.XLOOKUP($A18,'[1]FRV Output'!$F:$F,'[1]FRV Output'!$W:$W)</f>
        <v>97</v>
      </c>
      <c r="G18" s="59">
        <f>_xlfn.XLOOKUP($A18,'[1]FRV Output'!$F:$F,'[1]FRV Output'!$AO:$AO)</f>
        <v>11.240000000000009</v>
      </c>
      <c r="H18" s="63">
        <f t="shared" si="0"/>
        <v>56620.522264980762</v>
      </c>
      <c r="I18" s="59">
        <f>_xlfn.XLOOKUP($A18,'[1]FRV Output'!$F:$F,'[1]FRV Output'!$Z:$Z)</f>
        <v>583.71672438124494</v>
      </c>
      <c r="J18" s="162">
        <v>29.25</v>
      </c>
      <c r="K18" s="164">
        <v>1.1473</v>
      </c>
      <c r="L18" s="59">
        <f>_xlfn.XLOOKUP(A18,'[1]Aging Schedule'!$OA:$OA,'[1]Aging Schedule'!$NW:$NW)</f>
        <v>11.240000000000009</v>
      </c>
      <c r="M18" s="59">
        <f>_xlfn.XLOOKUP(A18,'[1]FRV Output'!$F:$F,'[1]FRV Output'!$BC:$BC)</f>
        <v>29.882991009480413</v>
      </c>
      <c r="N18" s="68"/>
      <c r="O18" s="68"/>
      <c r="R18" s="31"/>
      <c r="T18" s="59"/>
      <c r="U18" s="108"/>
      <c r="V18" s="110"/>
      <c r="Y18" s="59"/>
      <c r="Z18" s="63"/>
      <c r="AA18" s="63"/>
    </row>
    <row r="19" spans="1:27" hidden="1" x14ac:dyDescent="0.25">
      <c r="A19">
        <v>1639155302</v>
      </c>
      <c r="B19" s="36">
        <v>0.64063176114236264</v>
      </c>
      <c r="C19" s="63">
        <f>_xlfn.XLOOKUP($A19,'[1]FRV Output'!$F:$F,'[1]FRV Output'!$M:$M)</f>
        <v>24318</v>
      </c>
      <c r="D19" s="63">
        <f>_xlfn.XLOOKUP($A19,'[1]FRV Output'!$F:$F,'[1]FRV Output'!$N:$N)</f>
        <v>24384.624657534248</v>
      </c>
      <c r="E19" s="31">
        <f>_xlfn.XLOOKUP(A19,'[1]FRV Output'!$F:$F,'[1]FRV Output'!$U:$U)</f>
        <v>28773</v>
      </c>
      <c r="F19" s="31">
        <f>_xlfn.XLOOKUP($A19,'[1]FRV Output'!$F:$F,'[1]FRV Output'!$W:$W)</f>
        <v>99</v>
      </c>
      <c r="G19" s="59">
        <f>_xlfn.XLOOKUP($A19,'[1]FRV Output'!$F:$F,'[1]FRV Output'!$AO:$AO)</f>
        <v>34.440000000000055</v>
      </c>
      <c r="H19" s="63">
        <f t="shared" si="0"/>
        <v>38120</v>
      </c>
      <c r="I19" s="59">
        <f>_xlfn.XLOOKUP($A19,'[1]FRV Output'!$F:$F,'[1]FRV Output'!$Z:$Z)</f>
        <v>385.05050505050502</v>
      </c>
      <c r="J19" s="162">
        <v>29.25</v>
      </c>
      <c r="K19" s="164">
        <v>1.3396999999999999</v>
      </c>
      <c r="L19" s="59">
        <f>_xlfn.XLOOKUP(A19,'[1]Aging Schedule'!$OA:$OA,'[1]Aging Schedule'!$NW:$NW)</f>
        <v>34.440000000000055</v>
      </c>
      <c r="M19" s="59">
        <f>_xlfn.XLOOKUP(A19,'[1]FRV Output'!$F:$F,'[1]FRV Output'!$BC:$BC)</f>
        <v>10.233040453452482</v>
      </c>
      <c r="N19" s="68"/>
      <c r="O19" s="68"/>
      <c r="R19" s="31"/>
      <c r="T19" s="59"/>
      <c r="U19" s="108"/>
      <c r="V19" s="110"/>
      <c r="Y19" s="59"/>
      <c r="Z19" s="63"/>
      <c r="AA19" s="63"/>
    </row>
    <row r="20" spans="1:27" hidden="1" x14ac:dyDescent="0.25">
      <c r="A20">
        <v>1346226040</v>
      </c>
      <c r="B20" s="36">
        <v>0.65180529162403167</v>
      </c>
      <c r="C20" s="63">
        <f>_xlfn.XLOOKUP($A20,'[1]FRV Output'!$F:$F,'[1]FRV Output'!$M:$M)</f>
        <v>30721</v>
      </c>
      <c r="D20" s="63">
        <f>_xlfn.XLOOKUP($A20,'[1]FRV Output'!$F:$F,'[1]FRV Output'!$N:$N)</f>
        <v>30805.167123287676</v>
      </c>
      <c r="E20" s="31">
        <f>_xlfn.XLOOKUP(A20,'[1]FRV Output'!$F:$F,'[1]FRV Output'!$U:$U)</f>
        <v>28459</v>
      </c>
      <c r="F20" s="31">
        <f>_xlfn.XLOOKUP($A20,'[1]FRV Output'!$F:$F,'[1]FRV Output'!$W:$W)</f>
        <v>100</v>
      </c>
      <c r="G20" s="59">
        <f>_xlfn.XLOOKUP($A20,'[1]FRV Output'!$F:$F,'[1]FRV Output'!$AO:$AO)</f>
        <v>28.769999999999982</v>
      </c>
      <c r="H20" s="63">
        <f t="shared" si="0"/>
        <v>42059.752066115703</v>
      </c>
      <c r="I20" s="59">
        <f>_xlfn.XLOOKUP($A20,'[1]FRV Output'!$F:$F,'[1]FRV Output'!$Z:$Z)</f>
        <v>420.59752066115703</v>
      </c>
      <c r="J20" s="162">
        <v>29.25</v>
      </c>
      <c r="K20" s="164">
        <v>1.2255</v>
      </c>
      <c r="L20" s="59">
        <f>_xlfn.XLOOKUP(A20,'[1]Aging Schedule'!$OA:$OA,'[1]Aging Schedule'!$NW:$NW)</f>
        <v>28.769999999999982</v>
      </c>
      <c r="M20" s="59">
        <f>_xlfn.XLOOKUP(A20,'[1]FRV Output'!$F:$F,'[1]FRV Output'!$BC:$BC)</f>
        <v>13.610206655325237</v>
      </c>
      <c r="N20" s="68"/>
      <c r="O20" s="68"/>
      <c r="R20" s="31"/>
      <c r="T20" s="59"/>
      <c r="U20" s="108"/>
      <c r="V20" s="110"/>
      <c r="Y20" s="59"/>
      <c r="Z20" s="63"/>
      <c r="AA20" s="63"/>
    </row>
    <row r="21" spans="1:27" hidden="1" x14ac:dyDescent="0.25">
      <c r="A21">
        <v>1730722240</v>
      </c>
      <c r="B21" s="36">
        <v>0.62323523214160292</v>
      </c>
      <c r="C21" s="63">
        <f>_xlfn.XLOOKUP($A21,'[1]FRV Output'!$F:$F,'[1]FRV Output'!$M:$M)</f>
        <v>24992</v>
      </c>
      <c r="D21" s="63">
        <f>_xlfn.XLOOKUP($A21,'[1]FRV Output'!$F:$F,'[1]FRV Output'!$N:$N)</f>
        <v>25060.471232876716</v>
      </c>
      <c r="E21" s="31">
        <f>_xlfn.XLOOKUP(A21,'[1]FRV Output'!$F:$F,'[1]FRV Output'!$U:$U)</f>
        <v>28687</v>
      </c>
      <c r="F21" s="31">
        <f>_xlfn.XLOOKUP($A21,'[1]FRV Output'!$F:$F,'[1]FRV Output'!$W:$W)</f>
        <v>103</v>
      </c>
      <c r="G21" s="59">
        <f>_xlfn.XLOOKUP($A21,'[1]FRV Output'!$F:$F,'[1]FRV Output'!$AO:$AO)</f>
        <v>7.0299999999999727</v>
      </c>
      <c r="H21" s="63">
        <f t="shared" si="0"/>
        <v>57607.079646017693</v>
      </c>
      <c r="I21" s="59">
        <f>_xlfn.XLOOKUP($A21,'[1]FRV Output'!$F:$F,'[1]FRV Output'!$Z:$Z)</f>
        <v>559.29203539823004</v>
      </c>
      <c r="J21" s="162">
        <v>29.25</v>
      </c>
      <c r="K21" s="164">
        <v>1.1871</v>
      </c>
      <c r="L21" s="59">
        <f>_xlfn.XLOOKUP(A21,'[1]Aging Schedule'!$OA:$OA,'[1]Aging Schedule'!$NW:$NW)</f>
        <v>7.0299999999999727</v>
      </c>
      <c r="M21" s="59">
        <f>_xlfn.XLOOKUP(A21,'[1]FRV Output'!$F:$F,'[1]FRV Output'!$BC:$BC)</f>
        <v>31.85986677640788</v>
      </c>
      <c r="N21" s="68"/>
      <c r="O21" s="68"/>
      <c r="R21" s="31"/>
      <c r="T21" s="59"/>
      <c r="U21" s="108"/>
      <c r="V21" s="110"/>
      <c r="Y21" s="59"/>
      <c r="Z21" s="63"/>
      <c r="AA21" s="63"/>
    </row>
    <row r="22" spans="1:27" hidden="1" x14ac:dyDescent="0.25">
      <c r="A22">
        <v>1528044294</v>
      </c>
      <c r="B22" s="36">
        <v>0.67098009188361407</v>
      </c>
      <c r="C22" s="63">
        <f>_xlfn.XLOOKUP($A22,'[1]FRV Output'!$F:$F,'[1]FRV Output'!$M:$M)</f>
        <v>26235</v>
      </c>
      <c r="D22" s="63">
        <f>_xlfn.XLOOKUP($A22,'[1]FRV Output'!$F:$F,'[1]FRV Output'!$N:$N)</f>
        <v>26306.876712328769</v>
      </c>
      <c r="E22" s="31">
        <f>_xlfn.XLOOKUP(A22,'[1]FRV Output'!$F:$F,'[1]FRV Output'!$U:$U)</f>
        <v>28786</v>
      </c>
      <c r="F22" s="31">
        <f>_xlfn.XLOOKUP($A22,'[1]FRV Output'!$F:$F,'[1]FRV Output'!$W:$W)</f>
        <v>90</v>
      </c>
      <c r="G22" s="59">
        <f>_xlfn.XLOOKUP($A22,'[1]FRV Output'!$F:$F,'[1]FRV Output'!$AO:$AO)</f>
        <v>19.269999999999982</v>
      </c>
      <c r="H22" s="63">
        <f t="shared" si="0"/>
        <v>42841.028416779431</v>
      </c>
      <c r="I22" s="59">
        <f>_xlfn.XLOOKUP($A22,'[1]FRV Output'!$F:$F,'[1]FRV Output'!$Z:$Z)</f>
        <v>476.01142685310481</v>
      </c>
      <c r="J22" s="162">
        <v>29.25</v>
      </c>
      <c r="K22" s="164">
        <v>1.2585</v>
      </c>
      <c r="L22" s="59">
        <f>_xlfn.XLOOKUP(A22,'[1]Aging Schedule'!$OA:$OA,'[1]Aging Schedule'!$NW:$NW)</f>
        <v>19.269999999999982</v>
      </c>
      <c r="M22" s="59">
        <f>_xlfn.XLOOKUP(A22,'[1]FRV Output'!$F:$F,'[1]FRV Output'!$BC:$BC)</f>
        <v>20.358312052442624</v>
      </c>
      <c r="N22" s="68"/>
      <c r="O22" s="68"/>
      <c r="R22" s="31"/>
      <c r="T22" s="59"/>
      <c r="U22" s="108"/>
      <c r="V22" s="110"/>
      <c r="Y22" s="59"/>
      <c r="Z22" s="63"/>
      <c r="AA22" s="63"/>
    </row>
    <row r="23" spans="1:27" hidden="1" x14ac:dyDescent="0.25">
      <c r="A23">
        <v>1962052498</v>
      </c>
      <c r="B23" s="36">
        <v>0.61240212174791608</v>
      </c>
      <c r="C23" s="63">
        <f>_xlfn.XLOOKUP($A23,'[1]FRV Output'!$F:$F,'[1]FRV Output'!$M:$M)</f>
        <v>26081</v>
      </c>
      <c r="D23" s="63">
        <f>_xlfn.XLOOKUP($A23,'[1]FRV Output'!$F:$F,'[1]FRV Output'!$N:$N)</f>
        <v>26152.454794520552</v>
      </c>
      <c r="E23" s="31">
        <f>_xlfn.XLOOKUP(A23,'[1]FRV Output'!$F:$F,'[1]FRV Output'!$U:$U)</f>
        <v>28211</v>
      </c>
      <c r="F23" s="31">
        <f>_xlfn.XLOOKUP($A23,'[1]FRV Output'!$F:$F,'[1]FRV Output'!$W:$W)</f>
        <v>100</v>
      </c>
      <c r="G23" s="59">
        <f>_xlfn.XLOOKUP($A23,'[1]FRV Output'!$F:$F,'[1]FRV Output'!$AO:$AO)</f>
        <v>35.5</v>
      </c>
      <c r="H23" s="63">
        <f t="shared" si="0"/>
        <v>34999</v>
      </c>
      <c r="I23" s="59">
        <f>_xlfn.XLOOKUP($A23,'[1]FRV Output'!$F:$F,'[1]FRV Output'!$Z:$Z)</f>
        <v>349.99</v>
      </c>
      <c r="J23" s="162">
        <v>29.25</v>
      </c>
      <c r="K23" s="164">
        <v>1.2516</v>
      </c>
      <c r="L23" s="59">
        <f>_xlfn.XLOOKUP(A23,'[1]Aging Schedule'!$OA:$OA,'[1]Aging Schedule'!$NW:$NW)</f>
        <v>39.700000000000045</v>
      </c>
      <c r="M23" s="59">
        <f>_xlfn.XLOOKUP(A23,'[1]FRV Output'!$F:$F,'[1]FRV Output'!$BC:$BC)</f>
        <v>9.0491485750602614</v>
      </c>
      <c r="N23" s="68"/>
      <c r="O23" s="68"/>
      <c r="R23" s="31"/>
      <c r="T23" s="59"/>
      <c r="U23" s="108"/>
      <c r="V23" s="110"/>
      <c r="Y23" s="59"/>
      <c r="Z23" s="63"/>
      <c r="AA23" s="63"/>
    </row>
    <row r="24" spans="1:27" hidden="1" x14ac:dyDescent="0.25">
      <c r="A24">
        <v>1871143305</v>
      </c>
      <c r="B24" s="36">
        <v>0.61003570757376435</v>
      </c>
      <c r="C24" s="63">
        <f>_xlfn.XLOOKUP($A24,'[1]FRV Output'!$F:$F,'[1]FRV Output'!$M:$M)</f>
        <v>23032</v>
      </c>
      <c r="D24" s="63">
        <f>_xlfn.XLOOKUP($A24,'[1]FRV Output'!$F:$F,'[1]FRV Output'!$N:$N)</f>
        <v>23095.101369863016</v>
      </c>
      <c r="E24" s="31">
        <f>_xlfn.XLOOKUP(A24,'[1]FRV Output'!$F:$F,'[1]FRV Output'!$U:$U)</f>
        <v>28025</v>
      </c>
      <c r="F24" s="31">
        <f>_xlfn.XLOOKUP($A24,'[1]FRV Output'!$F:$F,'[1]FRV Output'!$W:$W)</f>
        <v>120</v>
      </c>
      <c r="G24" s="59">
        <f>_xlfn.XLOOKUP($A24,'[1]FRV Output'!$F:$F,'[1]FRV Output'!$AO:$AO)</f>
        <v>35.5</v>
      </c>
      <c r="H24" s="63">
        <f t="shared" si="0"/>
        <v>39257</v>
      </c>
      <c r="I24" s="59">
        <f>_xlfn.XLOOKUP($A24,'[1]FRV Output'!$F:$F,'[1]FRV Output'!$Z:$Z)</f>
        <v>327.14166666666665</v>
      </c>
      <c r="J24" s="162">
        <v>29.25</v>
      </c>
      <c r="K24" s="164">
        <v>1.2354000000000001</v>
      </c>
      <c r="L24" s="59">
        <f>_xlfn.XLOOKUP(A24,'[1]Aging Schedule'!$OA:$OA,'[1]Aging Schedule'!$NW:$NW)</f>
        <v>39.710000000000036</v>
      </c>
      <c r="M24" s="59">
        <f>_xlfn.XLOOKUP(A24,'[1]FRV Output'!$F:$F,'[1]FRV Output'!$BC:$BC)</f>
        <v>8.5457396352102677</v>
      </c>
      <c r="N24" s="68"/>
      <c r="O24" s="68"/>
      <c r="R24" s="31"/>
      <c r="T24" s="59"/>
      <c r="U24" s="108"/>
      <c r="V24" s="110"/>
      <c r="Y24" s="59"/>
      <c r="Z24" s="63"/>
      <c r="AA24" s="63"/>
    </row>
    <row r="25" spans="1:27" hidden="1" x14ac:dyDescent="0.25">
      <c r="A25">
        <v>1225688757</v>
      </c>
      <c r="B25" s="36">
        <v>0.59182721151923212</v>
      </c>
      <c r="C25" s="63">
        <f>_xlfn.XLOOKUP($A25,'[1]FRV Output'!$F:$F,'[1]FRV Output'!$M:$M)</f>
        <v>31563</v>
      </c>
      <c r="D25" s="63">
        <f>_xlfn.XLOOKUP($A25,'[1]FRV Output'!$F:$F,'[1]FRV Output'!$N:$N)</f>
        <v>31649.473972602744</v>
      </c>
      <c r="E25" s="31">
        <f>_xlfn.XLOOKUP(A25,'[1]FRV Output'!$F:$F,'[1]FRV Output'!$U:$U)</f>
        <v>27320</v>
      </c>
      <c r="F25" s="31">
        <f>_xlfn.XLOOKUP($A25,'[1]FRV Output'!$F:$F,'[1]FRV Output'!$W:$W)</f>
        <v>110</v>
      </c>
      <c r="G25" s="59">
        <f>_xlfn.XLOOKUP($A25,'[1]FRV Output'!$F:$F,'[1]FRV Output'!$AO:$AO)</f>
        <v>35.5</v>
      </c>
      <c r="H25" s="63">
        <f t="shared" si="0"/>
        <v>28570.000000000004</v>
      </c>
      <c r="I25" s="59">
        <f>_xlfn.XLOOKUP($A25,'[1]FRV Output'!$F:$F,'[1]FRV Output'!$Z:$Z)</f>
        <v>259.72727272727275</v>
      </c>
      <c r="J25" s="162">
        <v>29.25</v>
      </c>
      <c r="K25" s="164">
        <v>1.333</v>
      </c>
      <c r="L25" s="59">
        <f>_xlfn.XLOOKUP(A25,'[1]Aging Schedule'!$OA:$OA,'[1]Aging Schedule'!$NW:$NW)</f>
        <v>44.799999999999955</v>
      </c>
      <c r="M25" s="59">
        <f>_xlfn.XLOOKUP(A25,'[1]FRV Output'!$F:$F,'[1]FRV Output'!$BC:$BC)</f>
        <v>8.1872450331397157</v>
      </c>
      <c r="N25" s="68"/>
      <c r="O25" s="68"/>
      <c r="R25" s="31"/>
      <c r="T25" s="59"/>
      <c r="U25" s="108"/>
      <c r="V25" s="110"/>
    </row>
    <row r="26" spans="1:27" hidden="1" x14ac:dyDescent="0.25">
      <c r="A26">
        <v>1841840378</v>
      </c>
      <c r="B26" s="36">
        <v>0.5979361114762719</v>
      </c>
      <c r="C26" s="63">
        <f>_xlfn.XLOOKUP($A26,'[1]FRV Output'!$F:$F,'[1]FRV Output'!$M:$M)</f>
        <v>28889</v>
      </c>
      <c r="D26" s="63">
        <f>_xlfn.XLOOKUP($A26,'[1]FRV Output'!$F:$F,'[1]FRV Output'!$N:$N)</f>
        <v>28968.147945205481</v>
      </c>
      <c r="E26" s="31">
        <f>_xlfn.XLOOKUP(A26,'[1]FRV Output'!$F:$F,'[1]FRV Output'!$U:$U)</f>
        <v>28697</v>
      </c>
      <c r="F26" s="31">
        <f>_xlfn.XLOOKUP($A26,'[1]FRV Output'!$F:$F,'[1]FRV Output'!$W:$W)</f>
        <v>120</v>
      </c>
      <c r="G26" s="59">
        <f>_xlfn.XLOOKUP($A26,'[1]FRV Output'!$F:$F,'[1]FRV Output'!$AO:$AO)</f>
        <v>35.5</v>
      </c>
      <c r="H26" s="63">
        <f t="shared" si="0"/>
        <v>37034</v>
      </c>
      <c r="I26" s="59">
        <f>_xlfn.XLOOKUP($A26,'[1]FRV Output'!$F:$F,'[1]FRV Output'!$Z:$Z)</f>
        <v>308.61666666666667</v>
      </c>
      <c r="J26" s="162">
        <v>29.25</v>
      </c>
      <c r="K26" s="164">
        <v>1.2382</v>
      </c>
      <c r="L26" s="59">
        <f>_xlfn.XLOOKUP(A26,'[1]Aging Schedule'!$OA:$OA,'[1]Aging Schedule'!$NW:$NW)</f>
        <v>36.519999999999982</v>
      </c>
      <c r="M26" s="59">
        <f>_xlfn.XLOOKUP(A26,'[1]FRV Output'!$F:$F,'[1]FRV Output'!$BC:$BC)</f>
        <v>8.542559165995165</v>
      </c>
      <c r="N26" s="68"/>
      <c r="O26" s="68"/>
      <c r="R26" s="31"/>
      <c r="T26" s="59"/>
      <c r="U26" s="108"/>
      <c r="V26" s="110"/>
    </row>
    <row r="27" spans="1:27" hidden="1" x14ac:dyDescent="0.25">
      <c r="A27">
        <v>1760032296</v>
      </c>
      <c r="B27" s="36">
        <v>0.54503646278168327</v>
      </c>
      <c r="C27" s="63">
        <f>_xlfn.XLOOKUP($A27,'[1]FRV Output'!$F:$F,'[1]FRV Output'!$M:$M)</f>
        <v>21299</v>
      </c>
      <c r="D27" s="63">
        <f>_xlfn.XLOOKUP($A27,'[1]FRV Output'!$F:$F,'[1]FRV Output'!$N:$N)</f>
        <v>21357.353424657536</v>
      </c>
      <c r="E27" s="31">
        <f>_xlfn.XLOOKUP(A27,'[1]FRV Output'!$F:$F,'[1]FRV Output'!$U:$U)</f>
        <v>27893</v>
      </c>
      <c r="F27" s="31">
        <f>_xlfn.XLOOKUP($A27,'[1]FRV Output'!$F:$F,'[1]FRV Output'!$W:$W)</f>
        <v>110</v>
      </c>
      <c r="G27" s="59">
        <f>_xlfn.XLOOKUP($A27,'[1]FRV Output'!$F:$F,'[1]FRV Output'!$AO:$AO)</f>
        <v>35.5</v>
      </c>
      <c r="H27" s="63">
        <f t="shared" si="0"/>
        <v>30544</v>
      </c>
      <c r="I27" s="59">
        <f>_xlfn.XLOOKUP($A27,'[1]FRV Output'!$F:$F,'[1]FRV Output'!$Z:$Z)</f>
        <v>277.67272727272729</v>
      </c>
      <c r="J27" s="162">
        <v>29.25</v>
      </c>
      <c r="K27" s="164">
        <v>1.2517</v>
      </c>
      <c r="L27" s="59">
        <f>_xlfn.XLOOKUP(A27,'[1]Aging Schedule'!$OA:$OA,'[1]Aging Schedule'!$NW:$NW)</f>
        <v>47.720000000000027</v>
      </c>
      <c r="M27" s="59">
        <f>_xlfn.XLOOKUP(A27,'[1]FRV Output'!$F:$F,'[1]FRV Output'!$BC:$BC)</f>
        <v>8.3119773360753229</v>
      </c>
      <c r="N27" s="68"/>
      <c r="O27" s="68"/>
      <c r="R27" s="31"/>
      <c r="T27" s="59"/>
      <c r="U27" s="108"/>
      <c r="V27" s="110"/>
    </row>
    <row r="28" spans="1:27" hidden="1" x14ac:dyDescent="0.25">
      <c r="A28">
        <v>1295723377</v>
      </c>
      <c r="B28" s="36">
        <v>0.52864836804879622</v>
      </c>
      <c r="C28" s="63">
        <f>_xlfn.XLOOKUP($A28,'[1]FRV Output'!$F:$F,'[1]FRV Output'!$M:$M)</f>
        <v>20226</v>
      </c>
      <c r="D28" s="63">
        <f>_xlfn.XLOOKUP($A28,'[1]FRV Output'!$F:$F,'[1]FRV Output'!$N:$N)</f>
        <v>20281.413698630138</v>
      </c>
      <c r="E28" s="31">
        <f>_xlfn.XLOOKUP(A28,'[1]FRV Output'!$F:$F,'[1]FRV Output'!$U:$U)</f>
        <v>27106</v>
      </c>
      <c r="F28" s="31">
        <f>_xlfn.XLOOKUP($A28,'[1]FRV Output'!$F:$F,'[1]FRV Output'!$W:$W)</f>
        <v>85</v>
      </c>
      <c r="G28" s="59">
        <f>_xlfn.XLOOKUP($A28,'[1]FRV Output'!$F:$F,'[1]FRV Output'!$AO:$AO)</f>
        <v>10</v>
      </c>
      <c r="H28" s="63">
        <f t="shared" si="0"/>
        <v>34000</v>
      </c>
      <c r="I28" s="59">
        <f>_xlfn.XLOOKUP($A28,'[1]FRV Output'!$F:$F,'[1]FRV Output'!$Z:$Z)</f>
        <v>400</v>
      </c>
      <c r="J28" s="162">
        <v>0</v>
      </c>
      <c r="K28" s="164">
        <v>1.2542</v>
      </c>
      <c r="L28" s="59">
        <f>_xlfn.XLOOKUP(A28,'[1]Aging Schedule'!$OA:$OA,'[1]Aging Schedule'!$NW:$NW)</f>
        <v>10</v>
      </c>
      <c r="M28" s="59">
        <f>_xlfn.XLOOKUP(A28,'[1]FRV Output'!$F:$F,'[1]FRV Output'!$BC:$BC)</f>
        <v>23.735789576954065</v>
      </c>
      <c r="N28" s="68"/>
      <c r="O28" s="68"/>
      <c r="R28" s="31"/>
      <c r="T28" s="59"/>
      <c r="U28" s="108"/>
      <c r="V28" s="110"/>
    </row>
    <row r="29" spans="1:27" hidden="1" x14ac:dyDescent="0.25">
      <c r="A29">
        <v>1649254582</v>
      </c>
      <c r="B29" s="36">
        <v>0.67674102502598554</v>
      </c>
      <c r="C29" s="63">
        <f>_xlfn.XLOOKUP($A29,'[1]FRV Output'!$F:$F,'[1]FRV Output'!$M:$M)</f>
        <v>16765</v>
      </c>
      <c r="D29" s="63">
        <f>_xlfn.XLOOKUP($A29,'[1]FRV Output'!$F:$F,'[1]FRV Output'!$N:$N)</f>
        <v>16810.931506849316</v>
      </c>
      <c r="E29" s="31">
        <f>_xlfn.XLOOKUP(A29,'[1]FRV Output'!$F:$F,'[1]FRV Output'!$U:$U)</f>
        <v>28562</v>
      </c>
      <c r="F29" s="31">
        <f>_xlfn.XLOOKUP($A29,'[1]FRV Output'!$F:$F,'[1]FRV Output'!$W:$W)</f>
        <v>60</v>
      </c>
      <c r="G29" s="59">
        <f>_xlfn.XLOOKUP($A29,'[1]FRV Output'!$F:$F,'[1]FRV Output'!$AO:$AO)</f>
        <v>7.1099999999999</v>
      </c>
      <c r="H29" s="63">
        <f t="shared" si="0"/>
        <v>44926.284594276753</v>
      </c>
      <c r="I29" s="59">
        <f>_xlfn.XLOOKUP($A29,'[1]FRV Output'!$F:$F,'[1]FRV Output'!$Z:$Z)</f>
        <v>748.7714099046126</v>
      </c>
      <c r="J29" s="162">
        <v>29.25</v>
      </c>
      <c r="K29" s="164">
        <v>1.2831999999999999</v>
      </c>
      <c r="L29" s="59">
        <f>_xlfn.XLOOKUP(A29,'[1]Aging Schedule'!$OA:$OA,'[1]Aging Schedule'!$NW:$NW)</f>
        <v>7.1099999999999</v>
      </c>
      <c r="M29" s="59">
        <f>_xlfn.XLOOKUP(A29,'[1]FRV Output'!$F:$F,'[1]FRV Output'!$BC:$BC)</f>
        <v>38.219847682191769</v>
      </c>
      <c r="N29" s="68"/>
      <c r="O29" s="68"/>
      <c r="R29" s="31"/>
      <c r="T29" s="59"/>
      <c r="U29" s="108"/>
      <c r="V29" s="110"/>
    </row>
    <row r="30" spans="1:27" hidden="1" x14ac:dyDescent="0.25">
      <c r="A30">
        <v>1316512346</v>
      </c>
      <c r="B30" s="36">
        <v>0.62573845327604727</v>
      </c>
      <c r="C30" s="63">
        <f>_xlfn.XLOOKUP($A30,'[1]FRV Output'!$F:$F,'[1]FRV Output'!$M:$M)</f>
        <v>27191.301969365428</v>
      </c>
      <c r="D30" s="63">
        <f>_xlfn.XLOOKUP($A30,'[1]FRV Output'!$F:$F,'[1]FRV Output'!$N:$N)</f>
        <v>21776.841402161372</v>
      </c>
      <c r="E30" s="31">
        <f>_xlfn.XLOOKUP(A30,'[1]FRV Output'!$F:$F,'[1]FRV Output'!$U:$U)</f>
        <v>28052</v>
      </c>
      <c r="F30" s="31">
        <f>_xlfn.XLOOKUP($A30,'[1]FRV Output'!$F:$F,'[1]FRV Output'!$W:$W)</f>
        <v>80</v>
      </c>
      <c r="G30" s="59">
        <f>_xlfn.XLOOKUP($A30,'[1]FRV Output'!$F:$F,'[1]FRV Output'!$AO:$AO)</f>
        <v>10.809999999999945</v>
      </c>
      <c r="H30" s="63">
        <f t="shared" si="0"/>
        <v>36368</v>
      </c>
      <c r="I30" s="59">
        <f>_xlfn.XLOOKUP($A30,'[1]FRV Output'!$F:$F,'[1]FRV Output'!$Z:$Z)</f>
        <v>454.6</v>
      </c>
      <c r="J30" s="162">
        <v>29.25</v>
      </c>
      <c r="K30" s="164">
        <v>1.2722</v>
      </c>
      <c r="L30" s="59">
        <f>_xlfn.XLOOKUP(A30,'[1]Aging Schedule'!$OA:$OA,'[1]Aging Schedule'!$NW:$NW)</f>
        <v>10.809999999999945</v>
      </c>
      <c r="M30" s="59">
        <f>_xlfn.XLOOKUP(A30,'[1]FRV Output'!$F:$F,'[1]FRV Output'!$BC:$BC)</f>
        <v>24.489018855608688</v>
      </c>
      <c r="N30" s="68"/>
      <c r="O30" s="68"/>
      <c r="R30" s="31"/>
      <c r="T30" s="59"/>
      <c r="U30" s="108"/>
      <c r="V30" s="110"/>
    </row>
    <row r="31" spans="1:27" hidden="1" x14ac:dyDescent="0.25">
      <c r="A31">
        <v>1992724157</v>
      </c>
      <c r="B31" s="36">
        <v>0.66874999999999996</v>
      </c>
      <c r="C31" s="63">
        <f>_xlfn.XLOOKUP($A31,'[1]FRV Output'!$F:$F,'[1]FRV Output'!$M:$M)</f>
        <v>21261</v>
      </c>
      <c r="D31" s="63">
        <f>_xlfn.XLOOKUP($A31,'[1]FRV Output'!$F:$F,'[1]FRV Output'!$N:$N)</f>
        <v>21319.249315068497</v>
      </c>
      <c r="E31" s="31">
        <f>_xlfn.XLOOKUP(A31,'[1]FRV Output'!$F:$F,'[1]FRV Output'!$U:$U)</f>
        <v>28301</v>
      </c>
      <c r="F31" s="31">
        <f>_xlfn.XLOOKUP($A31,'[1]FRV Output'!$F:$F,'[1]FRV Output'!$W:$W)</f>
        <v>85</v>
      </c>
      <c r="G31" s="59">
        <f>_xlfn.XLOOKUP($A31,'[1]FRV Output'!$F:$F,'[1]FRV Output'!$AO:$AO)</f>
        <v>27.650000000000091</v>
      </c>
      <c r="H31" s="63">
        <f t="shared" si="0"/>
        <v>22680</v>
      </c>
      <c r="I31" s="59">
        <f>_xlfn.XLOOKUP($A31,'[1]FRV Output'!$F:$F,'[1]FRV Output'!$Z:$Z)</f>
        <v>266.8235294117647</v>
      </c>
      <c r="J31" s="162">
        <v>29.25</v>
      </c>
      <c r="K31" s="164">
        <v>1.1694</v>
      </c>
      <c r="L31" s="59">
        <f>_xlfn.XLOOKUP(A31,'[1]Aging Schedule'!$OA:$OA,'[1]Aging Schedule'!$NW:$NW)</f>
        <v>27.650000000000091</v>
      </c>
      <c r="M31" s="59">
        <f>_xlfn.XLOOKUP(A31,'[1]FRV Output'!$F:$F,'[1]FRV Output'!$BC:$BC)</f>
        <v>12.269485739564862</v>
      </c>
      <c r="N31" s="68"/>
      <c r="O31" s="68"/>
      <c r="R31" s="31"/>
      <c r="T31" s="59"/>
      <c r="U31" s="108"/>
      <c r="V31" s="110"/>
    </row>
    <row r="32" spans="1:27" hidden="1" x14ac:dyDescent="0.25">
      <c r="A32">
        <v>1578059085</v>
      </c>
      <c r="B32" s="36">
        <v>0.61730180333446749</v>
      </c>
      <c r="C32" s="63">
        <f>_xlfn.XLOOKUP($A32,'[1]FRV Output'!$F:$F,'[1]FRV Output'!$M:$M)</f>
        <v>21213</v>
      </c>
      <c r="D32" s="63">
        <f>_xlfn.XLOOKUP($A32,'[1]FRV Output'!$F:$F,'[1]FRV Output'!$N:$N)</f>
        <v>21271.11780821918</v>
      </c>
      <c r="E32" s="31">
        <f>_xlfn.XLOOKUP(A32,'[1]FRV Output'!$F:$F,'[1]FRV Output'!$U:$U)</f>
        <v>28804</v>
      </c>
      <c r="F32" s="31">
        <f>_xlfn.XLOOKUP($A32,'[1]FRV Output'!$F:$F,'[1]FRV Output'!$W:$W)</f>
        <v>77</v>
      </c>
      <c r="G32" s="59">
        <f>_xlfn.XLOOKUP($A32,'[1]FRV Output'!$F:$F,'[1]FRV Output'!$AO:$AO)</f>
        <v>25.920000000000073</v>
      </c>
      <c r="H32" s="63">
        <f t="shared" si="0"/>
        <v>30026</v>
      </c>
      <c r="I32" s="59">
        <f>_xlfn.XLOOKUP($A32,'[1]FRV Output'!$F:$F,'[1]FRV Output'!$Z:$Z)</f>
        <v>389.94805194805195</v>
      </c>
      <c r="J32" s="162">
        <v>29.25</v>
      </c>
      <c r="K32" s="164">
        <v>1.2095</v>
      </c>
      <c r="L32" s="59">
        <f>_xlfn.XLOOKUP(A32,'[1]Aging Schedule'!$OA:$OA,'[1]Aging Schedule'!$NW:$NW)</f>
        <v>25.920000000000073</v>
      </c>
      <c r="M32" s="59">
        <f>_xlfn.XLOOKUP(A32,'[1]FRV Output'!$F:$F,'[1]FRV Output'!$BC:$BC)</f>
        <v>13.902388340344912</v>
      </c>
      <c r="N32" s="68"/>
      <c r="O32" s="68"/>
      <c r="R32" s="31"/>
      <c r="T32" s="59"/>
      <c r="U32" s="108"/>
      <c r="V32" s="110"/>
    </row>
    <row r="33" spans="1:22" hidden="1" x14ac:dyDescent="0.25">
      <c r="A33">
        <v>1114480233</v>
      </c>
      <c r="B33" s="36">
        <v>0.6393260764057408</v>
      </c>
      <c r="C33" s="63">
        <f>_xlfn.XLOOKUP($A33,'[1]FRV Output'!$F:$F,'[1]FRV Output'!$M:$M)</f>
        <v>29436</v>
      </c>
      <c r="D33" s="63">
        <f>_xlfn.XLOOKUP($A33,'[1]FRV Output'!$F:$F,'[1]FRV Output'!$N:$N)</f>
        <v>29516.646575342467</v>
      </c>
      <c r="E33" s="31">
        <f>_xlfn.XLOOKUP(A33,'[1]FRV Output'!$F:$F,'[1]FRV Output'!$U:$U)</f>
        <v>28204</v>
      </c>
      <c r="F33" s="31">
        <f>_xlfn.XLOOKUP($A33,'[1]FRV Output'!$F:$F,'[1]FRV Output'!$W:$W)</f>
        <v>120</v>
      </c>
      <c r="G33" s="59">
        <f>_xlfn.XLOOKUP($A33,'[1]FRV Output'!$F:$F,'[1]FRV Output'!$AO:$AO)</f>
        <v>19.460000000000036</v>
      </c>
      <c r="H33" s="63">
        <f t="shared" si="0"/>
        <v>39914</v>
      </c>
      <c r="I33" s="59">
        <f>_xlfn.XLOOKUP($A33,'[1]FRV Output'!$F:$F,'[1]FRV Output'!$Z:$Z)</f>
        <v>332.61666666666667</v>
      </c>
      <c r="J33" s="162">
        <v>29.25</v>
      </c>
      <c r="K33" s="164">
        <v>1.2856000000000001</v>
      </c>
      <c r="L33" s="59">
        <f>_xlfn.XLOOKUP(A33,'[1]Aging Schedule'!$OA:$OA,'[1]Aging Schedule'!$NW:$NW)</f>
        <v>19.460000000000036</v>
      </c>
      <c r="M33" s="59">
        <f>_xlfn.XLOOKUP(A33,'[1]FRV Output'!$F:$F,'[1]FRV Output'!$BC:$BC)</f>
        <v>17.91172479742146</v>
      </c>
      <c r="N33" s="68"/>
      <c r="O33" s="68"/>
      <c r="R33" s="31"/>
      <c r="T33" s="59"/>
      <c r="U33" s="108"/>
      <c r="V33" s="110"/>
    </row>
    <row r="34" spans="1:22" hidden="1" x14ac:dyDescent="0.25">
      <c r="A34">
        <v>1689147035</v>
      </c>
      <c r="B34" s="36">
        <v>0.65726817042606511</v>
      </c>
      <c r="C34" s="63">
        <f>_xlfn.XLOOKUP($A34,'[1]FRV Output'!$F:$F,'[1]FRV Output'!$M:$M)</f>
        <v>25184</v>
      </c>
      <c r="D34" s="63">
        <f>_xlfn.XLOOKUP($A34,'[1]FRV Output'!$F:$F,'[1]FRV Output'!$N:$N)</f>
        <v>25252.997260273976</v>
      </c>
      <c r="E34" s="31">
        <f>_xlfn.XLOOKUP(A34,'[1]FRV Output'!$F:$F,'[1]FRV Output'!$U:$U)</f>
        <v>27401</v>
      </c>
      <c r="F34" s="31">
        <f>_xlfn.XLOOKUP($A34,'[1]FRV Output'!$F:$F,'[1]FRV Output'!$W:$W)</f>
        <v>105</v>
      </c>
      <c r="G34" s="59">
        <f>_xlfn.XLOOKUP($A34,'[1]FRV Output'!$F:$F,'[1]FRV Output'!$AO:$AO)</f>
        <v>30.559999999999945</v>
      </c>
      <c r="H34" s="63">
        <f t="shared" si="0"/>
        <v>26785.279999999999</v>
      </c>
      <c r="I34" s="59">
        <f>_xlfn.XLOOKUP($A34,'[1]FRV Output'!$F:$F,'[1]FRV Output'!$Z:$Z)</f>
        <v>255.09790476190474</v>
      </c>
      <c r="J34" s="162">
        <v>29.25</v>
      </c>
      <c r="K34" s="164">
        <v>1.2156</v>
      </c>
      <c r="L34" s="59">
        <f>_xlfn.XLOOKUP(A34,'[1]Aging Schedule'!$OA:$OA,'[1]Aging Schedule'!$NW:$NW)</f>
        <v>30.559999999999945</v>
      </c>
      <c r="M34" s="59">
        <f>_xlfn.XLOOKUP(A34,'[1]FRV Output'!$F:$F,'[1]FRV Output'!$BC:$BC)</f>
        <v>10.36118305745369</v>
      </c>
      <c r="N34" s="68"/>
      <c r="O34" s="68"/>
      <c r="R34" s="31"/>
      <c r="T34" s="59"/>
      <c r="U34" s="108"/>
      <c r="V34" s="110"/>
    </row>
    <row r="35" spans="1:22" hidden="1" x14ac:dyDescent="0.25">
      <c r="A35" t="s">
        <v>785</v>
      </c>
      <c r="B35" s="36">
        <v>0.59943760302530791</v>
      </c>
      <c r="C35" s="63">
        <f>_xlfn.XLOOKUP($A35,'[1]FRV Output'!$F:$F,'[1]FRV Output'!$M:$M)</f>
        <v>42604</v>
      </c>
      <c r="D35" s="63">
        <f>_xlfn.XLOOKUP($A35,'[1]FRV Output'!$F:$F,'[1]FRV Output'!$N:$N)</f>
        <v>42720.723287671237</v>
      </c>
      <c r="E35" s="31">
        <f>_xlfn.XLOOKUP(A35,'[1]FRV Output'!$F:$F,'[1]FRV Output'!$U:$U)</f>
        <v>27834</v>
      </c>
      <c r="F35" s="31">
        <f>_xlfn.XLOOKUP($A35,'[1]FRV Output'!$F:$F,'[1]FRV Output'!$W:$W)</f>
        <v>152</v>
      </c>
      <c r="G35" s="59">
        <f>_xlfn.XLOOKUP($A35,'[1]FRV Output'!$F:$F,'[1]FRV Output'!$AO:$AO)</f>
        <v>12.180000000000064</v>
      </c>
      <c r="H35" s="63">
        <f t="shared" si="0"/>
        <v>77707</v>
      </c>
      <c r="I35" s="59">
        <f>_xlfn.XLOOKUP($A35,'[1]FRV Output'!$F:$F,'[1]FRV Output'!$Z:$Z)</f>
        <v>511.23026315789474</v>
      </c>
      <c r="J35" s="162">
        <v>9.4499999999999993</v>
      </c>
      <c r="K35" s="164">
        <v>1.3240000000000001</v>
      </c>
      <c r="L35" s="59">
        <f>_xlfn.XLOOKUP(A35,'[1]Aging Schedule'!$OA:$OA,'[1]Aging Schedule'!$NW:$NW)</f>
        <v>12.180000000000064</v>
      </c>
      <c r="M35" s="59">
        <f>_xlfn.XLOOKUP(A35,'[1]FRV Output'!$F:$F,'[1]FRV Output'!$BC:$BC)</f>
        <v>26.321448969169815</v>
      </c>
      <c r="N35" s="68"/>
      <c r="O35" s="68"/>
      <c r="R35" s="31"/>
      <c r="T35" s="59"/>
      <c r="U35" s="108"/>
      <c r="V35" s="110"/>
    </row>
    <row r="36" spans="1:22" hidden="1" x14ac:dyDescent="0.25">
      <c r="A36">
        <v>1407574981</v>
      </c>
      <c r="B36" s="36">
        <v>0.62295081967213106</v>
      </c>
      <c r="C36" s="63">
        <f>_xlfn.XLOOKUP($A36,'[1]FRV Output'!$F:$F,'[1]FRV Output'!$M:$M)</f>
        <v>27619</v>
      </c>
      <c r="D36" s="63">
        <f>_xlfn.XLOOKUP($A36,'[1]FRV Output'!$F:$F,'[1]FRV Output'!$N:$N)</f>
        <v>27694.668493150686</v>
      </c>
      <c r="E36" s="31">
        <f>_xlfn.XLOOKUP(A36,'[1]FRV Output'!$F:$F,'[1]FRV Output'!$U:$U)</f>
        <v>28739</v>
      </c>
      <c r="F36" s="31">
        <f>_xlfn.XLOOKUP($A36,'[1]FRV Output'!$F:$F,'[1]FRV Output'!$W:$W)</f>
        <v>150</v>
      </c>
      <c r="G36" s="59">
        <f>_xlfn.XLOOKUP($A36,'[1]FRV Output'!$F:$F,'[1]FRV Output'!$AO:$AO)</f>
        <v>35.5</v>
      </c>
      <c r="H36" s="63">
        <f t="shared" si="0"/>
        <v>38870</v>
      </c>
      <c r="I36" s="59">
        <f>_xlfn.XLOOKUP($A36,'[1]FRV Output'!$F:$F,'[1]FRV Output'!$Z:$Z)</f>
        <v>259.13333333333333</v>
      </c>
      <c r="J36" s="162">
        <v>29.25</v>
      </c>
      <c r="K36" s="164">
        <v>1.1569</v>
      </c>
      <c r="L36" s="59">
        <f>_xlfn.XLOOKUP(A36,'[1]Aging Schedule'!$OA:$OA,'[1]Aging Schedule'!$NW:$NW)</f>
        <v>35.960000000000036</v>
      </c>
      <c r="M36" s="59">
        <f>_xlfn.XLOOKUP(A36,'[1]FRV Output'!$F:$F,'[1]FRV Output'!$BC:$BC)</f>
        <v>8.4499932473811423</v>
      </c>
      <c r="N36" s="68"/>
      <c r="O36" s="68"/>
      <c r="R36" s="31"/>
      <c r="T36" s="59"/>
      <c r="U36" s="108"/>
      <c r="V36" s="110"/>
    </row>
    <row r="37" spans="1:22" hidden="1" x14ac:dyDescent="0.25">
      <c r="A37" t="s">
        <v>788</v>
      </c>
      <c r="B37" s="36">
        <v>0.60809000803643176</v>
      </c>
      <c r="C37" s="63">
        <f>_xlfn.XLOOKUP($A37,'[1]FRV Output'!$F:$F,'[1]FRV Output'!$M:$M)</f>
        <v>36845</v>
      </c>
      <c r="D37" s="63">
        <f>_xlfn.XLOOKUP($A37,'[1]FRV Output'!$F:$F,'[1]FRV Output'!$N:$N)</f>
        <v>36945.945205479453</v>
      </c>
      <c r="E37" s="31">
        <f>_xlfn.XLOOKUP(A37,'[1]FRV Output'!$F:$F,'[1]FRV Output'!$U:$U)</f>
        <v>28358</v>
      </c>
      <c r="F37" s="31">
        <f>_xlfn.XLOOKUP($A37,'[1]FRV Output'!$F:$F,'[1]FRV Output'!$W:$W)</f>
        <v>122</v>
      </c>
      <c r="G37" s="59">
        <f>_xlfn.XLOOKUP($A37,'[1]FRV Output'!$F:$F,'[1]FRV Output'!$AO:$AO)</f>
        <v>21.599999999999909</v>
      </c>
      <c r="H37" s="63">
        <f t="shared" si="0"/>
        <v>38471</v>
      </c>
      <c r="I37" s="59">
        <f>_xlfn.XLOOKUP($A37,'[1]FRV Output'!$F:$F,'[1]FRV Output'!$Z:$Z)</f>
        <v>315.3360655737705</v>
      </c>
      <c r="J37" s="162">
        <v>29.25</v>
      </c>
      <c r="K37" s="164">
        <v>1.2115</v>
      </c>
      <c r="L37" s="59">
        <f>_xlfn.XLOOKUP(A37,'[1]Aging Schedule'!$OA:$OA,'[1]Aging Schedule'!$NW:$NW)</f>
        <v>21.599999999999909</v>
      </c>
      <c r="M37" s="59">
        <f>_xlfn.XLOOKUP(A37,'[1]FRV Output'!$F:$F,'[1]FRV Output'!$BC:$BC)</f>
        <v>16.015847054794559</v>
      </c>
      <c r="N37" s="68"/>
      <c r="O37" s="68"/>
      <c r="R37" s="31"/>
      <c r="T37" s="59"/>
      <c r="U37" s="108"/>
      <c r="V37" s="110"/>
    </row>
    <row r="38" spans="1:22" hidden="1" x14ac:dyDescent="0.25">
      <c r="A38">
        <v>1336602358</v>
      </c>
      <c r="B38" s="36">
        <v>0.66978090663859458</v>
      </c>
      <c r="C38" s="63">
        <f>_xlfn.XLOOKUP($A38,'[1]FRV Output'!$F:$F,'[1]FRV Output'!$M:$M)</f>
        <v>23073</v>
      </c>
      <c r="D38" s="63">
        <f>_xlfn.XLOOKUP($A38,'[1]FRV Output'!$F:$F,'[1]FRV Output'!$N:$N)</f>
        <v>23136.213698630138</v>
      </c>
      <c r="E38" s="31">
        <f>_xlfn.XLOOKUP(A38,'[1]FRV Output'!$F:$F,'[1]FRV Output'!$U:$U)</f>
        <v>28207</v>
      </c>
      <c r="F38" s="31">
        <f>_xlfn.XLOOKUP($A38,'[1]FRV Output'!$F:$F,'[1]FRV Output'!$W:$W)</f>
        <v>133</v>
      </c>
      <c r="G38" s="59">
        <f>_xlfn.XLOOKUP($A38,'[1]FRV Output'!$F:$F,'[1]FRV Output'!$AO:$AO)</f>
        <v>11.369999999999891</v>
      </c>
      <c r="H38" s="63">
        <f t="shared" si="0"/>
        <v>45018</v>
      </c>
      <c r="I38" s="59">
        <f>_xlfn.XLOOKUP($A38,'[1]FRV Output'!$F:$F,'[1]FRV Output'!$Z:$Z)</f>
        <v>338.48120300751879</v>
      </c>
      <c r="J38" s="162">
        <v>29.25</v>
      </c>
      <c r="K38" s="164">
        <v>1.1579999999999999</v>
      </c>
      <c r="L38" s="59">
        <f>_xlfn.XLOOKUP(A38,'[1]Aging Schedule'!$OA:$OA,'[1]Aging Schedule'!$NW:$NW)</f>
        <v>11.369999999999891</v>
      </c>
      <c r="M38" s="59">
        <f>_xlfn.XLOOKUP(A38,'[1]FRV Output'!$F:$F,'[1]FRV Output'!$BC:$BC)</f>
        <v>22.177080934085446</v>
      </c>
      <c r="N38" s="68"/>
      <c r="O38" s="68"/>
      <c r="R38" s="31"/>
      <c r="T38" s="59"/>
      <c r="U38" s="108"/>
      <c r="V38" s="110"/>
    </row>
    <row r="39" spans="1:22" hidden="1" x14ac:dyDescent="0.25">
      <c r="A39">
        <v>1215400668</v>
      </c>
      <c r="B39" s="36">
        <v>0.63769145744512867</v>
      </c>
      <c r="C39" s="63">
        <f>_xlfn.XLOOKUP($A39,'[1]FRV Output'!$F:$F,'[1]FRV Output'!$M:$M)</f>
        <v>25734</v>
      </c>
      <c r="D39" s="63">
        <f>_xlfn.XLOOKUP($A39,'[1]FRV Output'!$F:$F,'[1]FRV Output'!$N:$N)</f>
        <v>25804.504109589045</v>
      </c>
      <c r="E39" s="31">
        <f>_xlfn.XLOOKUP(A39,'[1]FRV Output'!$F:$F,'[1]FRV Output'!$U:$U)</f>
        <v>27407</v>
      </c>
      <c r="F39" s="31">
        <f>_xlfn.XLOOKUP($A39,'[1]FRV Output'!$F:$F,'[1]FRV Output'!$W:$W)</f>
        <v>126</v>
      </c>
      <c r="G39" s="59">
        <f>_xlfn.XLOOKUP($A39,'[1]FRV Output'!$F:$F,'[1]FRV Output'!$AO:$AO)</f>
        <v>21.119999999999891</v>
      </c>
      <c r="H39" s="63">
        <f t="shared" si="0"/>
        <v>44783</v>
      </c>
      <c r="I39" s="59">
        <f>_xlfn.XLOOKUP($A39,'[1]FRV Output'!$F:$F,'[1]FRV Output'!$Z:$Z)</f>
        <v>355.42063492063494</v>
      </c>
      <c r="J39" s="162">
        <v>29.25</v>
      </c>
      <c r="K39" s="164">
        <v>1.1649</v>
      </c>
      <c r="L39" s="59">
        <f>_xlfn.XLOOKUP(A39,'[1]Aging Schedule'!$OA:$OA,'[1]Aging Schedule'!$NW:$NW)</f>
        <v>21.119999999999891</v>
      </c>
      <c r="M39" s="59">
        <f>_xlfn.XLOOKUP(A39,'[1]FRV Output'!$F:$F,'[1]FRV Output'!$BC:$BC)</f>
        <v>17.279985495568088</v>
      </c>
      <c r="N39" s="68"/>
      <c r="O39" s="68"/>
      <c r="R39" s="31"/>
      <c r="T39" s="59"/>
      <c r="U39" s="108"/>
      <c r="V39" s="110"/>
    </row>
    <row r="40" spans="1:22" hidden="1" x14ac:dyDescent="0.25">
      <c r="A40" t="s">
        <v>789</v>
      </c>
      <c r="B40" s="36">
        <v>0.65455148950294584</v>
      </c>
      <c r="C40" s="63">
        <f>_xlfn.XLOOKUP($A40,'[1]FRV Output'!$F:$F,'[1]FRV Output'!$M:$M)</f>
        <v>34560</v>
      </c>
      <c r="D40" s="63">
        <f>_xlfn.XLOOKUP($A40,'[1]FRV Output'!$F:$F,'[1]FRV Output'!$N:$N)</f>
        <v>34654.684931506854</v>
      </c>
      <c r="E40" s="31">
        <f>_xlfn.XLOOKUP(A40,'[1]FRV Output'!$F:$F,'[1]FRV Output'!$U:$U)</f>
        <v>27886</v>
      </c>
      <c r="F40" s="31">
        <f>_xlfn.XLOOKUP($A40,'[1]FRV Output'!$F:$F,'[1]FRV Output'!$W:$W)</f>
        <v>159</v>
      </c>
      <c r="G40" s="59">
        <f>_xlfn.XLOOKUP($A40,'[1]FRV Output'!$F:$F,'[1]FRV Output'!$AO:$AO)</f>
        <v>18.839999999999918</v>
      </c>
      <c r="H40" s="63">
        <f t="shared" si="0"/>
        <v>39931</v>
      </c>
      <c r="I40" s="59">
        <f>_xlfn.XLOOKUP($A40,'[1]FRV Output'!$F:$F,'[1]FRV Output'!$Z:$Z)</f>
        <v>251.13836477987422</v>
      </c>
      <c r="J40" s="162">
        <v>29.25</v>
      </c>
      <c r="K40" s="164">
        <v>1.1304000000000001</v>
      </c>
      <c r="L40" s="59">
        <f>_xlfn.XLOOKUP(A40,'[1]Aging Schedule'!$OA:$OA,'[1]Aging Schedule'!$NW:$NW)</f>
        <v>18.839999999999918</v>
      </c>
      <c r="M40" s="59">
        <f>_xlfn.XLOOKUP(A40,'[1]FRV Output'!$F:$F,'[1]FRV Output'!$BC:$BC)</f>
        <v>17.901209873328</v>
      </c>
      <c r="N40" s="68"/>
      <c r="O40" s="68"/>
      <c r="R40" s="31"/>
      <c r="T40" s="59"/>
      <c r="U40" s="108"/>
      <c r="V40" s="110"/>
    </row>
    <row r="41" spans="1:22" hidden="1" x14ac:dyDescent="0.25">
      <c r="A41">
        <v>1548293988</v>
      </c>
      <c r="B41" s="36">
        <v>0.53780381600823379</v>
      </c>
      <c r="C41" s="63">
        <f>_xlfn.XLOOKUP($A41,'[1]FRV Output'!$F:$F,'[1]FRV Output'!$M:$M)</f>
        <v>14597</v>
      </c>
      <c r="D41" s="63">
        <f>_xlfn.XLOOKUP($A41,'[1]FRV Output'!$F:$F,'[1]FRV Output'!$N:$N)</f>
        <v>14636.99178082192</v>
      </c>
      <c r="E41" s="31">
        <f>_xlfn.XLOOKUP(A41,'[1]FRV Output'!$F:$F,'[1]FRV Output'!$U:$U)</f>
        <v>28732</v>
      </c>
      <c r="F41" s="31">
        <f>_xlfn.XLOOKUP($A41,'[1]FRV Output'!$F:$F,'[1]FRV Output'!$W:$W)</f>
        <v>50</v>
      </c>
      <c r="G41" s="59">
        <f>_xlfn.XLOOKUP($A41,'[1]FRV Output'!$F:$F,'[1]FRV Output'!$AO:$AO)</f>
        <v>7.8800000000001091</v>
      </c>
      <c r="H41" s="63">
        <f t="shared" si="0"/>
        <v>34781</v>
      </c>
      <c r="I41" s="59">
        <f>_xlfn.XLOOKUP($A41,'[1]FRV Output'!$F:$F,'[1]FRV Output'!$Z:$Z)</f>
        <v>695.62</v>
      </c>
      <c r="J41" s="162">
        <v>29.25</v>
      </c>
      <c r="K41" s="164">
        <v>1.5389999999999999</v>
      </c>
      <c r="L41" s="59">
        <f>_xlfn.XLOOKUP(A41,'[1]Aging Schedule'!$OA:$OA,'[1]Aging Schedule'!$NW:$NW)</f>
        <v>7.8800000000001091</v>
      </c>
      <c r="M41" s="59">
        <f>_xlfn.XLOOKUP(A41,'[1]FRV Output'!$F:$F,'[1]FRV Output'!$BC:$BC)</f>
        <v>38.09007554610946</v>
      </c>
      <c r="N41" s="68"/>
      <c r="O41" s="68"/>
      <c r="R41" s="31"/>
      <c r="T41" s="59"/>
      <c r="U41" s="108"/>
      <c r="V41" s="110"/>
    </row>
    <row r="42" spans="1:22" hidden="1" x14ac:dyDescent="0.25">
      <c r="A42">
        <v>1174608350</v>
      </c>
      <c r="B42" s="36">
        <v>0.63037843442198038</v>
      </c>
      <c r="C42" s="63">
        <f>_xlfn.XLOOKUP($A42,'[1]FRV Output'!$F:$F,'[1]FRV Output'!$M:$M)</f>
        <v>14357</v>
      </c>
      <c r="D42" s="63">
        <f>_xlfn.XLOOKUP($A42,'[1]FRV Output'!$F:$F,'[1]FRV Output'!$N:$N)</f>
        <v>14396.334246575343</v>
      </c>
      <c r="E42" s="31">
        <f>_xlfn.XLOOKUP(A42,'[1]FRV Output'!$F:$F,'[1]FRV Output'!$U:$U)</f>
        <v>28081</v>
      </c>
      <c r="F42" s="31">
        <f>_xlfn.XLOOKUP($A42,'[1]FRV Output'!$F:$F,'[1]FRV Output'!$W:$W)</f>
        <v>50</v>
      </c>
      <c r="G42" s="59">
        <f>_xlfn.XLOOKUP($A42,'[1]FRV Output'!$F:$F,'[1]FRV Output'!$AO:$AO)</f>
        <v>26.130000000000109</v>
      </c>
      <c r="H42" s="63">
        <f t="shared" si="0"/>
        <v>17434.456888265398</v>
      </c>
      <c r="I42" s="59">
        <f>_xlfn.XLOOKUP($A42,'[1]FRV Output'!$F:$F,'[1]FRV Output'!$Z:$Z)</f>
        <v>348.68913776530798</v>
      </c>
      <c r="J42" s="162">
        <v>29.25</v>
      </c>
      <c r="K42" s="164">
        <v>1.2846</v>
      </c>
      <c r="L42" s="59">
        <f>_xlfn.XLOOKUP(A42,'[1]Aging Schedule'!$OA:$OA,'[1]Aging Schedule'!$NW:$NW)</f>
        <v>26.130000000000109</v>
      </c>
      <c r="M42" s="59">
        <f>_xlfn.XLOOKUP(A42,'[1]FRV Output'!$F:$F,'[1]FRV Output'!$BC:$BC)</f>
        <v>12.798127875423033</v>
      </c>
      <c r="N42" s="68"/>
      <c r="O42" s="68"/>
      <c r="R42" s="31"/>
      <c r="T42" s="59"/>
      <c r="U42" s="108"/>
      <c r="V42" s="110"/>
    </row>
    <row r="43" spans="1:22" hidden="1" x14ac:dyDescent="0.25">
      <c r="A43">
        <v>1225524747</v>
      </c>
      <c r="B43" s="36">
        <v>0.59175850503114524</v>
      </c>
      <c r="C43" s="63">
        <f>_xlfn.XLOOKUP($A43,'[1]FRV Output'!$F:$F,'[1]FRV Output'!$M:$M)</f>
        <v>30092</v>
      </c>
      <c r="D43" s="63">
        <f>_xlfn.XLOOKUP($A43,'[1]FRV Output'!$F:$F,'[1]FRV Output'!$N:$N)</f>
        <v>30174.443835616443</v>
      </c>
      <c r="E43" s="31">
        <f>_xlfn.XLOOKUP(A43,'[1]FRV Output'!$F:$F,'[1]FRV Output'!$U:$U)</f>
        <v>28801</v>
      </c>
      <c r="F43" s="31">
        <f>_xlfn.XLOOKUP($A43,'[1]FRV Output'!$F:$F,'[1]FRV Output'!$W:$W)</f>
        <v>120</v>
      </c>
      <c r="G43" s="59">
        <f>_xlfn.XLOOKUP($A43,'[1]FRV Output'!$F:$F,'[1]FRV Output'!$AO:$AO)</f>
        <v>8</v>
      </c>
      <c r="H43" s="63">
        <f t="shared" si="0"/>
        <v>48818</v>
      </c>
      <c r="I43" s="59">
        <f>_xlfn.XLOOKUP($A43,'[1]FRV Output'!$F:$F,'[1]FRV Output'!$Z:$Z)</f>
        <v>406.81666666666666</v>
      </c>
      <c r="J43" s="162">
        <v>29.25</v>
      </c>
      <c r="K43" s="164">
        <v>1.1644000000000001</v>
      </c>
      <c r="L43" s="59">
        <f>_xlfn.XLOOKUP(A43,'[1]Aging Schedule'!$OA:$OA,'[1]Aging Schedule'!$NW:$NW)</f>
        <v>8</v>
      </c>
      <c r="M43" s="59">
        <f>_xlfn.XLOOKUP(A43,'[1]FRV Output'!$F:$F,'[1]FRV Output'!$BC:$BC)</f>
        <v>24.123645174053138</v>
      </c>
      <c r="N43" s="68"/>
      <c r="O43" s="68"/>
      <c r="R43" s="31"/>
      <c r="T43" s="59"/>
      <c r="U43" s="108"/>
      <c r="V43" s="110"/>
    </row>
    <row r="44" spans="1:22" hidden="1" x14ac:dyDescent="0.25">
      <c r="A44">
        <v>1295704997</v>
      </c>
      <c r="B44" s="36">
        <v>0.64903164855928197</v>
      </c>
      <c r="C44" s="63">
        <f>_xlfn.XLOOKUP($A44,'[1]FRV Output'!$F:$F,'[1]FRV Output'!$M:$M)</f>
        <v>40854</v>
      </c>
      <c r="D44" s="63">
        <f>_xlfn.XLOOKUP($A44,'[1]FRV Output'!$F:$F,'[1]FRV Output'!$N:$N)</f>
        <v>40965.928767123289</v>
      </c>
      <c r="E44" s="31">
        <f>_xlfn.XLOOKUP(A44,'[1]FRV Output'!$F:$F,'[1]FRV Output'!$U:$U)</f>
        <v>27407</v>
      </c>
      <c r="F44" s="31">
        <f>_xlfn.XLOOKUP($A44,'[1]FRV Output'!$F:$F,'[1]FRV Output'!$W:$W)</f>
        <v>134</v>
      </c>
      <c r="G44" s="59">
        <f>_xlfn.XLOOKUP($A44,'[1]FRV Output'!$F:$F,'[1]FRV Output'!$AO:$AO)</f>
        <v>13.339999999999918</v>
      </c>
      <c r="H44" s="63">
        <f t="shared" si="0"/>
        <v>65763.756470807799</v>
      </c>
      <c r="I44" s="59">
        <f>_xlfn.XLOOKUP($A44,'[1]FRV Output'!$F:$F,'[1]FRV Output'!$Z:$Z)</f>
        <v>490.77430202095371</v>
      </c>
      <c r="J44" s="162">
        <v>29.25</v>
      </c>
      <c r="K44" s="164">
        <v>1.1867000000000001</v>
      </c>
      <c r="L44" s="59">
        <f>_xlfn.XLOOKUP(A44,'[1]Aging Schedule'!$OA:$OA,'[1]Aging Schedule'!$NW:$NW)</f>
        <v>13.339999999999918</v>
      </c>
      <c r="M44" s="59">
        <f>_xlfn.XLOOKUP(A44,'[1]FRV Output'!$F:$F,'[1]FRV Output'!$BC:$BC)</f>
        <v>25.242086295178659</v>
      </c>
      <c r="N44" s="68"/>
      <c r="O44" s="68"/>
      <c r="R44" s="31"/>
      <c r="T44" s="59"/>
      <c r="U44" s="108"/>
      <c r="V44" s="110"/>
    </row>
    <row r="45" spans="1:22" hidden="1" x14ac:dyDescent="0.25">
      <c r="A45">
        <v>1063919652</v>
      </c>
      <c r="B45" s="36">
        <v>0.63772236211518152</v>
      </c>
      <c r="C45" s="63">
        <f>_xlfn.XLOOKUP($A45,'[1]FRV Output'!$F:$F,'[1]FRV Output'!$M:$M)</f>
        <v>22508</v>
      </c>
      <c r="D45" s="63">
        <f>_xlfn.XLOOKUP($A45,'[1]FRV Output'!$F:$F,'[1]FRV Output'!$N:$N)</f>
        <v>22569.665753424659</v>
      </c>
      <c r="E45" s="31">
        <f>_xlfn.XLOOKUP(A45,'[1]FRV Output'!$F:$F,'[1]FRV Output'!$U:$U)</f>
        <v>28712</v>
      </c>
      <c r="F45" s="31">
        <f>_xlfn.XLOOKUP($A45,'[1]FRV Output'!$F:$F,'[1]FRV Output'!$W:$W)</f>
        <v>147</v>
      </c>
      <c r="G45" s="59">
        <f>_xlfn.XLOOKUP($A45,'[1]FRV Output'!$F:$F,'[1]FRV Output'!$AO:$AO)</f>
        <v>16.220000000000027</v>
      </c>
      <c r="H45" s="63">
        <f t="shared" si="0"/>
        <v>53397</v>
      </c>
      <c r="I45" s="59">
        <f>_xlfn.XLOOKUP($A45,'[1]FRV Output'!$F:$F,'[1]FRV Output'!$Z:$Z)</f>
        <v>363.24489795918367</v>
      </c>
      <c r="J45" s="162">
        <v>29.25</v>
      </c>
      <c r="K45" s="164">
        <v>1.2571000000000001</v>
      </c>
      <c r="L45" s="59">
        <f>_xlfn.XLOOKUP(A45,'[1]Aging Schedule'!$OA:$OA,'[1]Aging Schedule'!$NW:$NW)</f>
        <v>16.220000000000027</v>
      </c>
      <c r="M45" s="59">
        <f>_xlfn.XLOOKUP(A45,'[1]FRV Output'!$F:$F,'[1]FRV Output'!$BC:$BC)</f>
        <v>18.916916043190927</v>
      </c>
      <c r="N45" s="68"/>
      <c r="O45" s="68"/>
      <c r="R45" s="31"/>
      <c r="T45" s="59"/>
      <c r="U45" s="108"/>
      <c r="V45" s="110"/>
    </row>
    <row r="46" spans="1:22" hidden="1" x14ac:dyDescent="0.25">
      <c r="A46">
        <v>1518435650</v>
      </c>
      <c r="B46" s="36">
        <v>0.69461570078092882</v>
      </c>
      <c r="C46" s="63">
        <f>_xlfn.XLOOKUP($A46,'[1]FRV Output'!$F:$F,'[1]FRV Output'!$M:$M)</f>
        <v>26294</v>
      </c>
      <c r="D46" s="63">
        <f>_xlfn.XLOOKUP($A46,'[1]FRV Output'!$F:$F,'[1]FRV Output'!$N:$N)</f>
        <v>26366.038356164387</v>
      </c>
      <c r="E46" s="31">
        <f>_xlfn.XLOOKUP(A46,'[1]FRV Output'!$F:$F,'[1]FRV Output'!$U:$U)</f>
        <v>28212</v>
      </c>
      <c r="F46" s="31">
        <f>_xlfn.XLOOKUP($A46,'[1]FRV Output'!$F:$F,'[1]FRV Output'!$W:$W)</f>
        <v>120</v>
      </c>
      <c r="G46" s="59">
        <f>_xlfn.XLOOKUP($A46,'[1]FRV Output'!$F:$F,'[1]FRV Output'!$AO:$AO)</f>
        <v>6.8599999999999</v>
      </c>
      <c r="H46" s="63">
        <f t="shared" si="0"/>
        <v>83990</v>
      </c>
      <c r="I46" s="59">
        <f>_xlfn.XLOOKUP($A46,'[1]FRV Output'!$F:$F,'[1]FRV Output'!$Z:$Z)</f>
        <v>699.91666666666663</v>
      </c>
      <c r="J46" s="162">
        <v>29.25</v>
      </c>
      <c r="K46" s="164">
        <v>1.1919</v>
      </c>
      <c r="L46" s="59">
        <f>_xlfn.XLOOKUP(A46,'[1]Aging Schedule'!$OA:$OA,'[1]Aging Schedule'!$NW:$NW)</f>
        <v>6.8599999999999</v>
      </c>
      <c r="M46" s="59">
        <f>_xlfn.XLOOKUP(A46,'[1]FRV Output'!$F:$F,'[1]FRV Output'!$BC:$BC)</f>
        <v>40.708760836021391</v>
      </c>
      <c r="N46" s="68"/>
      <c r="O46" s="68"/>
      <c r="R46" s="31"/>
      <c r="T46" s="59"/>
      <c r="U46" s="108"/>
      <c r="V46" s="110"/>
    </row>
    <row r="47" spans="1:22" hidden="1" x14ac:dyDescent="0.25">
      <c r="A47">
        <v>1700525300</v>
      </c>
      <c r="B47" s="36">
        <v>0.66536514822848869</v>
      </c>
      <c r="C47" s="63">
        <f>_xlfn.XLOOKUP($A47,'[1]FRV Output'!$F:$F,'[1]FRV Output'!$M:$M)</f>
        <v>39900</v>
      </c>
      <c r="D47" s="63">
        <f>_xlfn.XLOOKUP($A47,'[1]FRV Output'!$F:$F,'[1]FRV Output'!$N:$N)</f>
        <v>40009.315068493153</v>
      </c>
      <c r="E47" s="31">
        <f>_xlfn.XLOOKUP(A47,'[1]FRV Output'!$F:$F,'[1]FRV Output'!$U:$U)</f>
        <v>27713</v>
      </c>
      <c r="F47" s="31">
        <f>_xlfn.XLOOKUP($A47,'[1]FRV Output'!$F:$F,'[1]FRV Output'!$W:$W)</f>
        <v>140</v>
      </c>
      <c r="G47" s="59">
        <f>_xlfn.XLOOKUP($A47,'[1]FRV Output'!$F:$F,'[1]FRV Output'!$AO:$AO)</f>
        <v>8.8399999999999181</v>
      </c>
      <c r="H47" s="63">
        <f t="shared" si="0"/>
        <v>60484</v>
      </c>
      <c r="I47" s="59">
        <f>_xlfn.XLOOKUP($A47,'[1]FRV Output'!$F:$F,'[1]FRV Output'!$Z:$Z)</f>
        <v>432.02857142857141</v>
      </c>
      <c r="J47" s="162">
        <v>29.25</v>
      </c>
      <c r="K47" s="164">
        <v>1.3010999999999999</v>
      </c>
      <c r="L47" s="59">
        <f>_xlfn.XLOOKUP(A47,'[1]Aging Schedule'!$OA:$OA,'[1]Aging Schedule'!$NW:$NW)</f>
        <v>8.8399999999999181</v>
      </c>
      <c r="M47" s="59">
        <f>_xlfn.XLOOKUP(A47,'[1]FRV Output'!$F:$F,'[1]FRV Output'!$BC:$BC)</f>
        <v>24.689122805893675</v>
      </c>
      <c r="N47" s="68"/>
      <c r="O47" s="68"/>
      <c r="R47" s="31"/>
      <c r="T47" s="59"/>
      <c r="U47" s="108"/>
      <c r="V47" s="110"/>
    </row>
    <row r="48" spans="1:22" hidden="1" x14ac:dyDescent="0.25">
      <c r="A48">
        <v>1134868730</v>
      </c>
      <c r="B48" s="36">
        <v>0.61112541849085755</v>
      </c>
      <c r="C48" s="63">
        <f>_xlfn.XLOOKUP($A48,'[1]FRV Output'!$F:$F,'[1]FRV Output'!$M:$M)</f>
        <v>32805</v>
      </c>
      <c r="D48" s="63">
        <f>_xlfn.XLOOKUP($A48,'[1]FRV Output'!$F:$F,'[1]FRV Output'!$N:$N)</f>
        <v>32894.876712328769</v>
      </c>
      <c r="E48" s="31">
        <f>_xlfn.XLOOKUP(A48,'[1]FRV Output'!$F:$F,'[1]FRV Output'!$U:$U)</f>
        <v>27288</v>
      </c>
      <c r="F48" s="31">
        <f>_xlfn.XLOOKUP($A48,'[1]FRV Output'!$F:$F,'[1]FRV Output'!$W:$W)</f>
        <v>112</v>
      </c>
      <c r="G48" s="59">
        <f>_xlfn.XLOOKUP($A48,'[1]FRV Output'!$F:$F,'[1]FRV Output'!$AO:$AO)</f>
        <v>18.910000000000082</v>
      </c>
      <c r="H48" s="63">
        <f t="shared" si="0"/>
        <v>34900</v>
      </c>
      <c r="I48" s="59">
        <f>_xlfn.XLOOKUP($A48,'[1]FRV Output'!$F:$F,'[1]FRV Output'!$Z:$Z)</f>
        <v>311.60714285714283</v>
      </c>
      <c r="J48" s="162">
        <v>29.25</v>
      </c>
      <c r="K48" s="164">
        <v>1.2289000000000001</v>
      </c>
      <c r="L48" s="59">
        <f>_xlfn.XLOOKUP(A48,'[1]Aging Schedule'!$OA:$OA,'[1]Aging Schedule'!$NW:$NW)</f>
        <v>18.910000000000082</v>
      </c>
      <c r="M48" s="59">
        <f>_xlfn.XLOOKUP(A48,'[1]FRV Output'!$F:$F,'[1]FRV Output'!$BC:$BC)</f>
        <v>18.073444335858202</v>
      </c>
      <c r="N48" s="68"/>
      <c r="O48" s="68"/>
      <c r="R48" s="31"/>
      <c r="T48" s="59"/>
      <c r="U48" s="108"/>
      <c r="V48" s="110"/>
    </row>
    <row r="49" spans="1:22" hidden="1" x14ac:dyDescent="0.25">
      <c r="A49">
        <v>1851030985</v>
      </c>
      <c r="B49" s="36">
        <v>0.67991500078702971</v>
      </c>
      <c r="C49" s="63">
        <f>_xlfn.XLOOKUP($A49,'[1]FRV Output'!$F:$F,'[1]FRV Output'!$M:$M)</f>
        <v>42367</v>
      </c>
      <c r="D49" s="63">
        <f>_xlfn.XLOOKUP($A49,'[1]FRV Output'!$F:$F,'[1]FRV Output'!$N:$N)</f>
        <v>42483.073972602746</v>
      </c>
      <c r="E49" s="31">
        <f>_xlfn.XLOOKUP(A49,'[1]FRV Output'!$F:$F,'[1]FRV Output'!$U:$U)</f>
        <v>28054</v>
      </c>
      <c r="F49" s="31">
        <f>_xlfn.XLOOKUP($A49,'[1]FRV Output'!$F:$F,'[1]FRV Output'!$W:$W)</f>
        <v>162</v>
      </c>
      <c r="G49" s="59">
        <f>_xlfn.XLOOKUP($A49,'[1]FRV Output'!$F:$F,'[1]FRV Output'!$AO:$AO)</f>
        <v>19.069999999999936</v>
      </c>
      <c r="H49" s="63">
        <f t="shared" si="0"/>
        <v>47756</v>
      </c>
      <c r="I49" s="59">
        <f>_xlfn.XLOOKUP($A49,'[1]FRV Output'!$F:$F,'[1]FRV Output'!$Z:$Z)</f>
        <v>294.79012345679013</v>
      </c>
      <c r="J49" s="162">
        <v>9.4499999999999993</v>
      </c>
      <c r="K49" s="164">
        <v>1.3092999999999999</v>
      </c>
      <c r="L49" s="59">
        <f>_xlfn.XLOOKUP(A49,'[1]Aging Schedule'!$OA:$OA,'[1]Aging Schedule'!$NW:$NW)</f>
        <v>19.069999999999936</v>
      </c>
      <c r="M49" s="59">
        <f>_xlfn.XLOOKUP(A49,'[1]FRV Output'!$F:$F,'[1]FRV Output'!$BC:$BC)</f>
        <v>12.923003970507624</v>
      </c>
      <c r="N49" s="68"/>
      <c r="O49" s="68"/>
      <c r="R49" s="31"/>
      <c r="T49" s="59"/>
      <c r="U49" s="108"/>
      <c r="V49" s="110"/>
    </row>
    <row r="50" spans="1:22" hidden="1" x14ac:dyDescent="0.25">
      <c r="A50">
        <v>1487393088</v>
      </c>
      <c r="B50" s="36">
        <v>0.71953857245854358</v>
      </c>
      <c r="C50" s="63">
        <f>_xlfn.XLOOKUP($A50,'[1]FRV Output'!$F:$F,'[1]FRV Output'!$M:$M)</f>
        <v>33562</v>
      </c>
      <c r="D50" s="63">
        <f>_xlfn.XLOOKUP($A50,'[1]FRV Output'!$F:$F,'[1]FRV Output'!$N:$N)</f>
        <v>33653.950684931508</v>
      </c>
      <c r="E50" s="31">
        <f>_xlfn.XLOOKUP(A50,'[1]FRV Output'!$F:$F,'[1]FRV Output'!$U:$U)</f>
        <v>27534</v>
      </c>
      <c r="F50" s="31">
        <f>_xlfn.XLOOKUP($A50,'[1]FRV Output'!$F:$F,'[1]FRV Output'!$W:$W)</f>
        <v>130</v>
      </c>
      <c r="G50" s="59">
        <f>_xlfn.XLOOKUP($A50,'[1]FRV Output'!$F:$F,'[1]FRV Output'!$AO:$AO)</f>
        <v>7</v>
      </c>
      <c r="H50" s="63">
        <f t="shared" si="0"/>
        <v>27837</v>
      </c>
      <c r="I50" s="59">
        <f>_xlfn.XLOOKUP($A50,'[1]FRV Output'!$F:$F,'[1]FRV Output'!$Z:$Z)</f>
        <v>214.13076923076923</v>
      </c>
      <c r="J50" s="162">
        <v>29.25</v>
      </c>
      <c r="K50" s="164">
        <v>1.2552000000000001</v>
      </c>
      <c r="L50" s="59">
        <f>_xlfn.XLOOKUP(A50,'[1]Aging Schedule'!$OA:$OA,'[1]Aging Schedule'!$NW:$NW)</f>
        <v>7</v>
      </c>
      <c r="M50" s="59">
        <f>_xlfn.XLOOKUP(A50,'[1]FRV Output'!$F:$F,'[1]FRV Output'!$BC:$BC)</f>
        <v>24.31129641369867</v>
      </c>
      <c r="N50" s="68"/>
      <c r="O50" s="68"/>
      <c r="R50" s="31"/>
      <c r="T50" s="59"/>
      <c r="U50" s="108"/>
      <c r="V50" s="110"/>
    </row>
    <row r="51" spans="1:22" hidden="1" x14ac:dyDescent="0.25">
      <c r="A51">
        <v>1639818230</v>
      </c>
      <c r="B51" s="36">
        <v>0.55189994423643751</v>
      </c>
      <c r="C51" s="63">
        <f>_xlfn.XLOOKUP($A51,'[1]FRV Output'!$F:$F,'[1]FRV Output'!$M:$M)</f>
        <v>17797</v>
      </c>
      <c r="D51" s="63">
        <f>_xlfn.XLOOKUP($A51,'[1]FRV Output'!$F:$F,'[1]FRV Output'!$N:$N)</f>
        <v>17845.758904109593</v>
      </c>
      <c r="E51" s="31">
        <f>_xlfn.XLOOKUP(A51,'[1]FRV Output'!$F:$F,'[1]FRV Output'!$U:$U)</f>
        <v>27944</v>
      </c>
      <c r="F51" s="31">
        <f>_xlfn.XLOOKUP($A51,'[1]FRV Output'!$F:$F,'[1]FRV Output'!$W:$W)</f>
        <v>78</v>
      </c>
      <c r="G51" s="59">
        <f>_xlfn.XLOOKUP($A51,'[1]FRV Output'!$F:$F,'[1]FRV Output'!$AO:$AO)</f>
        <v>14.680000000000064</v>
      </c>
      <c r="H51" s="63">
        <f t="shared" si="0"/>
        <v>23668</v>
      </c>
      <c r="I51" s="59">
        <f>_xlfn.XLOOKUP($A51,'[1]FRV Output'!$F:$F,'[1]FRV Output'!$Z:$Z)</f>
        <v>303.43589743589746</v>
      </c>
      <c r="J51" s="162">
        <v>29.25</v>
      </c>
      <c r="K51" s="164">
        <v>1.2290000000000001</v>
      </c>
      <c r="L51" s="59">
        <f>_xlfn.XLOOKUP(A51,'[1]Aging Schedule'!$OA:$OA,'[1]Aging Schedule'!$NW:$NW)</f>
        <v>14.680000000000064</v>
      </c>
      <c r="M51" s="59">
        <f>_xlfn.XLOOKUP(A51,'[1]FRV Output'!$F:$F,'[1]FRV Output'!$BC:$BC)</f>
        <v>18.952430136986301</v>
      </c>
      <c r="N51" s="68"/>
      <c r="O51" s="68"/>
      <c r="R51" s="31"/>
      <c r="T51" s="59"/>
      <c r="U51" s="108"/>
      <c r="V51" s="110"/>
    </row>
    <row r="52" spans="1:22" hidden="1" x14ac:dyDescent="0.25">
      <c r="A52">
        <v>1184363236</v>
      </c>
      <c r="B52" s="36">
        <v>0.66090375733366624</v>
      </c>
      <c r="C52" s="63">
        <f>_xlfn.XLOOKUP($A52,'[1]FRV Output'!$F:$F,'[1]FRV Output'!$M:$M)</f>
        <v>41524</v>
      </c>
      <c r="D52" s="63">
        <f>_xlfn.XLOOKUP($A52,'[1]FRV Output'!$F:$F,'[1]FRV Output'!$N:$N)</f>
        <v>41637.764383561647</v>
      </c>
      <c r="E52" s="31">
        <f>_xlfn.XLOOKUP(A52,'[1]FRV Output'!$F:$F,'[1]FRV Output'!$U:$U)</f>
        <v>28602</v>
      </c>
      <c r="F52" s="31">
        <f>_xlfn.XLOOKUP($A52,'[1]FRV Output'!$F:$F,'[1]FRV Output'!$W:$W)</f>
        <v>150</v>
      </c>
      <c r="G52" s="59">
        <f>_xlfn.XLOOKUP($A52,'[1]FRV Output'!$F:$F,'[1]FRV Output'!$AO:$AO)</f>
        <v>15.910000000000082</v>
      </c>
      <c r="H52" s="63">
        <f t="shared" si="0"/>
        <v>37101</v>
      </c>
      <c r="I52" s="59">
        <f>_xlfn.XLOOKUP($A52,'[1]FRV Output'!$F:$F,'[1]FRV Output'!$Z:$Z)</f>
        <v>247.34</v>
      </c>
      <c r="J52" s="162">
        <v>29.25</v>
      </c>
      <c r="K52" s="164">
        <v>1.2921</v>
      </c>
      <c r="L52" s="59">
        <f>_xlfn.XLOOKUP(A52,'[1]Aging Schedule'!$OA:$OA,'[1]Aging Schedule'!$NW:$NW)</f>
        <v>15.910000000000082</v>
      </c>
      <c r="M52" s="59">
        <f>_xlfn.XLOOKUP(A52,'[1]FRV Output'!$F:$F,'[1]FRV Output'!$BC:$BC)</f>
        <v>12.95393367606769</v>
      </c>
      <c r="N52" s="68"/>
      <c r="O52" s="68"/>
      <c r="R52" s="31"/>
      <c r="T52" s="59"/>
      <c r="U52" s="108"/>
      <c r="V52" s="110"/>
    </row>
    <row r="53" spans="1:22" hidden="1" x14ac:dyDescent="0.25">
      <c r="A53">
        <v>1932606530</v>
      </c>
      <c r="B53" s="36">
        <v>0.6701184433164129</v>
      </c>
      <c r="C53" s="63">
        <f>_xlfn.XLOOKUP($A53,'[1]FRV Output'!$F:$F,'[1]FRV Output'!$M:$M)</f>
        <v>42150</v>
      </c>
      <c r="D53" s="63">
        <f>_xlfn.XLOOKUP($A53,'[1]FRV Output'!$F:$F,'[1]FRV Output'!$N:$N)</f>
        <v>42265.479452054802</v>
      </c>
      <c r="E53" s="31">
        <f>_xlfn.XLOOKUP(A53,'[1]FRV Output'!$F:$F,'[1]FRV Output'!$U:$U)</f>
        <v>28144</v>
      </c>
      <c r="F53" s="31">
        <f>_xlfn.XLOOKUP($A53,'[1]FRV Output'!$F:$F,'[1]FRV Output'!$W:$W)</f>
        <v>185</v>
      </c>
      <c r="G53" s="59">
        <f>_xlfn.XLOOKUP($A53,'[1]FRV Output'!$F:$F,'[1]FRV Output'!$AO:$AO)</f>
        <v>32.180000000000064</v>
      </c>
      <c r="H53" s="63">
        <f t="shared" si="0"/>
        <v>54789</v>
      </c>
      <c r="I53" s="59">
        <f>_xlfn.XLOOKUP($A53,'[1]FRV Output'!$F:$F,'[1]FRV Output'!$Z:$Z)</f>
        <v>296.15675675675675</v>
      </c>
      <c r="J53" s="162">
        <v>9.4499999999999993</v>
      </c>
      <c r="K53" s="164">
        <v>1.1597999999999999</v>
      </c>
      <c r="L53" s="59">
        <f>_xlfn.XLOOKUP(A53,'[1]Aging Schedule'!$OA:$OA,'[1]Aging Schedule'!$NW:$NW)</f>
        <v>32.180000000000064</v>
      </c>
      <c r="M53" s="59">
        <f>_xlfn.XLOOKUP(A53,'[1]FRV Output'!$F:$F,'[1]FRV Output'!$BC:$BC)</f>
        <v>9.8574778236502407</v>
      </c>
      <c r="N53" s="68"/>
      <c r="O53" s="68"/>
      <c r="R53" s="31"/>
      <c r="T53" s="59"/>
      <c r="U53" s="108"/>
      <c r="V53" s="110"/>
    </row>
    <row r="54" spans="1:22" hidden="1" x14ac:dyDescent="0.25">
      <c r="A54">
        <v>1508505660</v>
      </c>
      <c r="B54" s="36">
        <v>0.65656480148988405</v>
      </c>
      <c r="C54" s="63">
        <f>_xlfn.XLOOKUP($A54,'[1]FRV Output'!$F:$F,'[1]FRV Output'!$M:$M)</f>
        <v>28324</v>
      </c>
      <c r="D54" s="63">
        <f>_xlfn.XLOOKUP($A54,'[1]FRV Output'!$F:$F,'[1]FRV Output'!$N:$N)</f>
        <v>28401.600000000002</v>
      </c>
      <c r="E54" s="31">
        <f>_xlfn.XLOOKUP(A54,'[1]FRV Output'!$F:$F,'[1]FRV Output'!$U:$U)</f>
        <v>28777</v>
      </c>
      <c r="F54" s="31">
        <f>_xlfn.XLOOKUP($A54,'[1]FRV Output'!$F:$F,'[1]FRV Output'!$W:$W)</f>
        <v>127</v>
      </c>
      <c r="G54" s="59">
        <f>_xlfn.XLOOKUP($A54,'[1]FRV Output'!$F:$F,'[1]FRV Output'!$AO:$AO)</f>
        <v>28.740000000000009</v>
      </c>
      <c r="H54" s="63">
        <f t="shared" si="0"/>
        <v>36079</v>
      </c>
      <c r="I54" s="59">
        <f>_xlfn.XLOOKUP($A54,'[1]FRV Output'!$F:$F,'[1]FRV Output'!$Z:$Z)</f>
        <v>284.08661417322833</v>
      </c>
      <c r="J54" s="162">
        <v>29.25</v>
      </c>
      <c r="K54" s="164">
        <v>1.2450000000000001</v>
      </c>
      <c r="L54" s="59">
        <f>_xlfn.XLOOKUP(A54,'[1]Aging Schedule'!$OA:$OA,'[1]Aging Schedule'!$NW:$NW)</f>
        <v>28.740000000000009</v>
      </c>
      <c r="M54" s="59">
        <f>_xlfn.XLOOKUP(A54,'[1]FRV Output'!$F:$F,'[1]FRV Output'!$BC:$BC)</f>
        <v>9.4230225761482487</v>
      </c>
      <c r="N54" s="68"/>
      <c r="O54" s="68"/>
      <c r="R54" s="31"/>
      <c r="T54" s="59"/>
      <c r="U54" s="108"/>
      <c r="V54" s="110"/>
    </row>
    <row r="55" spans="1:22" hidden="1" x14ac:dyDescent="0.25">
      <c r="A55">
        <v>1972071033</v>
      </c>
      <c r="B55" s="36">
        <v>0.66480891719745228</v>
      </c>
      <c r="C55" s="63">
        <f>_xlfn.XLOOKUP($A55,'[1]FRV Output'!$F:$F,'[1]FRV Output'!$M:$M)</f>
        <v>31323</v>
      </c>
      <c r="D55" s="63">
        <f>_xlfn.XLOOKUP($A55,'[1]FRV Output'!$F:$F,'[1]FRV Output'!$N:$N)</f>
        <v>31408.816438356167</v>
      </c>
      <c r="E55" s="31">
        <f>_xlfn.XLOOKUP(A55,'[1]FRV Output'!$F:$F,'[1]FRV Output'!$U:$U)</f>
        <v>28677</v>
      </c>
      <c r="F55" s="31">
        <f>_xlfn.XLOOKUP($A55,'[1]FRV Output'!$F:$F,'[1]FRV Output'!$W:$W)</f>
        <v>147</v>
      </c>
      <c r="G55" s="59">
        <f>_xlfn.XLOOKUP($A55,'[1]FRV Output'!$F:$F,'[1]FRV Output'!$AO:$AO)</f>
        <v>26.029999999999973</v>
      </c>
      <c r="H55" s="63">
        <f t="shared" si="0"/>
        <v>36461</v>
      </c>
      <c r="I55" s="59">
        <f>_xlfn.XLOOKUP($A55,'[1]FRV Output'!$F:$F,'[1]FRV Output'!$Z:$Z)</f>
        <v>248.03401360544217</v>
      </c>
      <c r="J55" s="162">
        <v>29.25</v>
      </c>
      <c r="K55" s="164">
        <v>0</v>
      </c>
      <c r="L55" s="59">
        <f>_xlfn.XLOOKUP(A55,'[1]Aging Schedule'!$OA:$OA,'[1]Aging Schedule'!$NW:$NW)</f>
        <v>26.029999999999973</v>
      </c>
      <c r="M55" s="59">
        <f>_xlfn.XLOOKUP(A55,'[1]FRV Output'!$F:$F,'[1]FRV Output'!$BC:$BC)</f>
        <v>14.017055194399687</v>
      </c>
      <c r="N55" s="68"/>
      <c r="O55" s="68"/>
      <c r="R55" s="31"/>
      <c r="T55" s="59"/>
      <c r="U55" s="108"/>
      <c r="V55" s="110"/>
    </row>
    <row r="56" spans="1:22" hidden="1" x14ac:dyDescent="0.25">
      <c r="A56">
        <v>1205575511</v>
      </c>
      <c r="B56" s="36">
        <v>0.53853135313531353</v>
      </c>
      <c r="C56" s="63">
        <f>_xlfn.XLOOKUP($A56,'[1]FRV Output'!$F:$F,'[1]FRV Output'!$M:$M)</f>
        <v>23387</v>
      </c>
      <c r="D56" s="63">
        <f>_xlfn.XLOOKUP($A56,'[1]FRV Output'!$F:$F,'[1]FRV Output'!$N:$N)</f>
        <v>23451.073972602742</v>
      </c>
      <c r="E56" s="31">
        <f>_xlfn.XLOOKUP(A56,'[1]FRV Output'!$F:$F,'[1]FRV Output'!$U:$U)</f>
        <v>28466</v>
      </c>
      <c r="F56" s="31">
        <f>_xlfn.XLOOKUP($A56,'[1]FRV Output'!$F:$F,'[1]FRV Output'!$W:$W)</f>
        <v>80</v>
      </c>
      <c r="G56" s="59">
        <f>_xlfn.XLOOKUP($A56,'[1]FRV Output'!$F:$F,'[1]FRV Output'!$AO:$AO)</f>
        <v>3.6400000000001</v>
      </c>
      <c r="H56" s="63">
        <f t="shared" si="0"/>
        <v>26759</v>
      </c>
      <c r="I56" s="59">
        <f>_xlfn.XLOOKUP($A56,'[1]FRV Output'!$F:$F,'[1]FRV Output'!$Z:$Z)</f>
        <v>334.48750000000001</v>
      </c>
      <c r="J56" s="162">
        <v>29.25</v>
      </c>
      <c r="K56" s="164">
        <v>1.3347</v>
      </c>
      <c r="L56" s="59">
        <f>_xlfn.XLOOKUP(A56,'[1]Aging Schedule'!$OA:$OA,'[1]Aging Schedule'!$NW:$NW)</f>
        <v>3.6400000000001</v>
      </c>
      <c r="M56" s="59">
        <f>_xlfn.XLOOKUP(A56,'[1]FRV Output'!$F:$F,'[1]FRV Output'!$BC:$BC)</f>
        <v>25.852057536261071</v>
      </c>
      <c r="N56" s="68"/>
      <c r="O56" s="68"/>
      <c r="R56" s="31"/>
      <c r="T56" s="59"/>
      <c r="U56" s="108"/>
      <c r="V56" s="110"/>
    </row>
    <row r="57" spans="1:22" hidden="1" x14ac:dyDescent="0.25">
      <c r="A57">
        <v>1215653324</v>
      </c>
      <c r="B57" s="36">
        <v>0.6695511087074093</v>
      </c>
      <c r="C57" s="63">
        <f>_xlfn.XLOOKUP($A57,'[1]FRV Output'!$F:$F,'[1]FRV Output'!$M:$M)</f>
        <v>21862</v>
      </c>
      <c r="D57" s="63">
        <f>_xlfn.XLOOKUP($A57,'[1]FRV Output'!$F:$F,'[1]FRV Output'!$N:$N)</f>
        <v>21921.89589041096</v>
      </c>
      <c r="E57" s="31">
        <f>_xlfn.XLOOKUP(A57,'[1]FRV Output'!$F:$F,'[1]FRV Output'!$U:$U)</f>
        <v>28786</v>
      </c>
      <c r="F57" s="31">
        <f>_xlfn.XLOOKUP($A57,'[1]FRV Output'!$F:$F,'[1]FRV Output'!$W:$W)</f>
        <v>90</v>
      </c>
      <c r="G57" s="59">
        <f>_xlfn.XLOOKUP($A57,'[1]FRV Output'!$F:$F,'[1]FRV Output'!$AO:$AO)</f>
        <v>14.329999999999927</v>
      </c>
      <c r="H57" s="63">
        <f t="shared" si="0"/>
        <v>41226</v>
      </c>
      <c r="I57" s="59">
        <f>_xlfn.XLOOKUP($A57,'[1]FRV Output'!$F:$F,'[1]FRV Output'!$Z:$Z)</f>
        <v>458.06666666666666</v>
      </c>
      <c r="J57" s="162">
        <v>29.25</v>
      </c>
      <c r="K57" s="164">
        <v>1.2419</v>
      </c>
      <c r="L57" s="59">
        <f>_xlfn.XLOOKUP(A57,'[1]Aging Schedule'!$OA:$OA,'[1]Aging Schedule'!$NW:$NW)</f>
        <v>14.329999999999927</v>
      </c>
      <c r="M57" s="59">
        <f>_xlfn.XLOOKUP(A57,'[1]FRV Output'!$F:$F,'[1]FRV Output'!$BC:$BC)</f>
        <v>22.641910094067399</v>
      </c>
      <c r="N57" s="68"/>
      <c r="O57" s="68"/>
      <c r="R57" s="31"/>
      <c r="T57" s="59"/>
      <c r="U57" s="108"/>
      <c r="V57" s="110"/>
    </row>
    <row r="58" spans="1:22" hidden="1" x14ac:dyDescent="0.25">
      <c r="A58">
        <v>1417696576</v>
      </c>
      <c r="B58" s="36">
        <v>0.68178015726953323</v>
      </c>
      <c r="C58" s="63">
        <f>_xlfn.XLOOKUP($A58,'[1]FRV Output'!$F:$F,'[1]FRV Output'!$M:$M)</f>
        <v>35793</v>
      </c>
      <c r="D58" s="63">
        <f>_xlfn.XLOOKUP($A58,'[1]FRV Output'!$F:$F,'[1]FRV Output'!$N:$N)</f>
        <v>35891.063013698636</v>
      </c>
      <c r="E58" s="31">
        <f>_xlfn.XLOOKUP(A58,'[1]FRV Output'!$F:$F,'[1]FRV Output'!$U:$U)</f>
        <v>28787</v>
      </c>
      <c r="F58" s="31">
        <f>_xlfn.XLOOKUP($A58,'[1]FRV Output'!$F:$F,'[1]FRV Output'!$W:$W)</f>
        <v>122</v>
      </c>
      <c r="G58" s="59">
        <f>_xlfn.XLOOKUP($A58,'[1]FRV Output'!$F:$F,'[1]FRV Output'!$AO:$AO)</f>
        <v>21.089999999999918</v>
      </c>
      <c r="H58" s="63">
        <f t="shared" si="0"/>
        <v>43084.97794140206</v>
      </c>
      <c r="I58" s="59">
        <f>_xlfn.XLOOKUP($A58,'[1]FRV Output'!$F:$F,'[1]FRV Output'!$Z:$Z)</f>
        <v>353.15555689673818</v>
      </c>
      <c r="J58" s="162">
        <v>29.25</v>
      </c>
      <c r="K58" s="164">
        <v>1.2871999999999999</v>
      </c>
      <c r="L58" s="59">
        <f>_xlfn.XLOOKUP(A58,'[1]Aging Schedule'!$OA:$OA,'[1]Aging Schedule'!$NW:$NW)</f>
        <v>21.089999999999918</v>
      </c>
      <c r="M58" s="59">
        <f>_xlfn.XLOOKUP(A58,'[1]FRV Output'!$F:$F,'[1]FRV Output'!$BC:$BC)</f>
        <v>15.52571570668813</v>
      </c>
      <c r="N58" s="68"/>
      <c r="O58" s="68"/>
      <c r="R58" s="31"/>
      <c r="T58" s="59"/>
      <c r="U58" s="108"/>
      <c r="V58" s="110"/>
    </row>
    <row r="59" spans="1:22" hidden="1" x14ac:dyDescent="0.25">
      <c r="A59">
        <v>1457090128</v>
      </c>
      <c r="B59" s="36">
        <v>0.63697793698607841</v>
      </c>
      <c r="C59" s="63">
        <f>_xlfn.XLOOKUP($A59,'[1]FRV Output'!$F:$F,'[1]FRV Output'!$M:$M)</f>
        <v>26360</v>
      </c>
      <c r="D59" s="63">
        <f>_xlfn.XLOOKUP($A59,'[1]FRV Output'!$F:$F,'[1]FRV Output'!$N:$N)</f>
        <v>26432.219178082196</v>
      </c>
      <c r="E59" s="31">
        <f>_xlfn.XLOOKUP(A59,'[1]FRV Output'!$F:$F,'[1]FRV Output'!$U:$U)</f>
        <v>27895</v>
      </c>
      <c r="F59" s="31">
        <f>_xlfn.XLOOKUP($A59,'[1]FRV Output'!$F:$F,'[1]FRV Output'!$W:$W)</f>
        <v>99</v>
      </c>
      <c r="G59" s="59">
        <f>_xlfn.XLOOKUP($A59,'[1]FRV Output'!$F:$F,'[1]FRV Output'!$AO:$AO)</f>
        <v>20.519999999999982</v>
      </c>
      <c r="H59" s="63">
        <f t="shared" si="0"/>
        <v>34879</v>
      </c>
      <c r="I59" s="59">
        <f>_xlfn.XLOOKUP($A59,'[1]FRV Output'!$F:$F,'[1]FRV Output'!$Z:$Z)</f>
        <v>352.31313131313129</v>
      </c>
      <c r="J59" s="162">
        <v>29.25</v>
      </c>
      <c r="K59" s="164">
        <v>1.2677</v>
      </c>
      <c r="L59" s="59">
        <f>_xlfn.XLOOKUP(A59,'[1]Aging Schedule'!$OA:$OA,'[1]Aging Schedule'!$NW:$NW)</f>
        <v>20.519999999999982</v>
      </c>
      <c r="M59" s="59">
        <f>_xlfn.XLOOKUP(A59,'[1]FRV Output'!$F:$F,'[1]FRV Output'!$BC:$BC)</f>
        <v>15.833564898468962</v>
      </c>
      <c r="N59" s="68"/>
      <c r="O59" s="68"/>
      <c r="R59" s="31"/>
      <c r="T59" s="59"/>
      <c r="U59" s="108"/>
      <c r="V59" s="110"/>
    </row>
    <row r="60" spans="1:22" hidden="1" x14ac:dyDescent="0.25">
      <c r="A60">
        <v>1609515378</v>
      </c>
      <c r="B60" s="36">
        <v>0.60907444147330281</v>
      </c>
      <c r="C60" s="63">
        <f>_xlfn.XLOOKUP($A60,'[1]FRV Output'!$F:$F,'[1]FRV Output'!$M:$M)</f>
        <v>17333</v>
      </c>
      <c r="D60" s="63">
        <f>_xlfn.XLOOKUP($A60,'[1]FRV Output'!$F:$F,'[1]FRV Output'!$N:$N)</f>
        <v>17380.487671232877</v>
      </c>
      <c r="E60" s="31">
        <f>_xlfn.XLOOKUP(A60,'[1]FRV Output'!$F:$F,'[1]FRV Output'!$U:$U)</f>
        <v>27983</v>
      </c>
      <c r="F60" s="31">
        <f>_xlfn.XLOOKUP($A60,'[1]FRV Output'!$F:$F,'[1]FRV Output'!$W:$W)</f>
        <v>82</v>
      </c>
      <c r="G60" s="59">
        <f>_xlfn.XLOOKUP($A60,'[1]FRV Output'!$F:$F,'[1]FRV Output'!$AO:$AO)</f>
        <v>23.630000000000109</v>
      </c>
      <c r="H60" s="63">
        <f t="shared" si="0"/>
        <v>28199</v>
      </c>
      <c r="I60" s="59">
        <f>_xlfn.XLOOKUP($A60,'[1]FRV Output'!$F:$F,'[1]FRV Output'!$Z:$Z)</f>
        <v>343.89024390243901</v>
      </c>
      <c r="J60" s="162">
        <v>29.25</v>
      </c>
      <c r="K60" s="164">
        <v>1.3161</v>
      </c>
      <c r="L60" s="59">
        <f>_xlfn.XLOOKUP(A60,'[1]Aging Schedule'!$OA:$OA,'[1]Aging Schedule'!$NW:$NW)</f>
        <v>23.630000000000109</v>
      </c>
      <c r="M60" s="59">
        <f>_xlfn.XLOOKUP(A60,'[1]FRV Output'!$F:$F,'[1]FRV Output'!$BC:$BC)</f>
        <v>14.683171157332797</v>
      </c>
      <c r="N60" s="68"/>
      <c r="O60" s="68"/>
      <c r="R60" s="31"/>
      <c r="T60" s="59"/>
      <c r="U60" s="108"/>
      <c r="V60" s="110"/>
    </row>
    <row r="61" spans="1:22" hidden="1" x14ac:dyDescent="0.25">
      <c r="A61">
        <v>1225777998</v>
      </c>
      <c r="B61" s="36">
        <v>0.68809411764705886</v>
      </c>
      <c r="C61" s="63">
        <f>_xlfn.XLOOKUP($A61,'[1]FRV Output'!$F:$F,'[1]FRV Output'!$M:$M)</f>
        <v>43143</v>
      </c>
      <c r="D61" s="63">
        <f>_xlfn.XLOOKUP($A61,'[1]FRV Output'!$F:$F,'[1]FRV Output'!$N:$N)</f>
        <v>43261.200000000004</v>
      </c>
      <c r="E61" s="31">
        <f>_xlfn.XLOOKUP(A61,'[1]FRV Output'!$F:$F,'[1]FRV Output'!$U:$U)</f>
        <v>27379</v>
      </c>
      <c r="F61" s="31">
        <f>_xlfn.XLOOKUP($A61,'[1]FRV Output'!$F:$F,'[1]FRV Output'!$W:$W)</f>
        <v>157</v>
      </c>
      <c r="G61" s="59">
        <f>_xlfn.XLOOKUP($A61,'[1]FRV Output'!$F:$F,'[1]FRV Output'!$AO:$AO)</f>
        <v>21.8900000000001</v>
      </c>
      <c r="H61" s="63">
        <f t="shared" si="0"/>
        <v>49715.999999999993</v>
      </c>
      <c r="I61" s="59">
        <f>_xlfn.XLOOKUP($A61,'[1]FRV Output'!$F:$F,'[1]FRV Output'!$Z:$Z)</f>
        <v>316.66242038216558</v>
      </c>
      <c r="J61" s="162">
        <v>9.4499999999999993</v>
      </c>
      <c r="K61" s="164">
        <v>1.2459</v>
      </c>
      <c r="L61" s="59">
        <f>_xlfn.XLOOKUP(A61,'[1]Aging Schedule'!$OA:$OA,'[1]Aging Schedule'!$NW:$NW)</f>
        <v>21.8900000000001</v>
      </c>
      <c r="M61" s="59">
        <f>_xlfn.XLOOKUP(A61,'[1]FRV Output'!$F:$F,'[1]FRV Output'!$BC:$BC)</f>
        <v>15.736833939161956</v>
      </c>
      <c r="N61" s="68"/>
      <c r="O61" s="68"/>
      <c r="R61" s="31"/>
      <c r="T61" s="59"/>
      <c r="U61" s="108"/>
      <c r="V61" s="110"/>
    </row>
    <row r="62" spans="1:22" hidden="1" x14ac:dyDescent="0.25">
      <c r="A62">
        <v>1538808340</v>
      </c>
      <c r="B62" s="36">
        <v>0.66233966929377208</v>
      </c>
      <c r="C62" s="63">
        <f>_xlfn.XLOOKUP($A62,'[1]FRV Output'!$F:$F,'[1]FRV Output'!$M:$M)</f>
        <v>28723</v>
      </c>
      <c r="D62" s="63">
        <f>_xlfn.XLOOKUP($A62,'[1]FRV Output'!$F:$F,'[1]FRV Output'!$N:$N)</f>
        <v>28801.693150684936</v>
      </c>
      <c r="E62" s="31">
        <f>_xlfn.XLOOKUP(A62,'[1]FRV Output'!$F:$F,'[1]FRV Output'!$U:$U)</f>
        <v>28025</v>
      </c>
      <c r="F62" s="31">
        <f>_xlfn.XLOOKUP($A62,'[1]FRV Output'!$F:$F,'[1]FRV Output'!$W:$W)</f>
        <v>90</v>
      </c>
      <c r="G62" s="59">
        <f>_xlfn.XLOOKUP($A62,'[1]FRV Output'!$F:$F,'[1]FRV Output'!$AO:$AO)</f>
        <v>21.920000000000073</v>
      </c>
      <c r="H62" s="63">
        <f t="shared" si="0"/>
        <v>35257</v>
      </c>
      <c r="I62" s="59">
        <f>_xlfn.XLOOKUP($A62,'[1]FRV Output'!$F:$F,'[1]FRV Output'!$Z:$Z)</f>
        <v>391.74444444444447</v>
      </c>
      <c r="J62" s="162">
        <v>29.25</v>
      </c>
      <c r="K62" s="164">
        <v>1.4631000000000001</v>
      </c>
      <c r="L62" s="59">
        <f>_xlfn.XLOOKUP(A62,'[1]Aging Schedule'!$OA:$OA,'[1]Aging Schedule'!$NW:$NW)</f>
        <v>21.920000000000073</v>
      </c>
      <c r="M62" s="59">
        <f>_xlfn.XLOOKUP(A62,'[1]FRV Output'!$F:$F,'[1]FRV Output'!$BC:$BC)</f>
        <v>15.456744431391511</v>
      </c>
      <c r="N62" s="68"/>
      <c r="O62" s="68"/>
      <c r="R62" s="31"/>
      <c r="T62" s="59"/>
      <c r="U62" s="108"/>
      <c r="V62" s="110"/>
    </row>
    <row r="63" spans="1:22" hidden="1" x14ac:dyDescent="0.25">
      <c r="A63">
        <v>1114666427</v>
      </c>
      <c r="B63" s="36">
        <v>0.64852607709750565</v>
      </c>
      <c r="C63" s="63">
        <f>_xlfn.XLOOKUP($A63,'[1]FRV Output'!$F:$F,'[1]FRV Output'!$M:$M)</f>
        <v>26870</v>
      </c>
      <c r="D63" s="63">
        <f>_xlfn.XLOOKUP($A63,'[1]FRV Output'!$F:$F,'[1]FRV Output'!$N:$N)</f>
        <v>26943.616438356166</v>
      </c>
      <c r="E63" s="31">
        <f>_xlfn.XLOOKUP(A63,'[1]FRV Output'!$F:$F,'[1]FRV Output'!$U:$U)</f>
        <v>27520</v>
      </c>
      <c r="F63" s="31">
        <f>_xlfn.XLOOKUP($A63,'[1]FRV Output'!$F:$F,'[1]FRV Output'!$W:$W)</f>
        <v>90</v>
      </c>
      <c r="G63" s="59">
        <f>_xlfn.XLOOKUP($A63,'[1]FRV Output'!$F:$F,'[1]FRV Output'!$AO:$AO)</f>
        <v>18.75</v>
      </c>
      <c r="H63" s="63">
        <f t="shared" si="0"/>
        <v>33006</v>
      </c>
      <c r="I63" s="59">
        <f>_xlfn.XLOOKUP($A63,'[1]FRV Output'!$F:$F,'[1]FRV Output'!$Z:$Z)</f>
        <v>366.73333333333335</v>
      </c>
      <c r="J63" s="162">
        <v>29.25</v>
      </c>
      <c r="K63" s="164">
        <v>1.2895000000000001</v>
      </c>
      <c r="L63" s="59">
        <f>_xlfn.XLOOKUP(A63,'[1]Aging Schedule'!$OA:$OA,'[1]Aging Schedule'!$NW:$NW)</f>
        <v>18.75</v>
      </c>
      <c r="M63" s="59">
        <f>_xlfn.XLOOKUP(A63,'[1]FRV Output'!$F:$F,'[1]FRV Output'!$BC:$BC)</f>
        <v>18.096919449476232</v>
      </c>
      <c r="N63" s="68"/>
      <c r="O63" s="68"/>
      <c r="R63" s="31"/>
      <c r="T63" s="59"/>
      <c r="U63" s="108"/>
      <c r="V63" s="110"/>
    </row>
    <row r="64" spans="1:22" hidden="1" x14ac:dyDescent="0.25">
      <c r="A64">
        <v>1518606664</v>
      </c>
      <c r="B64" s="36">
        <v>0.67284003790162805</v>
      </c>
      <c r="C64" s="63">
        <f>_xlfn.XLOOKUP($A64,'[1]FRV Output'!$F:$F,'[1]FRV Output'!$M:$M)</f>
        <v>34717</v>
      </c>
      <c r="D64" s="63">
        <f>_xlfn.XLOOKUP($A64,'[1]FRV Output'!$F:$F,'[1]FRV Output'!$N:$N)</f>
        <v>34812.115068493156</v>
      </c>
      <c r="E64" s="31">
        <f>_xlfn.XLOOKUP(A64,'[1]FRV Output'!$F:$F,'[1]FRV Output'!$U:$U)</f>
        <v>28093</v>
      </c>
      <c r="F64" s="31">
        <f>_xlfn.XLOOKUP($A64,'[1]FRV Output'!$F:$F,'[1]FRV Output'!$W:$W)</f>
        <v>117</v>
      </c>
      <c r="G64" s="59">
        <f>_xlfn.XLOOKUP($A64,'[1]FRV Output'!$F:$F,'[1]FRV Output'!$AO:$AO)</f>
        <v>18.549999999999955</v>
      </c>
      <c r="H64" s="63">
        <f t="shared" si="0"/>
        <v>47048.744777536624</v>
      </c>
      <c r="I64" s="59">
        <f>_xlfn.XLOOKUP($A64,'[1]FRV Output'!$F:$F,'[1]FRV Output'!$Z:$Z)</f>
        <v>402.12602373962926</v>
      </c>
      <c r="J64" s="162">
        <v>29.25</v>
      </c>
      <c r="K64" s="164">
        <v>1.3214999999999999</v>
      </c>
      <c r="L64" s="59">
        <f>_xlfn.XLOOKUP(A64,'[1]Aging Schedule'!$OA:$OA,'[1]Aging Schedule'!$NW:$NW)</f>
        <v>18.549999999999955</v>
      </c>
      <c r="M64" s="59">
        <f>_xlfn.XLOOKUP(A64,'[1]FRV Output'!$F:$F,'[1]FRV Output'!$BC:$BC)</f>
        <v>18.228223936718418</v>
      </c>
      <c r="N64" s="68"/>
      <c r="O64" s="68"/>
      <c r="R64" s="31"/>
      <c r="T64" s="59"/>
      <c r="U64" s="108"/>
      <c r="V64" s="110"/>
    </row>
    <row r="65" spans="1:22" hidden="1" x14ac:dyDescent="0.25">
      <c r="A65">
        <v>1598233645</v>
      </c>
      <c r="B65" s="36">
        <v>0.64998953317982</v>
      </c>
      <c r="C65" s="63">
        <f>_xlfn.XLOOKUP($A65,'[1]FRV Output'!$F:$F,'[1]FRV Output'!$M:$M)</f>
        <v>15706</v>
      </c>
      <c r="D65" s="63">
        <f>_xlfn.XLOOKUP($A65,'[1]FRV Output'!$F:$F,'[1]FRV Output'!$N:$N)</f>
        <v>15749.030136986303</v>
      </c>
      <c r="E65" s="31">
        <f>_xlfn.XLOOKUP(A65,'[1]FRV Output'!$F:$F,'[1]FRV Output'!$U:$U)</f>
        <v>28112</v>
      </c>
      <c r="F65" s="31">
        <f>_xlfn.XLOOKUP($A65,'[1]FRV Output'!$F:$F,'[1]FRV Output'!$W:$W)</f>
        <v>60</v>
      </c>
      <c r="G65" s="59">
        <f>_xlfn.XLOOKUP($A65,'[1]FRV Output'!$F:$F,'[1]FRV Output'!$AO:$AO)</f>
        <v>13.980000000000018</v>
      </c>
      <c r="H65" s="63">
        <f t="shared" si="0"/>
        <v>33543.132337747724</v>
      </c>
      <c r="I65" s="59">
        <f>_xlfn.XLOOKUP($A65,'[1]FRV Output'!$F:$F,'[1]FRV Output'!$Z:$Z)</f>
        <v>559.05220562912871</v>
      </c>
      <c r="J65" s="162">
        <v>29.25</v>
      </c>
      <c r="K65" s="164">
        <v>1.1816</v>
      </c>
      <c r="L65" s="59">
        <f>_xlfn.XLOOKUP(A65,'[1]Aging Schedule'!$OA:$OA,'[1]Aging Schedule'!$NW:$NW)</f>
        <v>13.980000000000018</v>
      </c>
      <c r="M65" s="59">
        <f>_xlfn.XLOOKUP(A65,'[1]FRV Output'!$F:$F,'[1]FRV Output'!$BC:$BC)</f>
        <v>27.75353236638432</v>
      </c>
      <c r="N65" s="68"/>
      <c r="O65" s="68"/>
      <c r="R65" s="31"/>
      <c r="T65" s="59"/>
      <c r="U65" s="108"/>
      <c r="V65" s="110"/>
    </row>
    <row r="66" spans="1:22" hidden="1" x14ac:dyDescent="0.25">
      <c r="A66">
        <v>1659849701</v>
      </c>
      <c r="B66" s="36">
        <v>0.70787991047310339</v>
      </c>
      <c r="C66" s="63">
        <f>_xlfn.XLOOKUP($A66,'[1]FRV Output'!$F:$F,'[1]FRV Output'!$M:$M)</f>
        <v>22493</v>
      </c>
      <c r="D66" s="63">
        <f>_xlfn.XLOOKUP($A66,'[1]FRV Output'!$F:$F,'[1]FRV Output'!$N:$N)</f>
        <v>22554.624657534248</v>
      </c>
      <c r="E66" s="31">
        <f>_xlfn.XLOOKUP(A66,'[1]FRV Output'!$F:$F,'[1]FRV Output'!$U:$U)</f>
        <v>28115</v>
      </c>
      <c r="F66" s="31">
        <f>_xlfn.XLOOKUP($A66,'[1]FRV Output'!$F:$F,'[1]FRV Output'!$W:$W)</f>
        <v>131</v>
      </c>
      <c r="G66" s="59">
        <f>_xlfn.XLOOKUP($A66,'[1]FRV Output'!$F:$F,'[1]FRV Output'!$AO:$AO)</f>
        <v>19.769999999999982</v>
      </c>
      <c r="H66" s="63">
        <f t="shared" si="0"/>
        <v>47145</v>
      </c>
      <c r="I66" s="59">
        <f>_xlfn.XLOOKUP($A66,'[1]FRV Output'!$F:$F,'[1]FRV Output'!$Z:$Z)</f>
        <v>359.8854961832061</v>
      </c>
      <c r="J66" s="162">
        <v>29.25</v>
      </c>
      <c r="K66" s="164">
        <v>1.2791999999999999</v>
      </c>
      <c r="L66" s="59">
        <f>_xlfn.XLOOKUP(A66,'[1]Aging Schedule'!$OA:$OA,'[1]Aging Schedule'!$NW:$NW)</f>
        <v>19.769999999999982</v>
      </c>
      <c r="M66" s="59">
        <f>_xlfn.XLOOKUP(A66,'[1]FRV Output'!$F:$F,'[1]FRV Output'!$BC:$BC)</f>
        <v>17.498948397099081</v>
      </c>
      <c r="N66" s="68"/>
      <c r="O66" s="68"/>
      <c r="R66" s="31"/>
      <c r="T66" s="59"/>
      <c r="U66" s="108"/>
      <c r="V66" s="110"/>
    </row>
    <row r="67" spans="1:22" hidden="1" x14ac:dyDescent="0.25">
      <c r="A67">
        <v>1013656156</v>
      </c>
      <c r="B67" s="36">
        <v>0.69539730785931397</v>
      </c>
      <c r="C67" s="63">
        <f>_xlfn.XLOOKUP($A67,'[1]FRV Output'!$F:$F,'[1]FRV Output'!$M:$M)</f>
        <v>24782</v>
      </c>
      <c r="D67" s="63">
        <f>_xlfn.XLOOKUP($A67,'[1]FRV Output'!$F:$F,'[1]FRV Output'!$N:$N)</f>
        <v>24849.89589041096</v>
      </c>
      <c r="E67" s="31">
        <f>_xlfn.XLOOKUP(A67,'[1]FRV Output'!$F:$F,'[1]FRV Output'!$U:$U)</f>
        <v>28791</v>
      </c>
      <c r="F67" s="31">
        <f>_xlfn.XLOOKUP($A67,'[1]FRV Output'!$F:$F,'[1]FRV Output'!$W:$W)</f>
        <v>120</v>
      </c>
      <c r="G67" s="59">
        <f>_xlfn.XLOOKUP($A67,'[1]FRV Output'!$F:$F,'[1]FRV Output'!$AO:$AO)</f>
        <v>26.059999999999945</v>
      </c>
      <c r="H67" s="63">
        <f t="shared" ref="H67:H130" si="1">+I67*F67</f>
        <v>39222</v>
      </c>
      <c r="I67" s="59">
        <f>_xlfn.XLOOKUP($A67,'[1]FRV Output'!$F:$F,'[1]FRV Output'!$Z:$Z)</f>
        <v>326.85000000000002</v>
      </c>
      <c r="J67" s="162">
        <v>29.25</v>
      </c>
      <c r="K67" s="164">
        <v>1.3092999999999999</v>
      </c>
      <c r="L67" s="59">
        <f>_xlfn.XLOOKUP(A67,'[1]Aging Schedule'!$OA:$OA,'[1]Aging Schedule'!$NW:$NW)</f>
        <v>26.059999999999945</v>
      </c>
      <c r="M67" s="59">
        <f>_xlfn.XLOOKUP(A67,'[1]FRV Output'!$F:$F,'[1]FRV Output'!$BC:$BC)</f>
        <v>12.614482602739725</v>
      </c>
      <c r="N67" s="68"/>
      <c r="O67" s="68"/>
      <c r="R67" s="31"/>
      <c r="T67" s="59"/>
      <c r="U67" s="108"/>
      <c r="V67" s="110"/>
    </row>
    <row r="68" spans="1:22" hidden="1" x14ac:dyDescent="0.25">
      <c r="A68">
        <v>1205357878</v>
      </c>
      <c r="B68" s="36">
        <v>0.52145043315868655</v>
      </c>
      <c r="C68" s="63">
        <f>_xlfn.XLOOKUP($A68,'[1]FRV Output'!$F:$F,'[1]FRV Output'!$M:$M)</f>
        <v>18178</v>
      </c>
      <c r="D68" s="63">
        <f>_xlfn.XLOOKUP($A68,'[1]FRV Output'!$F:$F,'[1]FRV Output'!$N:$N)</f>
        <v>18227.80273972603</v>
      </c>
      <c r="E68" s="31">
        <f>_xlfn.XLOOKUP(A68,'[1]FRV Output'!$F:$F,'[1]FRV Output'!$U:$U)</f>
        <v>27106</v>
      </c>
      <c r="F68" s="31">
        <f>_xlfn.XLOOKUP($A68,'[1]FRV Output'!$F:$F,'[1]FRV Output'!$W:$W)</f>
        <v>40</v>
      </c>
      <c r="G68" s="59">
        <f>_xlfn.XLOOKUP($A68,'[1]FRV Output'!$F:$F,'[1]FRV Output'!$AO:$AO)</f>
        <v>1</v>
      </c>
      <c r="H68" s="63">
        <f t="shared" si="1"/>
        <v>15097.5</v>
      </c>
      <c r="I68" s="59">
        <f>_xlfn.XLOOKUP($A68,'[1]FRV Output'!$F:$F,'[1]FRV Output'!$Z:$Z)</f>
        <v>377.4375</v>
      </c>
      <c r="J68" s="162">
        <v>29.25</v>
      </c>
      <c r="K68" s="164">
        <v>1.3620000000000001</v>
      </c>
      <c r="L68" s="59">
        <f>_xlfn.XLOOKUP(A68,'[1]Aging Schedule'!$OA:$OA,'[1]Aging Schedule'!$NW:$NW)</f>
        <v>1</v>
      </c>
      <c r="M68" s="59">
        <f>_xlfn.XLOOKUP(A68,'[1]FRV Output'!$F:$F,'[1]FRV Output'!$BC:$BC)</f>
        <v>18.913884687534381</v>
      </c>
      <c r="N68" s="68"/>
      <c r="O68" s="68"/>
      <c r="R68" s="31"/>
      <c r="T68" s="59"/>
      <c r="U68" s="108"/>
      <c r="V68" s="110"/>
    </row>
    <row r="69" spans="1:22" hidden="1" x14ac:dyDescent="0.25">
      <c r="A69">
        <v>1255070306</v>
      </c>
      <c r="B69" s="36">
        <v>0.64501278772378512</v>
      </c>
      <c r="C69" s="63">
        <f>_xlfn.XLOOKUP($A69,'[1]FRV Output'!$F:$F,'[1]FRV Output'!$M:$M)</f>
        <v>25548</v>
      </c>
      <c r="D69" s="63">
        <f>_xlfn.XLOOKUP($A69,'[1]FRV Output'!$F:$F,'[1]FRV Output'!$N:$N)</f>
        <v>25617.994520547949</v>
      </c>
      <c r="E69" s="31">
        <f>_xlfn.XLOOKUP(A69,'[1]FRV Output'!$F:$F,'[1]FRV Output'!$U:$U)</f>
        <v>28601</v>
      </c>
      <c r="F69" s="31">
        <f>_xlfn.XLOOKUP($A69,'[1]FRV Output'!$F:$F,'[1]FRV Output'!$W:$W)</f>
        <v>104</v>
      </c>
      <c r="G69" s="59">
        <f>_xlfn.XLOOKUP($A69,'[1]FRV Output'!$F:$F,'[1]FRV Output'!$AO:$AO)</f>
        <v>3.5099999999999909</v>
      </c>
      <c r="H69" s="63">
        <f t="shared" si="1"/>
        <v>31740</v>
      </c>
      <c r="I69" s="59">
        <f>_xlfn.XLOOKUP($A69,'[1]FRV Output'!$F:$F,'[1]FRV Output'!$Z:$Z)</f>
        <v>305.19230769230768</v>
      </c>
      <c r="J69" s="162">
        <v>29.25</v>
      </c>
      <c r="K69" s="164">
        <v>1.3476999999999999</v>
      </c>
      <c r="L69" s="59">
        <f>_xlfn.XLOOKUP(A69,'[1]Aging Schedule'!$OA:$OA,'[1]Aging Schedule'!$NW:$NW)</f>
        <v>3.5099999999999909</v>
      </c>
      <c r="M69" s="59">
        <f>_xlfn.XLOOKUP(A69,'[1]FRV Output'!$F:$F,'[1]FRV Output'!$BC:$BC)</f>
        <v>18.78054703948434</v>
      </c>
      <c r="N69" s="68"/>
      <c r="O69" s="68"/>
      <c r="R69" s="31"/>
      <c r="T69" s="59"/>
      <c r="U69" s="108"/>
      <c r="V69" s="110"/>
    </row>
    <row r="70" spans="1:22" hidden="1" x14ac:dyDescent="0.25">
      <c r="A70">
        <v>1598262198</v>
      </c>
      <c r="B70" s="36">
        <v>0.68661146695828779</v>
      </c>
      <c r="C70" s="63">
        <f>_xlfn.XLOOKUP($A70,'[1]FRV Output'!$F:$F,'[1]FRV Output'!$M:$M)</f>
        <v>27785</v>
      </c>
      <c r="D70" s="63">
        <f>_xlfn.XLOOKUP($A70,'[1]FRV Output'!$F:$F,'[1]FRV Output'!$N:$N)</f>
        <v>27861.123287671235</v>
      </c>
      <c r="E70" s="31">
        <f>_xlfn.XLOOKUP(A70,'[1]FRV Output'!$F:$F,'[1]FRV Output'!$U:$U)</f>
        <v>27292</v>
      </c>
      <c r="F70" s="31">
        <f>_xlfn.XLOOKUP($A70,'[1]FRV Output'!$F:$F,'[1]FRV Output'!$W:$W)</f>
        <v>106</v>
      </c>
      <c r="G70" s="59">
        <f>_xlfn.XLOOKUP($A70,'[1]FRV Output'!$F:$F,'[1]FRV Output'!$AO:$AO)</f>
        <v>13.589999999999918</v>
      </c>
      <c r="H70" s="63">
        <f t="shared" si="1"/>
        <v>51368</v>
      </c>
      <c r="I70" s="59">
        <f>_xlfn.XLOOKUP($A70,'[1]FRV Output'!$F:$F,'[1]FRV Output'!$Z:$Z)</f>
        <v>484.60377358490564</v>
      </c>
      <c r="J70" s="162">
        <v>29.25</v>
      </c>
      <c r="K70" s="164">
        <v>1.3374999999999999</v>
      </c>
      <c r="L70" s="59">
        <f>_xlfn.XLOOKUP(A70,'[1]Aging Schedule'!$OA:$OA,'[1]Aging Schedule'!$NW:$NW)</f>
        <v>13.589999999999918</v>
      </c>
      <c r="M70" s="59">
        <f>_xlfn.XLOOKUP(A70,'[1]FRV Output'!$F:$F,'[1]FRV Output'!$BC:$BC)</f>
        <v>24.559193899113392</v>
      </c>
      <c r="N70" s="68"/>
      <c r="O70" s="68"/>
      <c r="R70" s="31"/>
      <c r="T70" s="59"/>
      <c r="U70" s="108"/>
      <c r="V70" s="110"/>
    </row>
    <row r="71" spans="1:22" hidden="1" x14ac:dyDescent="0.25">
      <c r="A71">
        <v>1437627593</v>
      </c>
      <c r="B71" s="36">
        <v>0.6581240768094534</v>
      </c>
      <c r="C71" s="63">
        <f>_xlfn.XLOOKUP($A71,'[1]FRV Output'!$F:$F,'[1]FRV Output'!$M:$M)</f>
        <v>19540</v>
      </c>
      <c r="D71" s="63">
        <f>_xlfn.XLOOKUP($A71,'[1]FRV Output'!$F:$F,'[1]FRV Output'!$N:$N)</f>
        <v>19593.534246575346</v>
      </c>
      <c r="E71" s="31">
        <f>_xlfn.XLOOKUP(A71,'[1]FRV Output'!$F:$F,'[1]FRV Output'!$U:$U)</f>
        <v>28205</v>
      </c>
      <c r="F71" s="31">
        <f>_xlfn.XLOOKUP($A71,'[1]FRV Output'!$F:$F,'[1]FRV Output'!$W:$W)</f>
        <v>100</v>
      </c>
      <c r="G71" s="59">
        <f>_xlfn.XLOOKUP($A71,'[1]FRV Output'!$F:$F,'[1]FRV Output'!$AO:$AO)</f>
        <v>16.490000000000009</v>
      </c>
      <c r="H71" s="63">
        <f t="shared" si="1"/>
        <v>28976</v>
      </c>
      <c r="I71" s="59">
        <f>_xlfn.XLOOKUP($A71,'[1]FRV Output'!$F:$F,'[1]FRV Output'!$Z:$Z)</f>
        <v>289.76</v>
      </c>
      <c r="J71" s="162">
        <v>29.25</v>
      </c>
      <c r="K71" s="164">
        <v>1.2567999999999999</v>
      </c>
      <c r="L71" s="59">
        <f>_xlfn.XLOOKUP(A71,'[1]Aging Schedule'!$OA:$OA,'[1]Aging Schedule'!$NW:$NW)</f>
        <v>16.490000000000009</v>
      </c>
      <c r="M71" s="59">
        <f>_xlfn.XLOOKUP(A71,'[1]FRV Output'!$F:$F,'[1]FRV Output'!$BC:$BC)</f>
        <v>19.268667906526975</v>
      </c>
      <c r="N71" s="68"/>
      <c r="O71" s="68"/>
      <c r="R71" s="31"/>
      <c r="T71" s="59"/>
      <c r="U71" s="108"/>
      <c r="V71" s="110"/>
    </row>
    <row r="72" spans="1:22" hidden="1" x14ac:dyDescent="0.25">
      <c r="A72">
        <v>1710601653</v>
      </c>
      <c r="B72" s="36">
        <v>0.65118296529968456</v>
      </c>
      <c r="C72" s="63">
        <f>_xlfn.XLOOKUP($A72,'[1]FRV Output'!$F:$F,'[1]FRV Output'!$M:$M)</f>
        <v>8734</v>
      </c>
      <c r="D72" s="63">
        <f>_xlfn.XLOOKUP($A72,'[1]FRV Output'!$F:$F,'[1]FRV Output'!$N:$N)</f>
        <v>8757.9287671232887</v>
      </c>
      <c r="E72" s="31">
        <f>_xlfn.XLOOKUP(A72,'[1]FRV Output'!$F:$F,'[1]FRV Output'!$U:$U)</f>
        <v>28144</v>
      </c>
      <c r="F72" s="31">
        <f>_xlfn.XLOOKUP($A72,'[1]FRV Output'!$F:$F,'[1]FRV Output'!$W:$W)</f>
        <v>58</v>
      </c>
      <c r="G72" s="59">
        <f>_xlfn.XLOOKUP($A72,'[1]FRV Output'!$F:$F,'[1]FRV Output'!$AO:$AO)</f>
        <v>35.5</v>
      </c>
      <c r="H72" s="63">
        <f t="shared" si="1"/>
        <v>23500</v>
      </c>
      <c r="I72" s="59">
        <f>_xlfn.XLOOKUP($A72,'[1]FRV Output'!$F:$F,'[1]FRV Output'!$Z:$Z)</f>
        <v>405.17241379310343</v>
      </c>
      <c r="J72" s="162">
        <v>29.25</v>
      </c>
      <c r="K72" s="164">
        <v>1.0608</v>
      </c>
      <c r="L72" s="59">
        <f>_xlfn.XLOOKUP(A72,'[1]Aging Schedule'!$OA:$OA,'[1]Aging Schedule'!$NW:$NW)</f>
        <v>58.299999999999955</v>
      </c>
      <c r="M72" s="59">
        <f>_xlfn.XLOOKUP(A72,'[1]FRV Output'!$F:$F,'[1]FRV Output'!$BC:$BC)</f>
        <v>10.714298025785656</v>
      </c>
      <c r="N72" s="68"/>
      <c r="O72" s="68"/>
      <c r="R72" s="31"/>
      <c r="T72" s="59"/>
      <c r="U72" s="108"/>
      <c r="V72" s="110"/>
    </row>
    <row r="73" spans="1:22" hidden="1" x14ac:dyDescent="0.25">
      <c r="A73">
        <v>1356372650</v>
      </c>
      <c r="B73" s="36">
        <v>0.5601311034540718</v>
      </c>
      <c r="C73" s="63">
        <f>_xlfn.XLOOKUP($A73,'[1]FRV Output'!$F:$F,'[1]FRV Output'!$M:$M)</f>
        <v>26513</v>
      </c>
      <c r="D73" s="63">
        <f>_xlfn.XLOOKUP($A73,'[1]FRV Output'!$F:$F,'[1]FRV Output'!$N:$N)</f>
        <v>26585.638356164385</v>
      </c>
      <c r="E73" s="31">
        <f>_xlfn.XLOOKUP(A73,'[1]FRV Output'!$F:$F,'[1]FRV Output'!$U:$U)</f>
        <v>28513</v>
      </c>
      <c r="F73" s="31">
        <f>_xlfn.XLOOKUP($A73,'[1]FRV Output'!$F:$F,'[1]FRV Output'!$W:$W)</f>
        <v>82</v>
      </c>
      <c r="G73" s="59">
        <f>_xlfn.XLOOKUP($A73,'[1]FRV Output'!$F:$F,'[1]FRV Output'!$AO:$AO)</f>
        <v>17.6400000000001</v>
      </c>
      <c r="H73" s="63">
        <f t="shared" si="1"/>
        <v>38291</v>
      </c>
      <c r="I73" s="59">
        <f>_xlfn.XLOOKUP($A73,'[1]FRV Output'!$F:$F,'[1]FRV Output'!$Z:$Z)</f>
        <v>466.96341463414632</v>
      </c>
      <c r="J73" s="162">
        <v>29.25</v>
      </c>
      <c r="K73" s="164">
        <v>1.2466999999999999</v>
      </c>
      <c r="L73" s="59">
        <f>_xlfn.XLOOKUP(A73,'[1]Aging Schedule'!$OA:$OA,'[1]Aging Schedule'!$NW:$NW)</f>
        <v>17.6400000000001</v>
      </c>
      <c r="M73" s="59">
        <f>_xlfn.XLOOKUP(A73,'[1]FRV Output'!$F:$F,'[1]FRV Output'!$BC:$BC)</f>
        <v>20.125170185481167</v>
      </c>
      <c r="N73" s="68"/>
      <c r="O73" s="68"/>
      <c r="R73" s="31"/>
      <c r="T73" s="59"/>
      <c r="U73" s="108"/>
      <c r="V73" s="110"/>
    </row>
    <row r="74" spans="1:22" hidden="1" x14ac:dyDescent="0.25">
      <c r="A74">
        <v>1669408969</v>
      </c>
      <c r="B74" s="36">
        <v>0.6099345130277275</v>
      </c>
      <c r="C74" s="63">
        <f>_xlfn.XLOOKUP($A74,'[1]FRV Output'!$F:$F,'[1]FRV Output'!$M:$M)</f>
        <v>52840</v>
      </c>
      <c r="D74" s="63">
        <f>_xlfn.XLOOKUP($A74,'[1]FRV Output'!$F:$F,'[1]FRV Output'!$N:$N)</f>
        <v>52984.767123287675</v>
      </c>
      <c r="E74" s="31">
        <f>_xlfn.XLOOKUP(A74,'[1]FRV Output'!$F:$F,'[1]FRV Output'!$U:$U)</f>
        <v>28262</v>
      </c>
      <c r="F74" s="31">
        <f>_xlfn.XLOOKUP($A74,'[1]FRV Output'!$F:$F,'[1]FRV Output'!$W:$W)</f>
        <v>207</v>
      </c>
      <c r="G74" s="59">
        <f>_xlfn.XLOOKUP($A74,'[1]FRV Output'!$F:$F,'[1]FRV Output'!$AO:$AO)</f>
        <v>15.509999999999991</v>
      </c>
      <c r="H74" s="63">
        <f t="shared" si="1"/>
        <v>64810.078341013825</v>
      </c>
      <c r="I74" s="59">
        <f>_xlfn.XLOOKUP($A74,'[1]FRV Output'!$F:$F,'[1]FRV Output'!$Z:$Z)</f>
        <v>313.09216589861751</v>
      </c>
      <c r="J74" s="162">
        <v>9.4499999999999993</v>
      </c>
      <c r="K74" s="164">
        <v>1.1620999999999999</v>
      </c>
      <c r="L74" s="59">
        <f>_xlfn.XLOOKUP(A74,'[1]Aging Schedule'!$OA:$OA,'[1]Aging Schedule'!$NW:$NW)</f>
        <v>15.509999999999991</v>
      </c>
      <c r="M74" s="59">
        <f>_xlfn.XLOOKUP(A74,'[1]FRV Output'!$F:$F,'[1]FRV Output'!$BC:$BC)</f>
        <v>20.070497925543918</v>
      </c>
      <c r="N74" s="68"/>
      <c r="O74" s="68"/>
      <c r="R74" s="31"/>
      <c r="T74" s="59"/>
      <c r="U74" s="108"/>
      <c r="V74" s="110"/>
    </row>
    <row r="75" spans="1:22" hidden="1" x14ac:dyDescent="0.25">
      <c r="A75">
        <v>1982640785</v>
      </c>
      <c r="B75" s="36">
        <v>0.60640856544340138</v>
      </c>
      <c r="C75" s="63">
        <f>_xlfn.XLOOKUP($A75,'[1]FRV Output'!$F:$F,'[1]FRV Output'!$M:$M)</f>
        <v>34549</v>
      </c>
      <c r="D75" s="63">
        <f>_xlfn.XLOOKUP($A75,'[1]FRV Output'!$F:$F,'[1]FRV Output'!$N:$N)</f>
        <v>34643.654794520553</v>
      </c>
      <c r="E75" s="31">
        <f>_xlfn.XLOOKUP(A75,'[1]FRV Output'!$F:$F,'[1]FRV Output'!$U:$U)</f>
        <v>27630</v>
      </c>
      <c r="F75" s="31">
        <f>_xlfn.XLOOKUP($A75,'[1]FRV Output'!$F:$F,'[1]FRV Output'!$W:$W)</f>
        <v>140</v>
      </c>
      <c r="G75" s="59">
        <f>_xlfn.XLOOKUP($A75,'[1]FRV Output'!$F:$F,'[1]FRV Output'!$AO:$AO)</f>
        <v>31.940000000000055</v>
      </c>
      <c r="H75" s="63">
        <f t="shared" si="1"/>
        <v>36975.454545454551</v>
      </c>
      <c r="I75" s="59">
        <f>_xlfn.XLOOKUP($A75,'[1]FRV Output'!$F:$F,'[1]FRV Output'!$Z:$Z)</f>
        <v>264.11038961038963</v>
      </c>
      <c r="J75" s="162">
        <v>29.25</v>
      </c>
      <c r="K75" s="164">
        <v>1.2490000000000001</v>
      </c>
      <c r="L75" s="59">
        <f>_xlfn.XLOOKUP(A75,'[1]Aging Schedule'!$OA:$OA,'[1]Aging Schedule'!$NW:$NW)</f>
        <v>31.940000000000055</v>
      </c>
      <c r="M75" s="59">
        <f>_xlfn.XLOOKUP(A75,'[1]FRV Output'!$F:$F,'[1]FRV Output'!$BC:$BC)</f>
        <v>9.7533612882352489</v>
      </c>
      <c r="N75" s="68"/>
      <c r="O75" s="68"/>
      <c r="R75" s="31"/>
      <c r="T75" s="59"/>
      <c r="U75" s="108"/>
      <c r="V75" s="110"/>
    </row>
    <row r="76" spans="1:22" hidden="1" x14ac:dyDescent="0.25">
      <c r="A76">
        <v>1083659692</v>
      </c>
      <c r="B76" s="36">
        <v>0.58257076883605574</v>
      </c>
      <c r="C76" s="63">
        <f>_xlfn.XLOOKUP($A76,'[1]FRV Output'!$F:$F,'[1]FRV Output'!$M:$M)</f>
        <v>28549</v>
      </c>
      <c r="D76" s="63">
        <f>_xlfn.XLOOKUP($A76,'[1]FRV Output'!$F:$F,'[1]FRV Output'!$N:$N)</f>
        <v>28627.216438356169</v>
      </c>
      <c r="E76" s="31">
        <f>_xlfn.XLOOKUP(A76,'[1]FRV Output'!$F:$F,'[1]FRV Output'!$U:$U)</f>
        <v>28932</v>
      </c>
      <c r="F76" s="31">
        <f>_xlfn.XLOOKUP($A76,'[1]FRV Output'!$F:$F,'[1]FRV Output'!$W:$W)</f>
        <v>130</v>
      </c>
      <c r="G76" s="59">
        <f>_xlfn.XLOOKUP($A76,'[1]FRV Output'!$F:$F,'[1]FRV Output'!$AO:$AO)</f>
        <v>35.5</v>
      </c>
      <c r="H76" s="63">
        <f t="shared" si="1"/>
        <v>46910</v>
      </c>
      <c r="I76" s="59">
        <f>_xlfn.XLOOKUP($A76,'[1]FRV Output'!$F:$F,'[1]FRV Output'!$Z:$Z)</f>
        <v>360.84615384615387</v>
      </c>
      <c r="J76" s="162">
        <v>29.25</v>
      </c>
      <c r="K76" s="164">
        <v>1.2070000000000001</v>
      </c>
      <c r="L76" s="59">
        <f>_xlfn.XLOOKUP(A76,'[1]Aging Schedule'!$OA:$OA,'[1]Aging Schedule'!$NW:$NW)</f>
        <v>37.809999999999945</v>
      </c>
      <c r="M76" s="59">
        <f>_xlfn.XLOOKUP(A76,'[1]FRV Output'!$F:$F,'[1]FRV Output'!$BC:$BC)</f>
        <v>9.2048272341288051</v>
      </c>
      <c r="N76" s="68"/>
      <c r="O76" s="68"/>
      <c r="R76" s="31"/>
      <c r="T76" s="59"/>
      <c r="U76" s="108"/>
      <c r="V76" s="110"/>
    </row>
    <row r="77" spans="1:22" hidden="1" x14ac:dyDescent="0.25">
      <c r="A77">
        <v>1821024274</v>
      </c>
      <c r="B77" s="36">
        <v>0.50964897687572785</v>
      </c>
      <c r="C77" s="63">
        <f>_xlfn.XLOOKUP($A77,'[1]FRV Output'!$F:$F,'[1]FRV Output'!$M:$M)</f>
        <v>0</v>
      </c>
      <c r="D77" s="63">
        <f>_xlfn.XLOOKUP($A77,'[1]FRV Output'!$F:$F,'[1]FRV Output'!$N:$N)</f>
        <v>0</v>
      </c>
      <c r="E77" s="31">
        <f>_xlfn.XLOOKUP(A77,'[1]FRV Output'!$F:$F,'[1]FRV Output'!$U:$U)</f>
        <v>27823</v>
      </c>
      <c r="F77" s="31">
        <f>_xlfn.XLOOKUP($A77,'[1]FRV Output'!$F:$F,'[1]FRV Output'!$W:$W)</f>
        <v>63</v>
      </c>
      <c r="G77" s="59">
        <f>_xlfn.XLOOKUP($A77,'[1]FRV Output'!$F:$F,'[1]FRV Output'!$AO:$AO)</f>
        <v>35.5</v>
      </c>
      <c r="H77" s="63">
        <f t="shared" si="1"/>
        <v>13426</v>
      </c>
      <c r="I77" s="59">
        <f>_xlfn.XLOOKUP($A77,'[1]FRV Output'!$F:$F,'[1]FRV Output'!$Z:$Z)</f>
        <v>213.11111111111111</v>
      </c>
      <c r="J77" s="162">
        <v>29.25</v>
      </c>
      <c r="K77" s="164">
        <v>0</v>
      </c>
      <c r="L77" s="59">
        <f>_xlfn.XLOOKUP(A77,'[1]Aging Schedule'!$OA:$OA,'[1]Aging Schedule'!$NW:$NW)</f>
        <v>56.730000000000018</v>
      </c>
      <c r="M77" s="59">
        <f>_xlfn.XLOOKUP(A77,'[1]FRV Output'!$F:$F,'[1]FRV Output'!$BC:$BC)</f>
        <v>8.4499932473811423</v>
      </c>
      <c r="N77" s="68"/>
      <c r="O77" s="68"/>
      <c r="R77" s="31"/>
      <c r="T77" s="59"/>
      <c r="U77" s="108"/>
      <c r="V77" s="110"/>
    </row>
    <row r="78" spans="1:22" hidden="1" x14ac:dyDescent="0.25">
      <c r="A78">
        <v>1457397952</v>
      </c>
      <c r="B78" s="36">
        <v>0.59757496313288538</v>
      </c>
      <c r="C78" s="63">
        <f>_xlfn.XLOOKUP($A78,'[1]FRV Output'!$F:$F,'[1]FRV Output'!$M:$M)</f>
        <v>23747</v>
      </c>
      <c r="D78" s="63">
        <f>_xlfn.XLOOKUP($A78,'[1]FRV Output'!$F:$F,'[1]FRV Output'!$N:$N)</f>
        <v>23812.060273972606</v>
      </c>
      <c r="E78" s="31">
        <f>_xlfn.XLOOKUP(A78,'[1]FRV Output'!$F:$F,'[1]FRV Output'!$U:$U)</f>
        <v>28734</v>
      </c>
      <c r="F78" s="31">
        <f>_xlfn.XLOOKUP($A78,'[1]FRV Output'!$F:$F,'[1]FRV Output'!$W:$W)</f>
        <v>200</v>
      </c>
      <c r="G78" s="59">
        <f>_xlfn.XLOOKUP($A78,'[1]FRV Output'!$F:$F,'[1]FRV Output'!$AO:$AO)</f>
        <v>27.619999999999891</v>
      </c>
      <c r="H78" s="63">
        <f t="shared" si="1"/>
        <v>65952</v>
      </c>
      <c r="I78" s="59">
        <f>_xlfn.XLOOKUP($A78,'[1]FRV Output'!$F:$F,'[1]FRV Output'!$Z:$Z)</f>
        <v>329.76</v>
      </c>
      <c r="J78" s="162">
        <v>29.25</v>
      </c>
      <c r="K78" s="164">
        <v>1.2415</v>
      </c>
      <c r="L78" s="59">
        <f>_xlfn.XLOOKUP(A78,'[1]Aging Schedule'!$OA:$OA,'[1]Aging Schedule'!$NW:$NW)</f>
        <v>27.619999999999891</v>
      </c>
      <c r="M78" s="59">
        <f>_xlfn.XLOOKUP(A78,'[1]FRV Output'!$F:$F,'[1]FRV Output'!$BC:$BC)</f>
        <v>11.489547257695412</v>
      </c>
      <c r="N78" s="68"/>
      <c r="O78" s="68"/>
      <c r="R78" s="31"/>
      <c r="T78" s="59"/>
      <c r="U78" s="108"/>
      <c r="V78" s="110"/>
    </row>
    <row r="79" spans="1:22" hidden="1" x14ac:dyDescent="0.25">
      <c r="A79">
        <v>1508802497</v>
      </c>
      <c r="B79" s="36">
        <v>0.60247651579846295</v>
      </c>
      <c r="C79" s="63">
        <f>_xlfn.XLOOKUP($A79,'[1]FRV Output'!$F:$F,'[1]FRV Output'!$M:$M)</f>
        <v>46945</v>
      </c>
      <c r="D79" s="63">
        <f>_xlfn.XLOOKUP($A79,'[1]FRV Output'!$F:$F,'[1]FRV Output'!$N:$N)</f>
        <v>47073.61643835617</v>
      </c>
      <c r="E79" s="31">
        <f>_xlfn.XLOOKUP(A79,'[1]FRV Output'!$F:$F,'[1]FRV Output'!$U:$U)</f>
        <v>27530</v>
      </c>
      <c r="F79" s="31">
        <f>_xlfn.XLOOKUP($A79,'[1]FRV Output'!$F:$F,'[1]FRV Output'!$W:$W)</f>
        <v>200</v>
      </c>
      <c r="G79" s="59">
        <f>_xlfn.XLOOKUP($A79,'[1]FRV Output'!$F:$F,'[1]FRV Output'!$AO:$AO)</f>
        <v>30.319999999999936</v>
      </c>
      <c r="H79" s="63">
        <f t="shared" si="1"/>
        <v>65670</v>
      </c>
      <c r="I79" s="59">
        <f>_xlfn.XLOOKUP($A79,'[1]FRV Output'!$F:$F,'[1]FRV Output'!$Z:$Z)</f>
        <v>328.35</v>
      </c>
      <c r="J79" s="162">
        <v>9.4499999999999993</v>
      </c>
      <c r="K79" s="164">
        <v>1.2505999999999999</v>
      </c>
      <c r="L79" s="59">
        <f>_xlfn.XLOOKUP(A79,'[1]Aging Schedule'!$OA:$OA,'[1]Aging Schedule'!$NW:$NW)</f>
        <v>30.319999999999936</v>
      </c>
      <c r="M79" s="59">
        <f>_xlfn.XLOOKUP(A79,'[1]FRV Output'!$F:$F,'[1]FRV Output'!$BC:$BC)</f>
        <v>10.254581469197289</v>
      </c>
      <c r="N79" s="68"/>
      <c r="O79" s="68"/>
      <c r="R79" s="31"/>
      <c r="T79" s="59"/>
      <c r="U79" s="108"/>
      <c r="V79" s="110"/>
    </row>
    <row r="80" spans="1:22" hidden="1" x14ac:dyDescent="0.25">
      <c r="A80">
        <v>1366487464</v>
      </c>
      <c r="B80" s="36">
        <v>0.65356305103939172</v>
      </c>
      <c r="C80" s="63">
        <f>_xlfn.XLOOKUP($A80,'[1]FRV Output'!$F:$F,'[1]FRV Output'!$M:$M)</f>
        <v>17474</v>
      </c>
      <c r="D80" s="63">
        <f>_xlfn.XLOOKUP($A80,'[1]FRV Output'!$F:$F,'[1]FRV Output'!$N:$N)</f>
        <v>17521.873972602742</v>
      </c>
      <c r="E80" s="31">
        <f>_xlfn.XLOOKUP(A80,'[1]FRV Output'!$F:$F,'[1]FRV Output'!$U:$U)</f>
        <v>28771</v>
      </c>
      <c r="F80" s="31">
        <f>_xlfn.XLOOKUP($A80,'[1]FRV Output'!$F:$F,'[1]FRV Output'!$W:$W)</f>
        <v>80</v>
      </c>
      <c r="G80" s="59">
        <f>_xlfn.XLOOKUP($A80,'[1]FRV Output'!$F:$F,'[1]FRV Output'!$AO:$AO)</f>
        <v>27.599999999999909</v>
      </c>
      <c r="H80" s="63">
        <f t="shared" si="1"/>
        <v>27885.988148376171</v>
      </c>
      <c r="I80" s="59">
        <f>_xlfn.XLOOKUP($A80,'[1]FRV Output'!$F:$F,'[1]FRV Output'!$Z:$Z)</f>
        <v>348.57485185470216</v>
      </c>
      <c r="J80" s="162">
        <v>29.25</v>
      </c>
      <c r="K80" s="164">
        <v>1.3261000000000001</v>
      </c>
      <c r="L80" s="59">
        <f>_xlfn.XLOOKUP(A80,'[1]Aging Schedule'!$OA:$OA,'[1]Aging Schedule'!$NW:$NW)</f>
        <v>27.599999999999909</v>
      </c>
      <c r="M80" s="59">
        <f>_xlfn.XLOOKUP(A80,'[1]FRV Output'!$F:$F,'[1]FRV Output'!$BC:$BC)</f>
        <v>12.035711519419792</v>
      </c>
      <c r="N80" s="68"/>
      <c r="O80" s="68"/>
      <c r="R80" s="31"/>
      <c r="T80" s="59"/>
      <c r="U80" s="108"/>
      <c r="V80" s="110"/>
    </row>
    <row r="81" spans="1:22" hidden="1" x14ac:dyDescent="0.25">
      <c r="A81">
        <v>1619908977</v>
      </c>
      <c r="B81" s="36">
        <v>0.62498189717595931</v>
      </c>
      <c r="C81" s="63">
        <f>_xlfn.XLOOKUP($A81,'[1]FRV Output'!$F:$F,'[1]FRV Output'!$M:$M)</f>
        <v>27637</v>
      </c>
      <c r="D81" s="63">
        <f>_xlfn.XLOOKUP($A81,'[1]FRV Output'!$F:$F,'[1]FRV Output'!$N:$N)</f>
        <v>27712.717808219182</v>
      </c>
      <c r="E81" s="31">
        <f>_xlfn.XLOOKUP(A81,'[1]FRV Output'!$F:$F,'[1]FRV Output'!$U:$U)</f>
        <v>27406</v>
      </c>
      <c r="F81" s="31">
        <f>_xlfn.XLOOKUP($A81,'[1]FRV Output'!$F:$F,'[1]FRV Output'!$W:$W)</f>
        <v>120</v>
      </c>
      <c r="G81" s="59">
        <f>_xlfn.XLOOKUP($A81,'[1]FRV Output'!$F:$F,'[1]FRV Output'!$AO:$AO)</f>
        <v>33.230000000000018</v>
      </c>
      <c r="H81" s="63">
        <f t="shared" si="1"/>
        <v>33081</v>
      </c>
      <c r="I81" s="59">
        <f>_xlfn.XLOOKUP($A81,'[1]FRV Output'!$F:$F,'[1]FRV Output'!$Z:$Z)</f>
        <v>275.67500000000001</v>
      </c>
      <c r="J81" s="162">
        <v>29.25</v>
      </c>
      <c r="K81" s="164">
        <v>1.2910999999999999</v>
      </c>
      <c r="L81" s="59">
        <f>_xlfn.XLOOKUP(A81,'[1]Aging Schedule'!$OA:$OA,'[1]Aging Schedule'!$NW:$NW)</f>
        <v>33.230000000000018</v>
      </c>
      <c r="M81" s="59">
        <f>_xlfn.XLOOKUP(A81,'[1]FRV Output'!$F:$F,'[1]FRV Output'!$BC:$BC)</f>
        <v>9.5195836846897564</v>
      </c>
      <c r="N81" s="68"/>
      <c r="O81" s="68"/>
      <c r="R81" s="31"/>
      <c r="T81" s="59"/>
      <c r="U81" s="108"/>
      <c r="V81" s="110"/>
    </row>
    <row r="82" spans="1:22" hidden="1" x14ac:dyDescent="0.25">
      <c r="A82">
        <v>1689603060</v>
      </c>
      <c r="B82" s="36">
        <v>0.66523637458596807</v>
      </c>
      <c r="C82" s="63">
        <f>_xlfn.XLOOKUP($A82,'[1]FRV Output'!$F:$F,'[1]FRV Output'!$M:$M)</f>
        <v>28696</v>
      </c>
      <c r="D82" s="63">
        <f>_xlfn.XLOOKUP($A82,'[1]FRV Output'!$F:$F,'[1]FRV Output'!$N:$N)</f>
        <v>28774.619178082194</v>
      </c>
      <c r="E82" s="31">
        <f>_xlfn.XLOOKUP(A82,'[1]FRV Output'!$F:$F,'[1]FRV Output'!$U:$U)</f>
        <v>28345</v>
      </c>
      <c r="F82" s="31">
        <f>_xlfn.XLOOKUP($A82,'[1]FRV Output'!$F:$F,'[1]FRV Output'!$W:$W)</f>
        <v>105</v>
      </c>
      <c r="G82" s="59">
        <f>_xlfn.XLOOKUP($A82,'[1]FRV Output'!$F:$F,'[1]FRV Output'!$AO:$AO)</f>
        <v>24.650000000000091</v>
      </c>
      <c r="H82" s="63">
        <f t="shared" si="1"/>
        <v>34985.890631282673</v>
      </c>
      <c r="I82" s="59">
        <f>_xlfn.XLOOKUP($A82,'[1]FRV Output'!$F:$F,'[1]FRV Output'!$Z:$Z)</f>
        <v>333.19895839316831</v>
      </c>
      <c r="J82" s="162">
        <v>29.25</v>
      </c>
      <c r="K82" s="164">
        <v>1.1960999999999999</v>
      </c>
      <c r="L82" s="59">
        <f>_xlfn.XLOOKUP(A82,'[1]Aging Schedule'!$OA:$OA,'[1]Aging Schedule'!$NW:$NW)</f>
        <v>24.650000000000091</v>
      </c>
      <c r="M82" s="59">
        <f>_xlfn.XLOOKUP(A82,'[1]FRV Output'!$F:$F,'[1]FRV Output'!$BC:$BC)</f>
        <v>14.660640493150646</v>
      </c>
      <c r="N82" s="68"/>
      <c r="O82" s="68"/>
      <c r="R82" s="31"/>
      <c r="T82" s="59"/>
      <c r="U82" s="108"/>
      <c r="V82" s="110"/>
    </row>
    <row r="83" spans="1:22" hidden="1" x14ac:dyDescent="0.25">
      <c r="A83">
        <v>1285665539</v>
      </c>
      <c r="B83" s="36">
        <v>0.58739299610894946</v>
      </c>
      <c r="C83" s="63">
        <f>_xlfn.XLOOKUP($A83,'[1]FRV Output'!$F:$F,'[1]FRV Output'!$M:$M)</f>
        <v>27886</v>
      </c>
      <c r="D83" s="63">
        <f>_xlfn.XLOOKUP($A83,'[1]FRV Output'!$F:$F,'[1]FRV Output'!$N:$N)</f>
        <v>27962.400000000001</v>
      </c>
      <c r="E83" s="31">
        <f>_xlfn.XLOOKUP(A83,'[1]FRV Output'!$F:$F,'[1]FRV Output'!$U:$U)</f>
        <v>28334</v>
      </c>
      <c r="F83" s="31">
        <f>_xlfn.XLOOKUP($A83,'[1]FRV Output'!$F:$F,'[1]FRV Output'!$W:$W)</f>
        <v>100</v>
      </c>
      <c r="G83" s="59">
        <f>_xlfn.XLOOKUP($A83,'[1]FRV Output'!$F:$F,'[1]FRV Output'!$AO:$AO)</f>
        <v>20.75</v>
      </c>
      <c r="H83" s="63">
        <f t="shared" si="1"/>
        <v>45636</v>
      </c>
      <c r="I83" s="59">
        <f>_xlfn.XLOOKUP($A83,'[1]FRV Output'!$F:$F,'[1]FRV Output'!$Z:$Z)</f>
        <v>456.36</v>
      </c>
      <c r="J83" s="162">
        <v>29.25</v>
      </c>
      <c r="K83" s="164">
        <v>1.2263999999999999</v>
      </c>
      <c r="L83" s="59">
        <f>_xlfn.XLOOKUP(A83,'[1]Aging Schedule'!$OA:$OA,'[1]Aging Schedule'!$NW:$NW)</f>
        <v>20.75</v>
      </c>
      <c r="M83" s="59">
        <f>_xlfn.XLOOKUP(A83,'[1]FRV Output'!$F:$F,'[1]FRV Output'!$BC:$BC)</f>
        <v>19.747909639705185</v>
      </c>
      <c r="N83" s="68"/>
      <c r="O83" s="68"/>
      <c r="R83" s="31"/>
      <c r="T83" s="59"/>
      <c r="U83" s="108"/>
      <c r="V83" s="110"/>
    </row>
    <row r="84" spans="1:22" hidden="1" x14ac:dyDescent="0.25">
      <c r="A84">
        <v>1699710293</v>
      </c>
      <c r="B84" s="36">
        <v>0.52838139304304721</v>
      </c>
      <c r="C84" s="63">
        <f>_xlfn.XLOOKUP($A84,'[1]FRV Output'!$F:$F,'[1]FRV Output'!$M:$M)</f>
        <v>20709</v>
      </c>
      <c r="D84" s="63">
        <f>_xlfn.XLOOKUP($A84,'[1]FRV Output'!$F:$F,'[1]FRV Output'!$N:$N)</f>
        <v>20765.736986301374</v>
      </c>
      <c r="E84" s="31">
        <f>_xlfn.XLOOKUP(A84,'[1]FRV Output'!$F:$F,'[1]FRV Output'!$U:$U)</f>
        <v>28532</v>
      </c>
      <c r="F84" s="31">
        <f>_xlfn.XLOOKUP($A84,'[1]FRV Output'!$F:$F,'[1]FRV Output'!$W:$W)</f>
        <v>70</v>
      </c>
      <c r="G84" s="59">
        <f>_xlfn.XLOOKUP($A84,'[1]FRV Output'!$F:$F,'[1]FRV Output'!$AO:$AO)</f>
        <v>14.450000000000045</v>
      </c>
      <c r="H84" s="63">
        <f t="shared" si="1"/>
        <v>32602</v>
      </c>
      <c r="I84" s="59">
        <f>_xlfn.XLOOKUP($A84,'[1]FRV Output'!$F:$F,'[1]FRV Output'!$Z:$Z)</f>
        <v>465.74285714285713</v>
      </c>
      <c r="J84" s="162">
        <v>29.25</v>
      </c>
      <c r="K84" s="164">
        <v>1.1661999999999999</v>
      </c>
      <c r="L84" s="59">
        <f>_xlfn.XLOOKUP(A84,'[1]Aging Schedule'!$OA:$OA,'[1]Aging Schedule'!$NW:$NW)</f>
        <v>14.450000000000045</v>
      </c>
      <c r="M84" s="59">
        <f>_xlfn.XLOOKUP(A84,'[1]FRV Output'!$F:$F,'[1]FRV Output'!$BC:$BC)</f>
        <v>22.729405555605204</v>
      </c>
      <c r="N84" s="68"/>
      <c r="O84" s="68"/>
      <c r="R84" s="31"/>
      <c r="T84" s="59"/>
      <c r="U84" s="108"/>
      <c r="V84" s="110"/>
    </row>
    <row r="85" spans="1:22" hidden="1" x14ac:dyDescent="0.25">
      <c r="A85">
        <v>1972547321</v>
      </c>
      <c r="B85" s="36">
        <v>0.6165496049165935</v>
      </c>
      <c r="C85" s="63">
        <f>_xlfn.XLOOKUP($A85,'[1]FRV Output'!$F:$F,'[1]FRV Output'!$M:$M)</f>
        <v>24721</v>
      </c>
      <c r="D85" s="63">
        <f>_xlfn.XLOOKUP($A85,'[1]FRV Output'!$F:$F,'[1]FRV Output'!$N:$N)</f>
        <v>24788.728767123292</v>
      </c>
      <c r="E85" s="31">
        <f>_xlfn.XLOOKUP(A85,'[1]FRV Output'!$F:$F,'[1]FRV Output'!$U:$U)</f>
        <v>27536</v>
      </c>
      <c r="F85" s="31">
        <f>_xlfn.XLOOKUP($A85,'[1]FRV Output'!$F:$F,'[1]FRV Output'!$W:$W)</f>
        <v>92</v>
      </c>
      <c r="G85" s="59">
        <f>_xlfn.XLOOKUP($A85,'[1]FRV Output'!$F:$F,'[1]FRV Output'!$AO:$AO)</f>
        <v>18.150000000000091</v>
      </c>
      <c r="H85" s="63">
        <f t="shared" si="1"/>
        <v>31684.573336672511</v>
      </c>
      <c r="I85" s="59">
        <f>_xlfn.XLOOKUP($A85,'[1]FRV Output'!$F:$F,'[1]FRV Output'!$Z:$Z)</f>
        <v>344.39753626817946</v>
      </c>
      <c r="J85" s="162">
        <v>29.25</v>
      </c>
      <c r="K85" s="164">
        <v>1.3915999999999999</v>
      </c>
      <c r="L85" s="59">
        <f>_xlfn.XLOOKUP(A85,'[1]Aging Schedule'!$OA:$OA,'[1]Aging Schedule'!$NW:$NW)</f>
        <v>18.150000000000091</v>
      </c>
      <c r="M85" s="59">
        <f>_xlfn.XLOOKUP(A85,'[1]FRV Output'!$F:$F,'[1]FRV Output'!$BC:$BC)</f>
        <v>17.42553119999997</v>
      </c>
      <c r="N85" s="68"/>
      <c r="O85" s="68"/>
      <c r="R85" s="31"/>
      <c r="T85" s="59"/>
      <c r="U85" s="108"/>
      <c r="V85" s="110"/>
    </row>
    <row r="86" spans="1:22" hidden="1" x14ac:dyDescent="0.25">
      <c r="A86">
        <v>1962447565</v>
      </c>
      <c r="B86" s="36">
        <v>0.58311232782958333</v>
      </c>
      <c r="C86" s="63">
        <f>_xlfn.XLOOKUP($A86,'[1]FRV Output'!$F:$F,'[1]FRV Output'!$M:$M)</f>
        <v>44325</v>
      </c>
      <c r="D86" s="63">
        <f>_xlfn.XLOOKUP($A86,'[1]FRV Output'!$F:$F,'[1]FRV Output'!$N:$N)</f>
        <v>44446.438356164384</v>
      </c>
      <c r="E86" s="31">
        <f>_xlfn.XLOOKUP(A86,'[1]FRV Output'!$F:$F,'[1]FRV Output'!$U:$U)</f>
        <v>28540</v>
      </c>
      <c r="F86" s="31">
        <f>_xlfn.XLOOKUP($A86,'[1]FRV Output'!$F:$F,'[1]FRV Output'!$W:$W)</f>
        <v>239</v>
      </c>
      <c r="G86" s="59">
        <f>_xlfn.XLOOKUP($A86,'[1]FRV Output'!$F:$F,'[1]FRV Output'!$AO:$AO)</f>
        <v>29.3900000000001</v>
      </c>
      <c r="H86" s="63">
        <f t="shared" si="1"/>
        <v>72465.366387687915</v>
      </c>
      <c r="I86" s="59">
        <f>_xlfn.XLOOKUP($A86,'[1]FRV Output'!$F:$F,'[1]FRV Output'!$Z:$Z)</f>
        <v>303.202369822962</v>
      </c>
      <c r="J86" s="162">
        <v>9.4499999999999993</v>
      </c>
      <c r="K86" s="164">
        <v>1.1153</v>
      </c>
      <c r="L86" s="59">
        <f>_xlfn.XLOOKUP(A86,'[1]Aging Schedule'!$OA:$OA,'[1]Aging Schedule'!$NW:$NW)</f>
        <v>29.3900000000001</v>
      </c>
      <c r="M86" s="59">
        <f>_xlfn.XLOOKUP(A86,'[1]FRV Output'!$F:$F,'[1]FRV Output'!$BC:$BC)</f>
        <v>11.41228921426265</v>
      </c>
      <c r="N86" s="68"/>
      <c r="O86" s="68"/>
      <c r="R86" s="31"/>
      <c r="T86" s="59"/>
      <c r="U86" s="108"/>
      <c r="V86" s="110"/>
    </row>
    <row r="87" spans="1:22" hidden="1" x14ac:dyDescent="0.25">
      <c r="A87">
        <v>1811923931</v>
      </c>
      <c r="B87" s="36">
        <v>0.57946601532889752</v>
      </c>
      <c r="C87" s="63">
        <f>_xlfn.XLOOKUP($A87,'[1]FRV Output'!$F:$F,'[1]FRV Output'!$M:$M)</f>
        <v>22753</v>
      </c>
      <c r="D87" s="63">
        <f>_xlfn.XLOOKUP($A87,'[1]FRV Output'!$F:$F,'[1]FRV Output'!$N:$N)</f>
        <v>22815.336986301372</v>
      </c>
      <c r="E87" s="31">
        <f>_xlfn.XLOOKUP(A87,'[1]FRV Output'!$F:$F,'[1]FRV Output'!$U:$U)</f>
        <v>27284</v>
      </c>
      <c r="F87" s="31">
        <f>_xlfn.XLOOKUP($A87,'[1]FRV Output'!$F:$F,'[1]FRV Output'!$W:$W)</f>
        <v>92</v>
      </c>
      <c r="G87" s="59">
        <f>_xlfn.XLOOKUP($A87,'[1]FRV Output'!$F:$F,'[1]FRV Output'!$AO:$AO)</f>
        <v>13.329999999999927</v>
      </c>
      <c r="H87" s="63">
        <f t="shared" si="1"/>
        <v>31824</v>
      </c>
      <c r="I87" s="59">
        <f>_xlfn.XLOOKUP($A87,'[1]FRV Output'!$F:$F,'[1]FRV Output'!$Z:$Z)</f>
        <v>345.91304347826087</v>
      </c>
      <c r="J87" s="162">
        <v>29.25</v>
      </c>
      <c r="K87" s="164">
        <v>1.3322000000000001</v>
      </c>
      <c r="L87" s="59">
        <f>_xlfn.XLOOKUP(A87,'[1]Aging Schedule'!$OA:$OA,'[1]Aging Schedule'!$NW:$NW)</f>
        <v>13.329999999999927</v>
      </c>
      <c r="M87" s="59">
        <f>_xlfn.XLOOKUP(A87,'[1]FRV Output'!$F:$F,'[1]FRV Output'!$BC:$BC)</f>
        <v>19.998403652538258</v>
      </c>
      <c r="N87" s="68"/>
      <c r="O87" s="68"/>
      <c r="R87" s="31"/>
      <c r="T87" s="59"/>
      <c r="U87" s="108"/>
      <c r="V87" s="110"/>
    </row>
    <row r="88" spans="1:22" hidden="1" x14ac:dyDescent="0.25">
      <c r="A88">
        <v>1932145836</v>
      </c>
      <c r="B88" s="36">
        <v>0.63637655417406747</v>
      </c>
      <c r="C88" s="63">
        <f>_xlfn.XLOOKUP($A88,'[1]FRV Output'!$F:$F,'[1]FRV Output'!$M:$M)</f>
        <v>36175</v>
      </c>
      <c r="D88" s="63">
        <f>_xlfn.XLOOKUP($A88,'[1]FRV Output'!$F:$F,'[1]FRV Output'!$N:$N)</f>
        <v>36274.109589041102</v>
      </c>
      <c r="E88" s="31">
        <f>_xlfn.XLOOKUP(A88,'[1]FRV Output'!$F:$F,'[1]FRV Output'!$U:$U)</f>
        <v>28501</v>
      </c>
      <c r="F88" s="31">
        <f>_xlfn.XLOOKUP($A88,'[1]FRV Output'!$F:$F,'[1]FRV Output'!$W:$W)</f>
        <v>175</v>
      </c>
      <c r="G88" s="59">
        <f>_xlfn.XLOOKUP($A88,'[1]FRV Output'!$F:$F,'[1]FRV Output'!$AO:$AO)</f>
        <v>11.829999999999927</v>
      </c>
      <c r="H88" s="63">
        <f t="shared" si="1"/>
        <v>61154</v>
      </c>
      <c r="I88" s="59">
        <f>_xlfn.XLOOKUP($A88,'[1]FRV Output'!$F:$F,'[1]FRV Output'!$Z:$Z)</f>
        <v>349.45142857142855</v>
      </c>
      <c r="J88" s="162">
        <v>29.25</v>
      </c>
      <c r="K88" s="164">
        <v>1.1747000000000001</v>
      </c>
      <c r="L88" s="59">
        <f>_xlfn.XLOOKUP(A88,'[1]Aging Schedule'!$OA:$OA,'[1]Aging Schedule'!$NW:$NW)</f>
        <v>11.829999999999927</v>
      </c>
      <c r="M88" s="59">
        <f>_xlfn.XLOOKUP(A88,'[1]FRV Output'!$F:$F,'[1]FRV Output'!$BC:$BC)</f>
        <v>20.759955136825187</v>
      </c>
      <c r="N88" s="68"/>
      <c r="O88" s="68"/>
      <c r="R88" s="31"/>
      <c r="T88" s="59"/>
      <c r="U88" s="108"/>
      <c r="V88" s="110"/>
    </row>
    <row r="89" spans="1:22" hidden="1" x14ac:dyDescent="0.25">
      <c r="A89">
        <v>1376570275</v>
      </c>
      <c r="B89" s="36">
        <v>0.61452437777020119</v>
      </c>
      <c r="C89" s="63">
        <f>_xlfn.XLOOKUP($A89,'[1]FRV Output'!$F:$F,'[1]FRV Output'!$M:$M)</f>
        <v>44088</v>
      </c>
      <c r="D89" s="63">
        <f>_xlfn.XLOOKUP($A89,'[1]FRV Output'!$F:$F,'[1]FRV Output'!$N:$N)</f>
        <v>44208.789041095893</v>
      </c>
      <c r="E89" s="31">
        <f>_xlfn.XLOOKUP(A89,'[1]FRV Output'!$F:$F,'[1]FRV Output'!$U:$U)</f>
        <v>27549</v>
      </c>
      <c r="F89" s="31">
        <f>_xlfn.XLOOKUP($A89,'[1]FRV Output'!$F:$F,'[1]FRV Output'!$W:$W)</f>
        <v>166</v>
      </c>
      <c r="G89" s="59">
        <f>_xlfn.XLOOKUP($A89,'[1]FRV Output'!$F:$F,'[1]FRV Output'!$AO:$AO)</f>
        <v>25.75</v>
      </c>
      <c r="H89" s="63">
        <f t="shared" si="1"/>
        <v>51797.04055390702</v>
      </c>
      <c r="I89" s="59">
        <f>_xlfn.XLOOKUP($A89,'[1]FRV Output'!$F:$F,'[1]FRV Output'!$Z:$Z)</f>
        <v>312.03036478257241</v>
      </c>
      <c r="J89" s="162">
        <v>9.4499999999999993</v>
      </c>
      <c r="K89" s="164">
        <v>1.2047000000000001</v>
      </c>
      <c r="L89" s="59">
        <f>_xlfn.XLOOKUP(A89,'[1]Aging Schedule'!$OA:$OA,'[1]Aging Schedule'!$NW:$NW)</f>
        <v>25.75</v>
      </c>
      <c r="M89" s="59">
        <f>_xlfn.XLOOKUP(A89,'[1]FRV Output'!$F:$F,'[1]FRV Output'!$BC:$BC)</f>
        <v>14.120329380338385</v>
      </c>
      <c r="N89" s="68"/>
      <c r="O89" s="68"/>
      <c r="R89" s="31"/>
      <c r="T89" s="59"/>
      <c r="U89" s="108"/>
      <c r="V89" s="110"/>
    </row>
    <row r="90" spans="1:22" hidden="1" x14ac:dyDescent="0.25">
      <c r="A90">
        <v>1255367447</v>
      </c>
      <c r="B90" s="36">
        <v>0.61563037601376258</v>
      </c>
      <c r="C90" s="63">
        <f>_xlfn.XLOOKUP($A90,'[1]FRV Output'!$F:$F,'[1]FRV Output'!$M:$M)</f>
        <v>40818</v>
      </c>
      <c r="D90" s="63">
        <f>_xlfn.XLOOKUP($A90,'[1]FRV Output'!$F:$F,'[1]FRV Output'!$N:$N)</f>
        <v>40929.830136986304</v>
      </c>
      <c r="E90" s="31">
        <f>_xlfn.XLOOKUP(A90,'[1]FRV Output'!$F:$F,'[1]FRV Output'!$U:$U)</f>
        <v>27025</v>
      </c>
      <c r="F90" s="31">
        <f>_xlfn.XLOOKUP($A90,'[1]FRV Output'!$F:$F,'[1]FRV Output'!$W:$W)</f>
        <v>170</v>
      </c>
      <c r="G90" s="59">
        <f>_xlfn.XLOOKUP($A90,'[1]FRV Output'!$F:$F,'[1]FRV Output'!$AO:$AO)</f>
        <v>27.430000000000064</v>
      </c>
      <c r="H90" s="63">
        <f t="shared" si="1"/>
        <v>65935</v>
      </c>
      <c r="I90" s="59">
        <f>_xlfn.XLOOKUP($A90,'[1]FRV Output'!$F:$F,'[1]FRV Output'!$Z:$Z)</f>
        <v>387.85294117647061</v>
      </c>
      <c r="J90" s="162">
        <v>29.25</v>
      </c>
      <c r="K90" s="164">
        <v>1.3561000000000001</v>
      </c>
      <c r="L90" s="59">
        <f>_xlfn.XLOOKUP(A90,'[1]Aging Schedule'!$OA:$OA,'[1]Aging Schedule'!$NW:$NW)</f>
        <v>27.430000000000064</v>
      </c>
      <c r="M90" s="59">
        <f>_xlfn.XLOOKUP(A90,'[1]FRV Output'!$F:$F,'[1]FRV Output'!$BC:$BC)</f>
        <v>14.050913290368397</v>
      </c>
      <c r="N90" s="68"/>
      <c r="O90" s="68"/>
      <c r="R90" s="31"/>
      <c r="T90" s="59"/>
      <c r="U90" s="108"/>
      <c r="V90" s="110"/>
    </row>
    <row r="91" spans="1:22" hidden="1" x14ac:dyDescent="0.25">
      <c r="A91">
        <v>1952337073</v>
      </c>
      <c r="B91" s="36">
        <v>0.59403285283271878</v>
      </c>
      <c r="C91" s="63">
        <f>_xlfn.XLOOKUP($A91,'[1]FRV Output'!$F:$F,'[1]FRV Output'!$M:$M)</f>
        <v>15664</v>
      </c>
      <c r="D91" s="63">
        <f>_xlfn.XLOOKUP($A91,'[1]FRV Output'!$F:$F,'[1]FRV Output'!$N:$N)</f>
        <v>15706.915068493152</v>
      </c>
      <c r="E91" s="31">
        <f>_xlfn.XLOOKUP(A91,'[1]FRV Output'!$F:$F,'[1]FRV Output'!$U:$U)</f>
        <v>28655</v>
      </c>
      <c r="F91" s="31">
        <f>_xlfn.XLOOKUP($A91,'[1]FRV Output'!$F:$F,'[1]FRV Output'!$W:$W)</f>
        <v>121</v>
      </c>
      <c r="G91" s="59">
        <f>_xlfn.XLOOKUP($A91,'[1]FRV Output'!$F:$F,'[1]FRV Output'!$AO:$AO)</f>
        <v>30.460000000000036</v>
      </c>
      <c r="H91" s="63">
        <f t="shared" si="1"/>
        <v>38940</v>
      </c>
      <c r="I91" s="59">
        <f>_xlfn.XLOOKUP($A91,'[1]FRV Output'!$F:$F,'[1]FRV Output'!$Z:$Z)</f>
        <v>321.81818181818181</v>
      </c>
      <c r="J91" s="162">
        <v>29.25</v>
      </c>
      <c r="K91" s="164">
        <v>1.252</v>
      </c>
      <c r="L91" s="59">
        <f>_xlfn.XLOOKUP(A91,'[1]Aging Schedule'!$OA:$OA,'[1]Aging Schedule'!$NW:$NW)</f>
        <v>30.460000000000036</v>
      </c>
      <c r="M91" s="59">
        <f>_xlfn.XLOOKUP(A91,'[1]FRV Output'!$F:$F,'[1]FRV Output'!$BC:$BC)</f>
        <v>8.5425591659951667</v>
      </c>
      <c r="N91" s="68"/>
      <c r="O91" s="68"/>
      <c r="R91" s="31"/>
      <c r="T91" s="59"/>
      <c r="U91" s="108"/>
      <c r="V91" s="110"/>
    </row>
    <row r="92" spans="1:22" hidden="1" x14ac:dyDescent="0.25">
      <c r="A92">
        <v>1659307395</v>
      </c>
      <c r="B92" s="36">
        <v>0.57827812424070635</v>
      </c>
      <c r="C92" s="63">
        <f>_xlfn.XLOOKUP($A92,'[1]FRV Output'!$F:$F,'[1]FRV Output'!$M:$M)</f>
        <v>31069</v>
      </c>
      <c r="D92" s="63">
        <f>_xlfn.XLOOKUP($A92,'[1]FRV Output'!$F:$F,'[1]FRV Output'!$N:$N)</f>
        <v>31154.120547945207</v>
      </c>
      <c r="E92" s="31">
        <f>_xlfn.XLOOKUP(A92,'[1]FRV Output'!$F:$F,'[1]FRV Output'!$U:$U)</f>
        <v>28563</v>
      </c>
      <c r="F92" s="31">
        <f>_xlfn.XLOOKUP($A92,'[1]FRV Output'!$F:$F,'[1]FRV Output'!$W:$W)</f>
        <v>105</v>
      </c>
      <c r="G92" s="59">
        <f>_xlfn.XLOOKUP($A92,'[1]FRV Output'!$F:$F,'[1]FRV Output'!$AO:$AO)</f>
        <v>23.660000000000082</v>
      </c>
      <c r="H92" s="63">
        <f t="shared" si="1"/>
        <v>35165.390803068345</v>
      </c>
      <c r="I92" s="59">
        <f>_xlfn.XLOOKUP($A92,'[1]FRV Output'!$F:$F,'[1]FRV Output'!$Z:$Z)</f>
        <v>334.90848383874612</v>
      </c>
      <c r="J92" s="162">
        <v>29.25</v>
      </c>
      <c r="K92" s="164">
        <v>1.1741999999999999</v>
      </c>
      <c r="L92" s="59">
        <f>_xlfn.XLOOKUP(A92,'[1]Aging Schedule'!$OA:$OA,'[1]Aging Schedule'!$NW:$NW)</f>
        <v>23.660000000000082</v>
      </c>
      <c r="M92" s="59">
        <f>_xlfn.XLOOKUP(A92,'[1]FRV Output'!$F:$F,'[1]FRV Output'!$BC:$BC)</f>
        <v>13.957573253424636</v>
      </c>
      <c r="N92" s="68"/>
      <c r="O92" s="68"/>
      <c r="R92" s="31"/>
      <c r="T92" s="59"/>
      <c r="U92" s="108"/>
      <c r="V92" s="110"/>
    </row>
    <row r="93" spans="1:22" hidden="1" x14ac:dyDescent="0.25">
      <c r="A93">
        <v>1942236161</v>
      </c>
      <c r="B93" s="36">
        <v>0.55957039380567819</v>
      </c>
      <c r="C93" s="63">
        <f>_xlfn.XLOOKUP($A93,'[1]FRV Output'!$F:$F,'[1]FRV Output'!$M:$M)</f>
        <v>15989</v>
      </c>
      <c r="D93" s="63">
        <f>_xlfn.XLOOKUP($A93,'[1]FRV Output'!$F:$F,'[1]FRV Output'!$N:$N)</f>
        <v>16032.805479452056</v>
      </c>
      <c r="E93" s="31">
        <f>_xlfn.XLOOKUP(A93,'[1]FRV Output'!$F:$F,'[1]FRV Output'!$U:$U)</f>
        <v>28507</v>
      </c>
      <c r="F93" s="31">
        <f>_xlfn.XLOOKUP($A93,'[1]FRV Output'!$F:$F,'[1]FRV Output'!$W:$W)</f>
        <v>64</v>
      </c>
      <c r="G93" s="59">
        <f>_xlfn.XLOOKUP($A93,'[1]FRV Output'!$F:$F,'[1]FRV Output'!$AO:$AO)</f>
        <v>11.400000000000091</v>
      </c>
      <c r="H93" s="63">
        <f t="shared" si="1"/>
        <v>27742</v>
      </c>
      <c r="I93" s="59">
        <f>_xlfn.XLOOKUP($A93,'[1]FRV Output'!$F:$F,'[1]FRV Output'!$Z:$Z)</f>
        <v>433.46875</v>
      </c>
      <c r="J93" s="162">
        <v>29.25</v>
      </c>
      <c r="K93" s="164">
        <v>1.1779999999999999</v>
      </c>
      <c r="L93" s="59">
        <f>_xlfn.XLOOKUP(A93,'[1]Aging Schedule'!$OA:$OA,'[1]Aging Schedule'!$NW:$NW)</f>
        <v>11.400000000000091</v>
      </c>
      <c r="M93" s="59">
        <f>_xlfn.XLOOKUP(A93,'[1]FRV Output'!$F:$F,'[1]FRV Output'!$BC:$BC)</f>
        <v>22.790671170589683</v>
      </c>
      <c r="N93" s="68"/>
      <c r="O93" s="68"/>
      <c r="R93" s="31"/>
      <c r="T93" s="59"/>
      <c r="U93" s="108"/>
      <c r="V93" s="110"/>
    </row>
    <row r="94" spans="1:22" hidden="1" x14ac:dyDescent="0.25">
      <c r="A94">
        <v>1396771515</v>
      </c>
      <c r="B94" s="36">
        <v>0.60601885424220459</v>
      </c>
      <c r="C94" s="63">
        <f>_xlfn.XLOOKUP($A94,'[1]FRV Output'!$F:$F,'[1]FRV Output'!$M:$M)</f>
        <v>43089</v>
      </c>
      <c r="D94" s="63">
        <f>_xlfn.XLOOKUP($A94,'[1]FRV Output'!$F:$F,'[1]FRV Output'!$N:$N)</f>
        <v>43207.052054794527</v>
      </c>
      <c r="E94" s="31">
        <f>_xlfn.XLOOKUP(A94,'[1]FRV Output'!$F:$F,'[1]FRV Output'!$U:$U)</f>
        <v>28405</v>
      </c>
      <c r="F94" s="31">
        <f>_xlfn.XLOOKUP($A94,'[1]FRV Output'!$F:$F,'[1]FRV Output'!$W:$W)</f>
        <v>140</v>
      </c>
      <c r="G94" s="59">
        <f>_xlfn.XLOOKUP($A94,'[1]FRV Output'!$F:$F,'[1]FRV Output'!$AO:$AO)</f>
        <v>7.9100000000000819</v>
      </c>
      <c r="H94" s="63">
        <f t="shared" si="1"/>
        <v>93346</v>
      </c>
      <c r="I94" s="59">
        <f>_xlfn.XLOOKUP($A94,'[1]FRV Output'!$F:$F,'[1]FRV Output'!$Z:$Z)</f>
        <v>666.75714285714287</v>
      </c>
      <c r="J94" s="162">
        <v>9.4499999999999993</v>
      </c>
      <c r="K94" s="164">
        <v>1.1594</v>
      </c>
      <c r="L94" s="59">
        <f>_xlfn.XLOOKUP(A94,'[1]Aging Schedule'!$OA:$OA,'[1]Aging Schedule'!$NW:$NW)</f>
        <v>7.9100000000000819</v>
      </c>
      <c r="M94" s="59">
        <f>_xlfn.XLOOKUP(A94,'[1]FRV Output'!$F:$F,'[1]FRV Output'!$BC:$BC)</f>
        <v>36.595728014671771</v>
      </c>
      <c r="N94" s="68"/>
      <c r="O94" s="68"/>
      <c r="R94" s="31"/>
      <c r="T94" s="59"/>
      <c r="U94" s="108"/>
      <c r="V94" s="110"/>
    </row>
    <row r="95" spans="1:22" hidden="1" x14ac:dyDescent="0.25">
      <c r="A95">
        <v>1558393835</v>
      </c>
      <c r="B95" s="36">
        <v>0.59680317790598691</v>
      </c>
      <c r="C95" s="63">
        <f>_xlfn.XLOOKUP($A95,'[1]FRV Output'!$F:$F,'[1]FRV Output'!$M:$M)</f>
        <v>24317</v>
      </c>
      <c r="D95" s="63">
        <f>_xlfn.XLOOKUP($A95,'[1]FRV Output'!$F:$F,'[1]FRV Output'!$N:$N)</f>
        <v>24383.621917808221</v>
      </c>
      <c r="E95" s="31">
        <f>_xlfn.XLOOKUP(A95,'[1]FRV Output'!$F:$F,'[1]FRV Output'!$U:$U)</f>
        <v>28540</v>
      </c>
      <c r="F95" s="31">
        <f>_xlfn.XLOOKUP($A95,'[1]FRV Output'!$F:$F,'[1]FRV Output'!$W:$W)</f>
        <v>120</v>
      </c>
      <c r="G95" s="59">
        <f>_xlfn.XLOOKUP($A95,'[1]FRV Output'!$F:$F,'[1]FRV Output'!$AO:$AO)</f>
        <v>24.930000000000064</v>
      </c>
      <c r="H95" s="63">
        <f t="shared" si="1"/>
        <v>43828</v>
      </c>
      <c r="I95" s="59">
        <f>_xlfn.XLOOKUP($A95,'[1]FRV Output'!$F:$F,'[1]FRV Output'!$Z:$Z)</f>
        <v>365.23333333333335</v>
      </c>
      <c r="J95" s="162">
        <v>29.25</v>
      </c>
      <c r="K95" s="164">
        <v>1.1811</v>
      </c>
      <c r="L95" s="59">
        <f>_xlfn.XLOOKUP(A95,'[1]Aging Schedule'!$OA:$OA,'[1]Aging Schedule'!$NW:$NW)</f>
        <v>24.930000000000064</v>
      </c>
      <c r="M95" s="59">
        <f>_xlfn.XLOOKUP(A95,'[1]FRV Output'!$F:$F,'[1]FRV Output'!$BC:$BC)</f>
        <v>14.099125643231313</v>
      </c>
      <c r="N95" s="68"/>
      <c r="O95" s="68"/>
      <c r="R95" s="31"/>
      <c r="T95" s="59"/>
      <c r="U95" s="108"/>
      <c r="V95" s="110"/>
    </row>
    <row r="96" spans="1:22" hidden="1" x14ac:dyDescent="0.25">
      <c r="A96">
        <v>1265816185</v>
      </c>
      <c r="B96" s="36">
        <v>0.66331181162172426</v>
      </c>
      <c r="C96" s="63">
        <f>_xlfn.XLOOKUP($A96,'[1]FRV Output'!$F:$F,'[1]FRV Output'!$M:$M)</f>
        <v>27412</v>
      </c>
      <c r="D96" s="63">
        <f>_xlfn.XLOOKUP($A96,'[1]FRV Output'!$F:$F,'[1]FRV Output'!$N:$N)</f>
        <v>27487.101369863016</v>
      </c>
      <c r="E96" s="31">
        <f>_xlfn.XLOOKUP(A96,'[1]FRV Output'!$F:$F,'[1]FRV Output'!$U:$U)</f>
        <v>27959</v>
      </c>
      <c r="F96" s="31">
        <f>_xlfn.XLOOKUP($A96,'[1]FRV Output'!$F:$F,'[1]FRV Output'!$W:$W)</f>
        <v>126</v>
      </c>
      <c r="G96" s="59">
        <f>_xlfn.XLOOKUP($A96,'[1]FRV Output'!$F:$F,'[1]FRV Output'!$AO:$AO)</f>
        <v>24.680000000000064</v>
      </c>
      <c r="H96" s="63">
        <f t="shared" si="1"/>
        <v>42254</v>
      </c>
      <c r="I96" s="59">
        <f>_xlfn.XLOOKUP($A96,'[1]FRV Output'!$F:$F,'[1]FRV Output'!$Z:$Z)</f>
        <v>335.34920634920633</v>
      </c>
      <c r="J96" s="162">
        <v>29.25</v>
      </c>
      <c r="K96" s="164">
        <v>1.2923</v>
      </c>
      <c r="L96" s="59">
        <f>_xlfn.XLOOKUP(A96,'[1]Aging Schedule'!$OA:$OA,'[1]Aging Schedule'!$NW:$NW)</f>
        <v>24.680000000000064</v>
      </c>
      <c r="M96" s="59">
        <f>_xlfn.XLOOKUP(A96,'[1]FRV Output'!$F:$F,'[1]FRV Output'!$BC:$BC)</f>
        <v>14.494730457292476</v>
      </c>
      <c r="N96" s="68"/>
      <c r="O96" s="68"/>
      <c r="R96" s="31"/>
      <c r="T96" s="59"/>
      <c r="U96" s="108"/>
      <c r="V96" s="110"/>
    </row>
    <row r="97" spans="1:22" hidden="1" x14ac:dyDescent="0.25">
      <c r="A97">
        <v>1407882830</v>
      </c>
      <c r="B97" s="36">
        <v>0.55441026044535369</v>
      </c>
      <c r="C97" s="63">
        <f>_xlfn.XLOOKUP($A97,'[1]FRV Output'!$F:$F,'[1]FRV Output'!$M:$M)</f>
        <v>25127</v>
      </c>
      <c r="D97" s="63">
        <f>_xlfn.XLOOKUP($A97,'[1]FRV Output'!$F:$F,'[1]FRV Output'!$N:$N)</f>
        <v>25195.841095890413</v>
      </c>
      <c r="E97" s="31">
        <f>_xlfn.XLOOKUP(A97,'[1]FRV Output'!$F:$F,'[1]FRV Output'!$U:$U)</f>
        <v>28529</v>
      </c>
      <c r="F97" s="31">
        <f>_xlfn.XLOOKUP($A97,'[1]FRV Output'!$F:$F,'[1]FRV Output'!$W:$W)</f>
        <v>96</v>
      </c>
      <c r="G97" s="59">
        <f>_xlfn.XLOOKUP($A97,'[1]FRV Output'!$F:$F,'[1]FRV Output'!$AO:$AO)</f>
        <v>29.1400000000001</v>
      </c>
      <c r="H97" s="63">
        <f t="shared" si="1"/>
        <v>32027.053872053868</v>
      </c>
      <c r="I97" s="59">
        <f>_xlfn.XLOOKUP($A97,'[1]FRV Output'!$F:$F,'[1]FRV Output'!$Z:$Z)</f>
        <v>333.61514450056114</v>
      </c>
      <c r="J97" s="162">
        <v>29.25</v>
      </c>
      <c r="K97" s="164">
        <v>1.2261</v>
      </c>
      <c r="L97" s="59">
        <f>_xlfn.XLOOKUP(A97,'[1]Aging Schedule'!$OA:$OA,'[1]Aging Schedule'!$NW:$NW)</f>
        <v>29.1400000000001</v>
      </c>
      <c r="M97" s="59">
        <f>_xlfn.XLOOKUP(A97,'[1]FRV Output'!$F:$F,'[1]FRV Output'!$BC:$BC)</f>
        <v>11.335671509105588</v>
      </c>
      <c r="N97" s="68"/>
      <c r="O97" s="68"/>
      <c r="R97" s="31"/>
      <c r="T97" s="59"/>
      <c r="U97" s="108"/>
      <c r="V97" s="110"/>
    </row>
    <row r="98" spans="1:22" hidden="1" x14ac:dyDescent="0.25">
      <c r="A98">
        <v>1235175175</v>
      </c>
      <c r="B98" s="36">
        <v>0.60120560679787927</v>
      </c>
      <c r="C98" s="63">
        <f>_xlfn.XLOOKUP($A98,'[1]FRV Output'!$F:$F,'[1]FRV Output'!$M:$M)</f>
        <v>37991</v>
      </c>
      <c r="D98" s="63">
        <f>_xlfn.XLOOKUP($A98,'[1]FRV Output'!$F:$F,'[1]FRV Output'!$N:$N)</f>
        <v>38095.084931506855</v>
      </c>
      <c r="E98" s="31">
        <f>_xlfn.XLOOKUP(A98,'[1]FRV Output'!$F:$F,'[1]FRV Output'!$U:$U)</f>
        <v>28002</v>
      </c>
      <c r="F98" s="31">
        <f>_xlfn.XLOOKUP($A98,'[1]FRV Output'!$F:$F,'[1]FRV Output'!$W:$W)</f>
        <v>180</v>
      </c>
      <c r="G98" s="59">
        <f>_xlfn.XLOOKUP($A98,'[1]FRV Output'!$F:$F,'[1]FRV Output'!$AO:$AO)</f>
        <v>35.5</v>
      </c>
      <c r="H98" s="63">
        <f t="shared" si="1"/>
        <v>56370.925315227934</v>
      </c>
      <c r="I98" s="59">
        <f>_xlfn.XLOOKUP($A98,'[1]FRV Output'!$F:$F,'[1]FRV Output'!$Z:$Z)</f>
        <v>313.17180730682185</v>
      </c>
      <c r="J98" s="162">
        <v>29.25</v>
      </c>
      <c r="K98" s="164">
        <v>1.2089999999999999</v>
      </c>
      <c r="L98" s="59">
        <f>_xlfn.XLOOKUP(A98,'[1]Aging Schedule'!$OA:$OA,'[1]Aging Schedule'!$NW:$NW)</f>
        <v>36.8599999999999</v>
      </c>
      <c r="M98" s="59">
        <f>_xlfn.XLOOKUP(A98,'[1]FRV Output'!$F:$F,'[1]FRV Output'!$BC:$BC)</f>
        <v>8.6351250846091858</v>
      </c>
      <c r="N98" s="68"/>
      <c r="O98" s="68"/>
      <c r="R98" s="31"/>
      <c r="T98" s="59"/>
      <c r="U98" s="108"/>
      <c r="V98" s="110"/>
    </row>
    <row r="99" spans="1:22" hidden="1" x14ac:dyDescent="0.25">
      <c r="A99">
        <v>1225064777</v>
      </c>
      <c r="B99" s="36">
        <v>0.61934296619411122</v>
      </c>
      <c r="C99" s="63">
        <f>_xlfn.XLOOKUP($A99,'[1]FRV Output'!$F:$F,'[1]FRV Output'!$M:$M)</f>
        <v>48426</v>
      </c>
      <c r="D99" s="63">
        <f>_xlfn.XLOOKUP($A99,'[1]FRV Output'!$F:$F,'[1]FRV Output'!$N:$N)</f>
        <v>48558.673972602744</v>
      </c>
      <c r="E99" s="31">
        <f>_xlfn.XLOOKUP(A99,'[1]FRV Output'!$F:$F,'[1]FRV Output'!$U:$U)</f>
        <v>27577</v>
      </c>
      <c r="F99" s="31">
        <f>_xlfn.XLOOKUP($A99,'[1]FRV Output'!$F:$F,'[1]FRV Output'!$W:$W)</f>
        <v>165</v>
      </c>
      <c r="G99" s="59">
        <f>_xlfn.XLOOKUP($A99,'[1]FRV Output'!$F:$F,'[1]FRV Output'!$AO:$AO)</f>
        <v>35.230000000000018</v>
      </c>
      <c r="H99" s="63">
        <f t="shared" si="1"/>
        <v>65990</v>
      </c>
      <c r="I99" s="59">
        <f>_xlfn.XLOOKUP($A99,'[1]FRV Output'!$F:$F,'[1]FRV Output'!$Z:$Z)</f>
        <v>399.93939393939394</v>
      </c>
      <c r="J99" s="162">
        <v>9.4499999999999993</v>
      </c>
      <c r="K99" s="164">
        <v>1.2110000000000001</v>
      </c>
      <c r="L99" s="59">
        <f>_xlfn.XLOOKUP(A99,'[1]Aging Schedule'!$OA:$OA,'[1]Aging Schedule'!$NW:$NW)</f>
        <v>35.230000000000018</v>
      </c>
      <c r="M99" s="59">
        <f>_xlfn.XLOOKUP(A99,'[1]FRV Output'!$F:$F,'[1]FRV Output'!$BC:$BC)</f>
        <v>10.635021244295613</v>
      </c>
      <c r="N99" s="68"/>
      <c r="O99" s="68"/>
      <c r="R99" s="31"/>
      <c r="T99" s="59"/>
      <c r="U99" s="108"/>
      <c r="V99" s="110"/>
    </row>
    <row r="100" spans="1:22" hidden="1" x14ac:dyDescent="0.25">
      <c r="A100">
        <v>1063458958</v>
      </c>
      <c r="B100" s="36">
        <v>0.62170722286597146</v>
      </c>
      <c r="C100" s="63">
        <f>_xlfn.XLOOKUP($A100,'[1]FRV Output'!$F:$F,'[1]FRV Output'!$M:$M)</f>
        <v>29142</v>
      </c>
      <c r="D100" s="63">
        <f>_xlfn.XLOOKUP($A100,'[1]FRV Output'!$F:$F,'[1]FRV Output'!$N:$N)</f>
        <v>29221.841095890413</v>
      </c>
      <c r="E100" s="31">
        <f>_xlfn.XLOOKUP(A100,'[1]FRV Output'!$F:$F,'[1]FRV Output'!$U:$U)</f>
        <v>28580</v>
      </c>
      <c r="F100" s="31">
        <f>_xlfn.XLOOKUP($A100,'[1]FRV Output'!$F:$F,'[1]FRV Output'!$W:$W)</f>
        <v>115</v>
      </c>
      <c r="G100" s="59">
        <f>_xlfn.XLOOKUP($A100,'[1]FRV Output'!$F:$F,'[1]FRV Output'!$AO:$AO)</f>
        <v>25.869999999999891</v>
      </c>
      <c r="H100" s="63">
        <f t="shared" si="1"/>
        <v>32119.893384146348</v>
      </c>
      <c r="I100" s="59">
        <f>_xlfn.XLOOKUP($A100,'[1]FRV Output'!$F:$F,'[1]FRV Output'!$Z:$Z)</f>
        <v>279.30342073170738</v>
      </c>
      <c r="J100" s="162">
        <v>29.25</v>
      </c>
      <c r="K100" s="164">
        <v>1.2349000000000001</v>
      </c>
      <c r="L100" s="59">
        <f>_xlfn.XLOOKUP(A100,'[1]Aging Schedule'!$OA:$OA,'[1]Aging Schedule'!$NW:$NW)</f>
        <v>25.869999999999891</v>
      </c>
      <c r="M100" s="59">
        <f>_xlfn.XLOOKUP(A100,'[1]FRV Output'!$F:$F,'[1]FRV Output'!$BC:$BC)</f>
        <v>13.717363137389206</v>
      </c>
      <c r="N100" s="68"/>
      <c r="O100" s="68"/>
      <c r="R100" s="31"/>
      <c r="T100" s="59"/>
      <c r="U100" s="108"/>
      <c r="V100" s="110"/>
    </row>
    <row r="101" spans="1:22" hidden="1" x14ac:dyDescent="0.25">
      <c r="A101">
        <v>1750317897</v>
      </c>
      <c r="B101" s="36">
        <v>0.59637730690362267</v>
      </c>
      <c r="C101" s="63">
        <f>_xlfn.XLOOKUP($A101,'[1]FRV Output'!$F:$F,'[1]FRV Output'!$M:$M)</f>
        <v>34194</v>
      </c>
      <c r="D101" s="63">
        <f>_xlfn.XLOOKUP($A101,'[1]FRV Output'!$F:$F,'[1]FRV Output'!$N:$N)</f>
        <v>34287.682191780827</v>
      </c>
      <c r="E101" s="31">
        <f>_xlfn.XLOOKUP(A101,'[1]FRV Output'!$F:$F,'[1]FRV Output'!$U:$U)</f>
        <v>27889</v>
      </c>
      <c r="F101" s="31">
        <f>_xlfn.XLOOKUP($A101,'[1]FRV Output'!$F:$F,'[1]FRV Output'!$W:$W)</f>
        <v>140</v>
      </c>
      <c r="G101" s="59">
        <f>_xlfn.XLOOKUP($A101,'[1]FRV Output'!$F:$F,'[1]FRV Output'!$AO:$AO)</f>
        <v>22.150000000000091</v>
      </c>
      <c r="H101" s="63">
        <f t="shared" si="1"/>
        <v>50098.111095564564</v>
      </c>
      <c r="I101" s="59">
        <f>_xlfn.XLOOKUP($A101,'[1]FRV Output'!$F:$F,'[1]FRV Output'!$Z:$Z)</f>
        <v>357.84365068260405</v>
      </c>
      <c r="J101" s="162">
        <v>29.25</v>
      </c>
      <c r="K101" s="164">
        <v>1.175</v>
      </c>
      <c r="L101" s="59">
        <f>_xlfn.XLOOKUP(A101,'[1]Aging Schedule'!$OA:$OA,'[1]Aging Schedule'!$NW:$NW)</f>
        <v>22.150000000000091</v>
      </c>
      <c r="M101" s="59">
        <f>_xlfn.XLOOKUP(A101,'[1]FRV Output'!$F:$F,'[1]FRV Output'!$BC:$BC)</f>
        <v>15.430325816277156</v>
      </c>
      <c r="N101" s="68"/>
      <c r="O101" s="68"/>
      <c r="R101" s="31"/>
      <c r="T101" s="59"/>
      <c r="U101" s="108"/>
      <c r="V101" s="110"/>
    </row>
    <row r="102" spans="1:22" hidden="1" x14ac:dyDescent="0.25">
      <c r="A102">
        <v>1184650541</v>
      </c>
      <c r="B102" s="36">
        <v>0.59378714636659014</v>
      </c>
      <c r="C102" s="63">
        <f>_xlfn.XLOOKUP($A102,'[1]FRV Output'!$F:$F,'[1]FRV Output'!$M:$M)</f>
        <v>38749</v>
      </c>
      <c r="D102" s="63">
        <f>_xlfn.XLOOKUP($A102,'[1]FRV Output'!$F:$F,'[1]FRV Output'!$N:$N)</f>
        <v>38855.161643835621</v>
      </c>
      <c r="E102" s="31">
        <f>_xlfn.XLOOKUP(A102,'[1]FRV Output'!$F:$F,'[1]FRV Output'!$U:$U)</f>
        <v>28697</v>
      </c>
      <c r="F102" s="31">
        <f>_xlfn.XLOOKUP($A102,'[1]FRV Output'!$F:$F,'[1]FRV Output'!$W:$W)</f>
        <v>176</v>
      </c>
      <c r="G102" s="59">
        <f>_xlfn.XLOOKUP($A102,'[1]FRV Output'!$F:$F,'[1]FRV Output'!$AO:$AO)</f>
        <v>28.75</v>
      </c>
      <c r="H102" s="63">
        <f t="shared" si="1"/>
        <v>54671.166349235842</v>
      </c>
      <c r="I102" s="59">
        <f>_xlfn.XLOOKUP($A102,'[1]FRV Output'!$F:$F,'[1]FRV Output'!$Z:$Z)</f>
        <v>310.63162698429454</v>
      </c>
      <c r="J102" s="162">
        <v>29.25</v>
      </c>
      <c r="K102" s="164">
        <v>1.2897000000000001</v>
      </c>
      <c r="L102" s="59">
        <f>_xlfn.XLOOKUP(A102,'[1]Aging Schedule'!$OA:$OA,'[1]Aging Schedule'!$NW:$NW)</f>
        <v>28.75</v>
      </c>
      <c r="M102" s="59">
        <f>_xlfn.XLOOKUP(A102,'[1]FRV Output'!$F:$F,'[1]FRV Output'!$BC:$BC)</f>
        <v>11.483381203464978</v>
      </c>
      <c r="N102" s="68"/>
      <c r="O102" s="68"/>
      <c r="R102" s="31"/>
      <c r="T102" s="59"/>
      <c r="U102" s="108"/>
      <c r="V102" s="110"/>
    </row>
    <row r="103" spans="1:22" hidden="1" x14ac:dyDescent="0.25">
      <c r="A103">
        <v>1700812146</v>
      </c>
      <c r="B103" s="36">
        <v>0.61474969802711044</v>
      </c>
      <c r="C103" s="63">
        <f>_xlfn.XLOOKUP($A103,'[1]FRV Output'!$F:$F,'[1]FRV Output'!$M:$M)</f>
        <v>30872</v>
      </c>
      <c r="D103" s="63">
        <f>_xlfn.XLOOKUP($A103,'[1]FRV Output'!$F:$F,'[1]FRV Output'!$N:$N)</f>
        <v>30956.580821917811</v>
      </c>
      <c r="E103" s="31">
        <f>_xlfn.XLOOKUP(A103,'[1]FRV Output'!$F:$F,'[1]FRV Output'!$U:$U)</f>
        <v>27893</v>
      </c>
      <c r="F103" s="31">
        <f>_xlfn.XLOOKUP($A103,'[1]FRV Output'!$F:$F,'[1]FRV Output'!$W:$W)</f>
        <v>95</v>
      </c>
      <c r="G103" s="59">
        <f>_xlfn.XLOOKUP($A103,'[1]FRV Output'!$F:$F,'[1]FRV Output'!$AO:$AO)</f>
        <v>17.069999999999936</v>
      </c>
      <c r="H103" s="63">
        <f t="shared" si="1"/>
        <v>32672.617388968087</v>
      </c>
      <c r="I103" s="59">
        <f>_xlfn.XLOOKUP($A103,'[1]FRV Output'!$F:$F,'[1]FRV Output'!$Z:$Z)</f>
        <v>343.92228830492724</v>
      </c>
      <c r="J103" s="162">
        <v>29.25</v>
      </c>
      <c r="K103" s="164">
        <v>1.169</v>
      </c>
      <c r="L103" s="59">
        <f>_xlfn.XLOOKUP(A103,'[1]Aging Schedule'!$OA:$OA,'[1]Aging Schedule'!$NW:$NW)</f>
        <v>17.069999999999936</v>
      </c>
      <c r="M103" s="59">
        <f>_xlfn.XLOOKUP(A103,'[1]FRV Output'!$F:$F,'[1]FRV Output'!$BC:$BC)</f>
        <v>17.867070882741672</v>
      </c>
      <c r="N103" s="68"/>
      <c r="O103" s="68"/>
      <c r="R103" s="31"/>
      <c r="T103" s="59"/>
      <c r="U103" s="108"/>
      <c r="V103" s="110"/>
    </row>
    <row r="104" spans="1:22" hidden="1" x14ac:dyDescent="0.25">
      <c r="A104">
        <v>1336612530</v>
      </c>
      <c r="B104" s="36">
        <v>0.58854429013456144</v>
      </c>
      <c r="C104" s="63">
        <f>_xlfn.XLOOKUP($A104,'[1]FRV Output'!$F:$F,'[1]FRV Output'!$M:$M)</f>
        <v>23498</v>
      </c>
      <c r="D104" s="63">
        <f>_xlfn.XLOOKUP($A104,'[1]FRV Output'!$F:$F,'[1]FRV Output'!$N:$N)</f>
        <v>23562.378082191783</v>
      </c>
      <c r="E104" s="31">
        <f>_xlfn.XLOOKUP(A104,'[1]FRV Output'!$F:$F,'[1]FRV Output'!$U:$U)</f>
        <v>27278</v>
      </c>
      <c r="F104" s="31">
        <f>_xlfn.XLOOKUP($A104,'[1]FRV Output'!$F:$F,'[1]FRV Output'!$W:$W)</f>
        <v>80</v>
      </c>
      <c r="G104" s="59">
        <f>_xlfn.XLOOKUP($A104,'[1]FRV Output'!$F:$F,'[1]FRV Output'!$AO:$AO)</f>
        <v>9.9800000000000182</v>
      </c>
      <c r="H104" s="63">
        <f t="shared" si="1"/>
        <v>46711.386554621851</v>
      </c>
      <c r="I104" s="59">
        <f>_xlfn.XLOOKUP($A104,'[1]FRV Output'!$F:$F,'[1]FRV Output'!$Z:$Z)</f>
        <v>583.89233193277312</v>
      </c>
      <c r="J104" s="162">
        <v>29.25</v>
      </c>
      <c r="K104" s="164">
        <v>1.3614999999999999</v>
      </c>
      <c r="L104" s="59">
        <f>_xlfn.XLOOKUP(A104,'[1]Aging Schedule'!$OA:$OA,'[1]Aging Schedule'!$NW:$NW)</f>
        <v>9.9800000000000182</v>
      </c>
      <c r="M104" s="59">
        <f>_xlfn.XLOOKUP(A104,'[1]FRV Output'!$F:$F,'[1]FRV Output'!$BC:$BC)</f>
        <v>31.144352333553673</v>
      </c>
      <c r="N104" s="68"/>
      <c r="O104" s="68"/>
      <c r="R104" s="31"/>
      <c r="T104" s="59"/>
      <c r="U104" s="108"/>
      <c r="V104" s="110"/>
    </row>
    <row r="105" spans="1:22" hidden="1" x14ac:dyDescent="0.25">
      <c r="A105">
        <v>1558029488</v>
      </c>
      <c r="B105" s="36">
        <v>0.68586907449209922</v>
      </c>
      <c r="C105" s="63">
        <f>_xlfn.XLOOKUP($A105,'[1]FRV Output'!$F:$F,'[1]FRV Output'!$M:$M)</f>
        <v>27387</v>
      </c>
      <c r="D105" s="63">
        <f>_xlfn.XLOOKUP($A105,'[1]FRV Output'!$F:$F,'[1]FRV Output'!$N:$N)</f>
        <v>27462.032876712332</v>
      </c>
      <c r="E105" s="31">
        <f>_xlfn.XLOOKUP(A105,'[1]FRV Output'!$F:$F,'[1]FRV Output'!$U:$U)</f>
        <v>28714</v>
      </c>
      <c r="F105" s="31">
        <f>_xlfn.XLOOKUP($A105,'[1]FRV Output'!$F:$F,'[1]FRV Output'!$W:$W)</f>
        <v>140</v>
      </c>
      <c r="G105" s="59">
        <f>_xlfn.XLOOKUP($A105,'[1]FRV Output'!$F:$F,'[1]FRV Output'!$AO:$AO)</f>
        <v>35.5</v>
      </c>
      <c r="H105" s="63">
        <f t="shared" si="1"/>
        <v>45500</v>
      </c>
      <c r="I105" s="59">
        <f>_xlfn.XLOOKUP($A105,'[1]FRV Output'!$F:$F,'[1]FRV Output'!$Z:$Z)</f>
        <v>325</v>
      </c>
      <c r="J105" s="162">
        <v>29.25</v>
      </c>
      <c r="K105" s="164">
        <v>1.2094</v>
      </c>
      <c r="L105" s="59">
        <f>_xlfn.XLOOKUP(A105,'[1]Aging Schedule'!$OA:$OA,'[1]Aging Schedule'!$NW:$NW)</f>
        <v>45.430000000000064</v>
      </c>
      <c r="M105" s="59">
        <f>_xlfn.XLOOKUP(A105,'[1]FRV Output'!$F:$F,'[1]FRV Output'!$BC:$BC)</f>
        <v>8.4499932473811423</v>
      </c>
      <c r="N105" s="68"/>
      <c r="O105" s="68"/>
      <c r="R105" s="31"/>
      <c r="T105" s="59"/>
      <c r="U105" s="108"/>
      <c r="V105" s="110"/>
    </row>
    <row r="106" spans="1:22" hidden="1" x14ac:dyDescent="0.25">
      <c r="A106">
        <v>1952446510</v>
      </c>
      <c r="B106" s="36">
        <v>0.66503623188405792</v>
      </c>
      <c r="C106" s="63">
        <f>_xlfn.XLOOKUP($A106,'[1]FRV Output'!$F:$F,'[1]FRV Output'!$M:$M)</f>
        <v>34915</v>
      </c>
      <c r="D106" s="63">
        <f>_xlfn.XLOOKUP($A106,'[1]FRV Output'!$F:$F,'[1]FRV Output'!$N:$N)</f>
        <v>35010.65753424658</v>
      </c>
      <c r="E106" s="31">
        <f>_xlfn.XLOOKUP(A106,'[1]FRV Output'!$F:$F,'[1]FRV Output'!$U:$U)</f>
        <v>28451</v>
      </c>
      <c r="F106" s="31">
        <f>_xlfn.XLOOKUP($A106,'[1]FRV Output'!$F:$F,'[1]FRV Output'!$W:$W)</f>
        <v>175</v>
      </c>
      <c r="G106" s="59">
        <f>_xlfn.XLOOKUP($A106,'[1]FRV Output'!$F:$F,'[1]FRV Output'!$AO:$AO)</f>
        <v>25</v>
      </c>
      <c r="H106" s="63">
        <f t="shared" si="1"/>
        <v>61250</v>
      </c>
      <c r="I106" s="59">
        <f>_xlfn.XLOOKUP($A106,'[1]FRV Output'!$F:$F,'[1]FRV Output'!$Z:$Z)</f>
        <v>350</v>
      </c>
      <c r="J106" s="162">
        <v>29.25</v>
      </c>
      <c r="K106" s="164">
        <v>1.0299</v>
      </c>
      <c r="L106" s="59">
        <f>_xlfn.XLOOKUP(A106,'[1]Aging Schedule'!$OA:$OA,'[1]Aging Schedule'!$NW:$NW)</f>
        <v>25</v>
      </c>
      <c r="M106" s="59">
        <f>_xlfn.XLOOKUP(A106,'[1]FRV Output'!$F:$F,'[1]FRV Output'!$BC:$BC)</f>
        <v>14.043362580580174</v>
      </c>
      <c r="N106" s="68"/>
      <c r="O106" s="68"/>
      <c r="R106" s="31"/>
      <c r="T106" s="59"/>
      <c r="U106" s="108"/>
      <c r="V106" s="110"/>
    </row>
    <row r="107" spans="1:22" hidden="1" x14ac:dyDescent="0.25">
      <c r="A107">
        <v>1376926519</v>
      </c>
      <c r="B107" s="36">
        <v>0.67284623773173391</v>
      </c>
      <c r="C107" s="63">
        <f>_xlfn.XLOOKUP($A107,'[1]FRV Output'!$F:$F,'[1]FRV Output'!$M:$M)</f>
        <v>40288</v>
      </c>
      <c r="D107" s="63">
        <f>_xlfn.XLOOKUP($A107,'[1]FRV Output'!$F:$F,'[1]FRV Output'!$N:$N)</f>
        <v>40398.378082191783</v>
      </c>
      <c r="E107" s="31">
        <f>_xlfn.XLOOKUP(A107,'[1]FRV Output'!$F:$F,'[1]FRV Output'!$U:$U)</f>
        <v>28630</v>
      </c>
      <c r="F107" s="31">
        <f>_xlfn.XLOOKUP($A107,'[1]FRV Output'!$F:$F,'[1]FRV Output'!$W:$W)</f>
        <v>120</v>
      </c>
      <c r="G107" s="59">
        <f>_xlfn.XLOOKUP($A107,'[1]FRV Output'!$F:$F,'[1]FRV Output'!$AO:$AO)</f>
        <v>12.119999999999891</v>
      </c>
      <c r="H107" s="63">
        <f t="shared" si="1"/>
        <v>49800</v>
      </c>
      <c r="I107" s="59">
        <f>_xlfn.XLOOKUP($A107,'[1]FRV Output'!$F:$F,'[1]FRV Output'!$Z:$Z)</f>
        <v>415</v>
      </c>
      <c r="J107" s="162">
        <v>29.25</v>
      </c>
      <c r="K107" s="164">
        <v>1.4493</v>
      </c>
      <c r="L107" s="59">
        <f>_xlfn.XLOOKUP(A107,'[1]Aging Schedule'!$OA:$OA,'[1]Aging Schedule'!$NW:$NW)</f>
        <v>12.119999999999891</v>
      </c>
      <c r="M107" s="59">
        <f>_xlfn.XLOOKUP(A107,'[1]FRV Output'!$F:$F,'[1]FRV Output'!$BC:$BC)</f>
        <v>19.788359290136018</v>
      </c>
      <c r="N107" s="68"/>
      <c r="O107" s="68"/>
      <c r="R107" s="31"/>
      <c r="T107" s="59"/>
      <c r="U107" s="108"/>
      <c r="V107" s="110"/>
    </row>
    <row r="108" spans="1:22" hidden="1" x14ac:dyDescent="0.25">
      <c r="A108">
        <v>1225654098</v>
      </c>
      <c r="B108" s="36">
        <v>0.58921021478099112</v>
      </c>
      <c r="C108" s="63">
        <f>_xlfn.XLOOKUP($A108,'[1]FRV Output'!$F:$F,'[1]FRV Output'!$M:$M)</f>
        <v>650</v>
      </c>
      <c r="D108" s="63">
        <f>_xlfn.XLOOKUP($A108,'[1]FRV Output'!$F:$F,'[1]FRV Output'!$N:$N)</f>
        <v>650</v>
      </c>
      <c r="E108" s="31">
        <f>_xlfn.XLOOKUP(A108,'[1]FRV Output'!$F:$F,'[1]FRV Output'!$U:$U)</f>
        <v>28304</v>
      </c>
      <c r="F108" s="31">
        <f>_xlfn.XLOOKUP($A108,'[1]FRV Output'!$F:$F,'[1]FRV Output'!$W:$W)</f>
        <v>120</v>
      </c>
      <c r="G108" s="59">
        <f>_xlfn.XLOOKUP($A108,'[1]FRV Output'!$F:$F,'[1]FRV Output'!$AO:$AO)</f>
        <v>12.789999999999964</v>
      </c>
      <c r="H108" s="63">
        <f t="shared" si="1"/>
        <v>41762</v>
      </c>
      <c r="I108" s="59">
        <f>_xlfn.XLOOKUP($A108,'[1]FRV Output'!$F:$F,'[1]FRV Output'!$Z:$Z)</f>
        <v>348.01666666666665</v>
      </c>
      <c r="J108" s="162">
        <v>29.25</v>
      </c>
      <c r="K108" s="164">
        <v>0.88970000000000005</v>
      </c>
      <c r="L108" s="59">
        <f>_xlfn.XLOOKUP(A108,'[1]Aging Schedule'!$OA:$OA,'[1]Aging Schedule'!$NW:$NW)</f>
        <v>12.789999999999964</v>
      </c>
      <c r="M108" s="59">
        <f>_xlfn.XLOOKUP(A108,'[1]FRV Output'!$F:$F,'[1]FRV Output'!$BC:$BC)</f>
        <v>15.426819366236877</v>
      </c>
      <c r="N108" s="68"/>
      <c r="O108" s="68"/>
      <c r="R108" s="31"/>
      <c r="T108" s="59"/>
      <c r="U108" s="108"/>
      <c r="V108" s="110"/>
    </row>
    <row r="109" spans="1:22" hidden="1" x14ac:dyDescent="0.25">
      <c r="A109">
        <v>1235591918</v>
      </c>
      <c r="B109" s="36">
        <v>0.68747446686820823</v>
      </c>
      <c r="C109" s="63">
        <f>_xlfn.XLOOKUP($A109,'[1]FRV Output'!$F:$F,'[1]FRV Output'!$M:$M)</f>
        <v>34931</v>
      </c>
      <c r="D109" s="63">
        <f>_xlfn.XLOOKUP($A109,'[1]FRV Output'!$F:$F,'[1]FRV Output'!$N:$N)</f>
        <v>35026.701369863018</v>
      </c>
      <c r="E109" s="31">
        <f>_xlfn.XLOOKUP(A109,'[1]FRV Output'!$F:$F,'[1]FRV Output'!$U:$U)</f>
        <v>28716</v>
      </c>
      <c r="F109" s="31">
        <f>_xlfn.XLOOKUP($A109,'[1]FRV Output'!$F:$F,'[1]FRV Output'!$W:$W)</f>
        <v>114</v>
      </c>
      <c r="G109" s="59">
        <f>_xlfn.XLOOKUP($A109,'[1]FRV Output'!$F:$F,'[1]FRV Output'!$AO:$AO)</f>
        <v>12.190000000000055</v>
      </c>
      <c r="H109" s="63">
        <f t="shared" si="1"/>
        <v>43995</v>
      </c>
      <c r="I109" s="59">
        <f>_xlfn.XLOOKUP($A109,'[1]FRV Output'!$F:$F,'[1]FRV Output'!$Z:$Z)</f>
        <v>385.92105263157896</v>
      </c>
      <c r="J109" s="162">
        <v>29.25</v>
      </c>
      <c r="K109" s="164">
        <v>1.1634</v>
      </c>
      <c r="L109" s="59">
        <f>_xlfn.XLOOKUP(A109,'[1]Aging Schedule'!$OA:$OA,'[1]Aging Schedule'!$NW:$NW)</f>
        <v>12.190000000000055</v>
      </c>
      <c r="M109" s="59">
        <f>_xlfn.XLOOKUP(A109,'[1]FRV Output'!$F:$F,'[1]FRV Output'!$BC:$BC)</f>
        <v>20.985096027074889</v>
      </c>
      <c r="N109" s="68"/>
      <c r="O109" s="68"/>
      <c r="R109" s="31"/>
      <c r="T109" s="59"/>
      <c r="U109" s="108"/>
      <c r="V109" s="110"/>
    </row>
    <row r="110" spans="1:22" hidden="1" x14ac:dyDescent="0.25">
      <c r="A110">
        <v>1336196526</v>
      </c>
      <c r="B110" s="36">
        <v>0.60694750983590817</v>
      </c>
      <c r="C110" s="63">
        <f>_xlfn.XLOOKUP($A110,'[1]FRV Output'!$F:$F,'[1]FRV Output'!$M:$M)</f>
        <v>18068</v>
      </c>
      <c r="D110" s="63">
        <f>_xlfn.XLOOKUP($A110,'[1]FRV Output'!$F:$F,'[1]FRV Output'!$N:$N)</f>
        <v>18117.501369863017</v>
      </c>
      <c r="E110" s="31">
        <f>_xlfn.XLOOKUP(A110,'[1]FRV Output'!$F:$F,'[1]FRV Output'!$U:$U)</f>
        <v>28092</v>
      </c>
      <c r="F110" s="31">
        <f>_xlfn.XLOOKUP($A110,'[1]FRV Output'!$F:$F,'[1]FRV Output'!$W:$W)</f>
        <v>63</v>
      </c>
      <c r="G110" s="59">
        <f>_xlfn.XLOOKUP($A110,'[1]FRV Output'!$F:$F,'[1]FRV Output'!$AO:$AO)</f>
        <v>24.839999999999918</v>
      </c>
      <c r="H110" s="63">
        <f t="shared" si="1"/>
        <v>25530</v>
      </c>
      <c r="I110" s="59">
        <f>_xlfn.XLOOKUP($A110,'[1]FRV Output'!$F:$F,'[1]FRV Output'!$Z:$Z)</f>
        <v>405.23809523809524</v>
      </c>
      <c r="J110" s="162">
        <v>29.25</v>
      </c>
      <c r="K110" s="164">
        <v>1.0975999999999999</v>
      </c>
      <c r="L110" s="59">
        <f>_xlfn.XLOOKUP(A110,'[1]Aging Schedule'!$OA:$OA,'[1]Aging Schedule'!$NW:$NW)</f>
        <v>24.839999999999918</v>
      </c>
      <c r="M110" s="59">
        <f>_xlfn.XLOOKUP(A110,'[1]FRV Output'!$F:$F,'[1]FRV Output'!$BC:$BC)</f>
        <v>15.688620660016131</v>
      </c>
      <c r="N110" s="68"/>
      <c r="O110" s="68"/>
      <c r="R110" s="31"/>
      <c r="T110" s="59"/>
      <c r="U110" s="108"/>
      <c r="V110" s="110"/>
    </row>
    <row r="111" spans="1:22" hidden="1" x14ac:dyDescent="0.25">
      <c r="A111">
        <v>1295279594</v>
      </c>
      <c r="B111" s="36">
        <v>0.69711473641634081</v>
      </c>
      <c r="C111" s="63">
        <f>_xlfn.XLOOKUP($A111,'[1]FRV Output'!$F:$F,'[1]FRV Output'!$M:$M)</f>
        <v>30970</v>
      </c>
      <c r="D111" s="63">
        <f>_xlfn.XLOOKUP($A111,'[1]FRV Output'!$F:$F,'[1]FRV Output'!$N:$N)</f>
        <v>31054.849315068495</v>
      </c>
      <c r="E111" s="31">
        <f>_xlfn.XLOOKUP(A111,'[1]FRV Output'!$F:$F,'[1]FRV Output'!$U:$U)</f>
        <v>28021</v>
      </c>
      <c r="F111" s="31">
        <f>_xlfn.XLOOKUP($A111,'[1]FRV Output'!$F:$F,'[1]FRV Output'!$W:$W)</f>
        <v>107</v>
      </c>
      <c r="G111" s="59">
        <f>_xlfn.XLOOKUP($A111,'[1]FRV Output'!$F:$F,'[1]FRV Output'!$AO:$AO)</f>
        <v>1.8399999999999181</v>
      </c>
      <c r="H111" s="63">
        <f t="shared" si="1"/>
        <v>53253.53564547206</v>
      </c>
      <c r="I111" s="59">
        <f>_xlfn.XLOOKUP($A111,'[1]FRV Output'!$F:$F,'[1]FRV Output'!$Z:$Z)</f>
        <v>497.69659481749591</v>
      </c>
      <c r="J111" s="162">
        <v>29.25</v>
      </c>
      <c r="K111" s="164">
        <v>1.5174000000000001</v>
      </c>
      <c r="L111" s="59">
        <f>_xlfn.XLOOKUP(A111,'[1]Aging Schedule'!$OA:$OA,'[1]Aging Schedule'!$NW:$NW)</f>
        <v>1.8399999999999181</v>
      </c>
      <c r="M111" s="59">
        <f>_xlfn.XLOOKUP(A111,'[1]FRV Output'!$F:$F,'[1]FRV Output'!$BC:$BC)</f>
        <v>30.880312815756582</v>
      </c>
      <c r="N111" s="68"/>
      <c r="O111" s="68"/>
      <c r="R111" s="31"/>
      <c r="T111" s="59"/>
      <c r="U111" s="108"/>
      <c r="V111" s="110"/>
    </row>
    <row r="112" spans="1:22" hidden="1" x14ac:dyDescent="0.25">
      <c r="A112">
        <v>1326074048</v>
      </c>
      <c r="B112" s="36">
        <v>0.61676164934629574</v>
      </c>
      <c r="C112" s="63">
        <f>_xlfn.XLOOKUP($A112,'[1]FRV Output'!$F:$F,'[1]FRV Output'!$M:$M)</f>
        <v>40321</v>
      </c>
      <c r="D112" s="63">
        <f>_xlfn.XLOOKUP($A112,'[1]FRV Output'!$F:$F,'[1]FRV Output'!$N:$N)</f>
        <v>40431.468493150685</v>
      </c>
      <c r="E112" s="31">
        <f>_xlfn.XLOOKUP(A112,'[1]FRV Output'!$F:$F,'[1]FRV Output'!$U:$U)</f>
        <v>27406</v>
      </c>
      <c r="F112" s="31">
        <f>_xlfn.XLOOKUP($A112,'[1]FRV Output'!$F:$F,'[1]FRV Output'!$W:$W)</f>
        <v>210</v>
      </c>
      <c r="G112" s="59">
        <f>_xlfn.XLOOKUP($A112,'[1]FRV Output'!$F:$F,'[1]FRV Output'!$AO:$AO)</f>
        <v>18.369999999999891</v>
      </c>
      <c r="H112" s="63">
        <f t="shared" si="1"/>
        <v>64956.805985689876</v>
      </c>
      <c r="I112" s="59">
        <f>_xlfn.XLOOKUP($A112,'[1]FRV Output'!$F:$F,'[1]FRV Output'!$Z:$Z)</f>
        <v>309.31812374138036</v>
      </c>
      <c r="J112" s="162">
        <v>29.25</v>
      </c>
      <c r="K112" s="164">
        <v>1.2537</v>
      </c>
      <c r="L112" s="59">
        <f>_xlfn.XLOOKUP(A112,'[1]Aging Schedule'!$OA:$OA,'[1]Aging Schedule'!$NW:$NW)</f>
        <v>18.369999999999891</v>
      </c>
      <c r="M112" s="59">
        <f>_xlfn.XLOOKUP(A112,'[1]FRV Output'!$F:$F,'[1]FRV Output'!$BC:$BC)</f>
        <v>17.730707677034662</v>
      </c>
      <c r="N112" s="68"/>
      <c r="O112" s="68"/>
      <c r="R112" s="31"/>
      <c r="T112" s="59"/>
      <c r="U112" s="108"/>
      <c r="V112" s="110"/>
    </row>
    <row r="113" spans="1:22" hidden="1" x14ac:dyDescent="0.25">
      <c r="A113">
        <v>1114501459</v>
      </c>
      <c r="B113" s="36">
        <v>0.67658659017569023</v>
      </c>
      <c r="C113" s="63">
        <f>_xlfn.XLOOKUP($A113,'[1]FRV Output'!$F:$F,'[1]FRV Output'!$M:$M)</f>
        <v>45085.886214442013</v>
      </c>
      <c r="D113" s="63">
        <f>_xlfn.XLOOKUP($A113,'[1]FRV Output'!$F:$F,'[1]FRV Output'!$N:$N)</f>
        <v>36108.171454017014</v>
      </c>
      <c r="E113" s="31">
        <f>_xlfn.XLOOKUP(A113,'[1]FRV Output'!$F:$F,'[1]FRV Output'!$U:$U)</f>
        <v>28306</v>
      </c>
      <c r="F113" s="31">
        <f>_xlfn.XLOOKUP($A113,'[1]FRV Output'!$F:$F,'[1]FRV Output'!$W:$W)</f>
        <v>136</v>
      </c>
      <c r="G113" s="59">
        <f>_xlfn.XLOOKUP($A113,'[1]FRV Output'!$F:$F,'[1]FRV Output'!$AO:$AO)</f>
        <v>4.4800000000000182</v>
      </c>
      <c r="H113" s="63">
        <f t="shared" si="1"/>
        <v>55408</v>
      </c>
      <c r="I113" s="59">
        <f>_xlfn.XLOOKUP($A113,'[1]FRV Output'!$F:$F,'[1]FRV Output'!$Z:$Z)</f>
        <v>407.41176470588238</v>
      </c>
      <c r="J113" s="162">
        <v>29.25</v>
      </c>
      <c r="K113" s="164">
        <v>1.3691</v>
      </c>
      <c r="L113" s="59">
        <f>_xlfn.XLOOKUP(A113,'[1]Aging Schedule'!$OA:$OA,'[1]Aging Schedule'!$NW:$NW)</f>
        <v>4.4800000000000182</v>
      </c>
      <c r="M113" s="59">
        <f>_xlfn.XLOOKUP(A113,'[1]FRV Output'!$F:$F,'[1]FRV Output'!$BC:$BC)</f>
        <v>26.161848569782478</v>
      </c>
      <c r="N113" s="68"/>
      <c r="O113" s="68"/>
      <c r="R113" s="31"/>
      <c r="T113" s="59"/>
      <c r="U113" s="108"/>
      <c r="V113" s="110"/>
    </row>
    <row r="114" spans="1:22" hidden="1" x14ac:dyDescent="0.25">
      <c r="A114">
        <v>1255385720</v>
      </c>
      <c r="B114" s="36">
        <v>0.65685470646113475</v>
      </c>
      <c r="C114" s="63">
        <f>_xlfn.XLOOKUP($A114,'[1]FRV Output'!$F:$F,'[1]FRV Output'!$M:$M)</f>
        <v>28200</v>
      </c>
      <c r="D114" s="63">
        <f>_xlfn.XLOOKUP($A114,'[1]FRV Output'!$F:$F,'[1]FRV Output'!$N:$N)</f>
        <v>28277.260273972606</v>
      </c>
      <c r="E114" s="31">
        <f>_xlfn.XLOOKUP(A114,'[1]FRV Output'!$F:$F,'[1]FRV Output'!$U:$U)</f>
        <v>27610</v>
      </c>
      <c r="F114" s="31">
        <f>_xlfn.XLOOKUP($A114,'[1]FRV Output'!$F:$F,'[1]FRV Output'!$W:$W)</f>
        <v>125</v>
      </c>
      <c r="G114" s="59">
        <f>_xlfn.XLOOKUP($A114,'[1]FRV Output'!$F:$F,'[1]FRV Output'!$AO:$AO)</f>
        <v>18.599999999999909</v>
      </c>
      <c r="H114" s="63">
        <f t="shared" si="1"/>
        <v>34321</v>
      </c>
      <c r="I114" s="59">
        <f>_xlfn.XLOOKUP($A114,'[1]FRV Output'!$F:$F,'[1]FRV Output'!$Z:$Z)</f>
        <v>274.56799999999998</v>
      </c>
      <c r="J114" s="162">
        <v>29.25</v>
      </c>
      <c r="K114" s="164">
        <v>1.1728000000000001</v>
      </c>
      <c r="L114" s="59">
        <f>_xlfn.XLOOKUP(A114,'[1]Aging Schedule'!$OA:$OA,'[1]Aging Schedule'!$NW:$NW)</f>
        <v>18.599999999999909</v>
      </c>
      <c r="M114" s="59">
        <f>_xlfn.XLOOKUP(A114,'[1]FRV Output'!$F:$F,'[1]FRV Output'!$BC:$BC)</f>
        <v>18.45374117647059</v>
      </c>
      <c r="N114" s="68"/>
      <c r="O114" s="68"/>
      <c r="R114" s="31"/>
      <c r="T114" s="59"/>
      <c r="U114" s="108"/>
      <c r="V114" s="110"/>
    </row>
    <row r="115" spans="1:22" hidden="1" x14ac:dyDescent="0.25">
      <c r="A115">
        <v>1144804485</v>
      </c>
      <c r="B115" s="36">
        <v>0.63642384105960259</v>
      </c>
      <c r="C115" s="63">
        <f>_xlfn.XLOOKUP($A115,'[1]FRV Output'!$F:$F,'[1]FRV Output'!$M:$M)</f>
        <v>29489.923413566743</v>
      </c>
      <c r="D115" s="63">
        <f>_xlfn.XLOOKUP($A115,'[1]FRV Output'!$F:$F,'[1]FRV Output'!$N:$N)</f>
        <v>23617.750480011877</v>
      </c>
      <c r="E115" s="31">
        <f>_xlfn.XLOOKUP(A115,'[1]FRV Output'!$F:$F,'[1]FRV Output'!$U:$U)</f>
        <v>28612</v>
      </c>
      <c r="F115" s="31">
        <f>_xlfn.XLOOKUP($A115,'[1]FRV Output'!$F:$F,'[1]FRV Output'!$W:$W)</f>
        <v>90</v>
      </c>
      <c r="G115" s="59">
        <f>_xlfn.XLOOKUP($A115,'[1]FRV Output'!$F:$F,'[1]FRV Output'!$AO:$AO)</f>
        <v>3.3599999999999</v>
      </c>
      <c r="H115" s="63">
        <f t="shared" si="1"/>
        <v>36125</v>
      </c>
      <c r="I115" s="59">
        <f>_xlfn.XLOOKUP($A115,'[1]FRV Output'!$F:$F,'[1]FRV Output'!$Z:$Z)</f>
        <v>401.38888888888891</v>
      </c>
      <c r="J115" s="162">
        <v>29.25</v>
      </c>
      <c r="K115" s="164">
        <v>1.3279000000000001</v>
      </c>
      <c r="L115" s="59">
        <f>_xlfn.XLOOKUP(A115,'[1]Aging Schedule'!$OA:$OA,'[1]Aging Schedule'!$NW:$NW)</f>
        <v>3.3599999999999</v>
      </c>
      <c r="M115" s="59">
        <f>_xlfn.XLOOKUP(A115,'[1]FRV Output'!$F:$F,'[1]FRV Output'!$BC:$BC)</f>
        <v>26.425718563658336</v>
      </c>
      <c r="N115" s="68"/>
      <c r="O115" s="68"/>
      <c r="R115" s="31"/>
      <c r="T115" s="59"/>
      <c r="U115" s="108"/>
      <c r="V115" s="110"/>
    </row>
    <row r="116" spans="1:22" hidden="1" x14ac:dyDescent="0.25">
      <c r="A116">
        <v>1336863273</v>
      </c>
      <c r="B116" s="36">
        <v>0.69029285533956075</v>
      </c>
      <c r="C116" s="63">
        <f>_xlfn.XLOOKUP($A116,'[1]FRV Output'!$F:$F,'[1]FRV Output'!$M:$M)</f>
        <v>41816</v>
      </c>
      <c r="D116" s="63">
        <f>_xlfn.XLOOKUP($A116,'[1]FRV Output'!$F:$F,'[1]FRV Output'!$N:$N)</f>
        <v>41930.56438356165</v>
      </c>
      <c r="E116" s="31">
        <f>_xlfn.XLOOKUP(A116,'[1]FRV Output'!$F:$F,'[1]FRV Output'!$U:$U)</f>
        <v>28105</v>
      </c>
      <c r="F116" s="31">
        <f>_xlfn.XLOOKUP($A116,'[1]FRV Output'!$F:$F,'[1]FRV Output'!$W:$W)</f>
        <v>166</v>
      </c>
      <c r="G116" s="59">
        <f>_xlfn.XLOOKUP($A116,'[1]FRV Output'!$F:$F,'[1]FRV Output'!$AO:$AO)</f>
        <v>23.8599999999999</v>
      </c>
      <c r="H116" s="63">
        <f t="shared" si="1"/>
        <v>58418.818620241473</v>
      </c>
      <c r="I116" s="59">
        <f>_xlfn.XLOOKUP($A116,'[1]FRV Output'!$F:$F,'[1]FRV Output'!$Z:$Z)</f>
        <v>351.92059409784019</v>
      </c>
      <c r="J116" s="162">
        <v>29.25</v>
      </c>
      <c r="K116" s="164">
        <v>1.3514999999999999</v>
      </c>
      <c r="L116" s="59">
        <f>_xlfn.XLOOKUP(A116,'[1]Aging Schedule'!$OA:$OA,'[1]Aging Schedule'!$NW:$NW)</f>
        <v>23.8599999999999</v>
      </c>
      <c r="M116" s="59">
        <f>_xlfn.XLOOKUP(A116,'[1]FRV Output'!$F:$F,'[1]FRV Output'!$BC:$BC)</f>
        <v>15.063922800362656</v>
      </c>
      <c r="N116" s="68"/>
      <c r="O116" s="68"/>
      <c r="R116" s="31"/>
      <c r="T116" s="59"/>
      <c r="U116" s="108"/>
      <c r="V116" s="110"/>
    </row>
    <row r="117" spans="1:22" hidden="1" x14ac:dyDescent="0.25">
      <c r="A117">
        <v>1669821336</v>
      </c>
      <c r="B117" s="36">
        <v>0.68466885646627451</v>
      </c>
      <c r="C117" s="63">
        <f>_xlfn.XLOOKUP($A117,'[1]FRV Output'!$F:$F,'[1]FRV Output'!$M:$M)</f>
        <v>62597</v>
      </c>
      <c r="D117" s="63">
        <f>_xlfn.XLOOKUP($A117,'[1]FRV Output'!$F:$F,'[1]FRV Output'!$N:$N)</f>
        <v>62768.498630136994</v>
      </c>
      <c r="E117" s="31">
        <f>_xlfn.XLOOKUP(A117,'[1]FRV Output'!$F:$F,'[1]FRV Output'!$U:$U)</f>
        <v>27704</v>
      </c>
      <c r="F117" s="31">
        <f>_xlfn.XLOOKUP($A117,'[1]FRV Output'!$F:$F,'[1]FRV Output'!$W:$W)</f>
        <v>232</v>
      </c>
      <c r="G117" s="59">
        <f>_xlfn.XLOOKUP($A117,'[1]FRV Output'!$F:$F,'[1]FRV Output'!$AO:$AO)</f>
        <v>21.039999999999964</v>
      </c>
      <c r="H117" s="63">
        <f t="shared" si="1"/>
        <v>87000</v>
      </c>
      <c r="I117" s="59">
        <f>_xlfn.XLOOKUP($A117,'[1]FRV Output'!$F:$F,'[1]FRV Output'!$Z:$Z)</f>
        <v>375</v>
      </c>
      <c r="J117" s="162">
        <v>9.4499999999999993</v>
      </c>
      <c r="K117" s="164">
        <v>1.3173999999999999</v>
      </c>
      <c r="L117" s="59">
        <f>_xlfn.XLOOKUP(A117,'[1]Aging Schedule'!$OA:$OA,'[1]Aging Schedule'!$NW:$NW)</f>
        <v>21.039999999999964</v>
      </c>
      <c r="M117" s="59">
        <f>_xlfn.XLOOKUP(A117,'[1]FRV Output'!$F:$F,'[1]FRV Output'!$BC:$BC)</f>
        <v>13.048343608380316</v>
      </c>
      <c r="N117" s="68"/>
      <c r="O117" s="68"/>
      <c r="R117" s="31"/>
      <c r="T117" s="59"/>
      <c r="U117" s="108"/>
      <c r="V117" s="110"/>
    </row>
    <row r="118" spans="1:22" hidden="1" x14ac:dyDescent="0.25">
      <c r="A118">
        <v>1083661193</v>
      </c>
      <c r="B118" s="36">
        <v>0.68692547291650841</v>
      </c>
      <c r="C118" s="63">
        <f>_xlfn.XLOOKUP($A118,'[1]FRV Output'!$F:$F,'[1]FRV Output'!$M:$M)</f>
        <v>36085</v>
      </c>
      <c r="D118" s="63">
        <f>_xlfn.XLOOKUP($A118,'[1]FRV Output'!$F:$F,'[1]FRV Output'!$N:$N)</f>
        <v>36183.863013698632</v>
      </c>
      <c r="E118" s="31">
        <f>_xlfn.XLOOKUP(A118,'[1]FRV Output'!$F:$F,'[1]FRV Output'!$U:$U)</f>
        <v>27511</v>
      </c>
      <c r="F118" s="31">
        <f>_xlfn.XLOOKUP($A118,'[1]FRV Output'!$F:$F,'[1]FRV Output'!$W:$W)</f>
        <v>120</v>
      </c>
      <c r="G118" s="59">
        <f>_xlfn.XLOOKUP($A118,'[1]FRV Output'!$F:$F,'[1]FRV Output'!$AO:$AO)</f>
        <v>18.5</v>
      </c>
      <c r="H118" s="63">
        <f t="shared" si="1"/>
        <v>47592</v>
      </c>
      <c r="I118" s="59">
        <f>_xlfn.XLOOKUP($A118,'[1]FRV Output'!$F:$F,'[1]FRV Output'!$Z:$Z)</f>
        <v>396.6</v>
      </c>
      <c r="J118" s="162">
        <v>29.25</v>
      </c>
      <c r="K118" s="164">
        <v>1.1063000000000001</v>
      </c>
      <c r="L118" s="59">
        <f>_xlfn.XLOOKUP(A118,'[1]Aging Schedule'!$OA:$OA,'[1]Aging Schedule'!$NW:$NW)</f>
        <v>18.5</v>
      </c>
      <c r="M118" s="59">
        <f>_xlfn.XLOOKUP(A118,'[1]FRV Output'!$F:$F,'[1]FRV Output'!$BC:$BC)</f>
        <v>18.331670585656727</v>
      </c>
      <c r="N118" s="68"/>
      <c r="O118" s="68"/>
      <c r="R118" s="31"/>
      <c r="T118" s="59"/>
      <c r="U118" s="108"/>
      <c r="V118" s="110"/>
    </row>
    <row r="119" spans="1:22" hidden="1" x14ac:dyDescent="0.25">
      <c r="A119">
        <v>1336118298</v>
      </c>
      <c r="B119" s="36">
        <v>0.64196648399650547</v>
      </c>
      <c r="C119" s="63">
        <f>_xlfn.XLOOKUP($A119,'[1]FRV Output'!$F:$F,'[1]FRV Output'!$M:$M)</f>
        <v>26420</v>
      </c>
      <c r="D119" s="63">
        <f>_xlfn.XLOOKUP($A119,'[1]FRV Output'!$F:$F,'[1]FRV Output'!$N:$N)</f>
        <v>26492.383561643837</v>
      </c>
      <c r="E119" s="31">
        <f>_xlfn.XLOOKUP(A119,'[1]FRV Output'!$F:$F,'[1]FRV Output'!$U:$U)</f>
        <v>27030</v>
      </c>
      <c r="F119" s="31">
        <f>_xlfn.XLOOKUP($A119,'[1]FRV Output'!$F:$F,'[1]FRV Output'!$W:$W)</f>
        <v>120</v>
      </c>
      <c r="G119" s="59">
        <f>_xlfn.XLOOKUP($A119,'[1]FRV Output'!$F:$F,'[1]FRV Output'!$AO:$AO)</f>
        <v>27.400000000000091</v>
      </c>
      <c r="H119" s="63">
        <f t="shared" si="1"/>
        <v>39357</v>
      </c>
      <c r="I119" s="59">
        <f>_xlfn.XLOOKUP($A119,'[1]FRV Output'!$F:$F,'[1]FRV Output'!$Z:$Z)</f>
        <v>327.97500000000002</v>
      </c>
      <c r="J119" s="162">
        <v>29.25</v>
      </c>
      <c r="K119" s="164">
        <v>1.4236</v>
      </c>
      <c r="L119" s="59">
        <f>_xlfn.XLOOKUP(A119,'[1]Aging Schedule'!$OA:$OA,'[1]Aging Schedule'!$NW:$NW)</f>
        <v>27.400000000000091</v>
      </c>
      <c r="M119" s="59">
        <f>_xlfn.XLOOKUP(A119,'[1]FRV Output'!$F:$F,'[1]FRV Output'!$BC:$BC)</f>
        <v>12.435987199677712</v>
      </c>
      <c r="N119" s="68"/>
      <c r="O119" s="68"/>
      <c r="R119" s="31"/>
      <c r="T119" s="59"/>
      <c r="U119" s="108"/>
      <c r="V119" s="110"/>
    </row>
    <row r="120" spans="1:22" hidden="1" x14ac:dyDescent="0.25">
      <c r="A120">
        <v>1609976901</v>
      </c>
      <c r="B120" s="36">
        <v>0.54748467746829299</v>
      </c>
      <c r="C120" s="63">
        <f>_xlfn.XLOOKUP($A120,'[1]FRV Output'!$F:$F,'[1]FRV Output'!$M:$M)</f>
        <v>21758</v>
      </c>
      <c r="D120" s="63">
        <f>_xlfn.XLOOKUP($A120,'[1]FRV Output'!$F:$F,'[1]FRV Output'!$N:$N)</f>
        <v>21817.610958904112</v>
      </c>
      <c r="E120" s="31">
        <f>_xlfn.XLOOKUP(A120,'[1]FRV Output'!$F:$F,'[1]FRV Output'!$U:$U)</f>
        <v>28021</v>
      </c>
      <c r="F120" s="31">
        <f>_xlfn.XLOOKUP($A120,'[1]FRV Output'!$F:$F,'[1]FRV Output'!$W:$W)</f>
        <v>54</v>
      </c>
      <c r="G120" s="59">
        <f>_xlfn.XLOOKUP($A120,'[1]FRV Output'!$F:$F,'[1]FRV Output'!$AO:$AO)</f>
        <v>8.4000000000000909</v>
      </c>
      <c r="H120" s="63">
        <f t="shared" si="1"/>
        <v>31499.509494745678</v>
      </c>
      <c r="I120" s="59">
        <f>_xlfn.XLOOKUP($A120,'[1]FRV Output'!$F:$F,'[1]FRV Output'!$Z:$Z)</f>
        <v>583.32424990269772</v>
      </c>
      <c r="J120" s="162">
        <v>29.25</v>
      </c>
      <c r="K120" s="164">
        <v>1.3126</v>
      </c>
      <c r="L120" s="59">
        <f>_xlfn.XLOOKUP(A120,'[1]Aging Schedule'!$OA:$OA,'[1]Aging Schedule'!$NW:$NW)</f>
        <v>8.4000000000000909</v>
      </c>
      <c r="M120" s="59">
        <f>_xlfn.XLOOKUP(A120,'[1]FRV Output'!$F:$F,'[1]FRV Output'!$BC:$BC)</f>
        <v>25.392048543647469</v>
      </c>
      <c r="N120" s="68"/>
      <c r="O120" s="68"/>
      <c r="R120" s="31"/>
      <c r="T120" s="59"/>
      <c r="U120" s="108"/>
      <c r="V120" s="110"/>
    </row>
    <row r="121" spans="1:22" hidden="1" x14ac:dyDescent="0.25">
      <c r="A121">
        <v>1104800069</v>
      </c>
      <c r="B121" s="36">
        <v>0.68403778418187644</v>
      </c>
      <c r="C121" s="63">
        <f>_xlfn.XLOOKUP($A121,'[1]FRV Output'!$F:$F,'[1]FRV Output'!$M:$M)</f>
        <v>29205</v>
      </c>
      <c r="D121" s="63">
        <f>_xlfn.XLOOKUP($A121,'[1]FRV Output'!$F:$F,'[1]FRV Output'!$N:$N)</f>
        <v>29285.01369863014</v>
      </c>
      <c r="E121" s="31">
        <f>_xlfn.XLOOKUP(A121,'[1]FRV Output'!$F:$F,'[1]FRV Output'!$U:$U)</f>
        <v>28301</v>
      </c>
      <c r="F121" s="31">
        <f>_xlfn.XLOOKUP($A121,'[1]FRV Output'!$F:$F,'[1]FRV Output'!$W:$W)</f>
        <v>98</v>
      </c>
      <c r="G121" s="59">
        <f>_xlfn.XLOOKUP($A121,'[1]FRV Output'!$F:$F,'[1]FRV Output'!$AO:$AO)</f>
        <v>11.009999999999991</v>
      </c>
      <c r="H121" s="63">
        <f t="shared" si="1"/>
        <v>54657.355660720787</v>
      </c>
      <c r="I121" s="59">
        <f>_xlfn.XLOOKUP($A121,'[1]FRV Output'!$F:$F,'[1]FRV Output'!$Z:$Z)</f>
        <v>557.72811898694681</v>
      </c>
      <c r="J121" s="162">
        <v>29.25</v>
      </c>
      <c r="K121" s="164">
        <v>1.2809999999999999</v>
      </c>
      <c r="L121" s="59">
        <f>_xlfn.XLOOKUP(A121,'[1]Aging Schedule'!$OA:$OA,'[1]Aging Schedule'!$NW:$NW)</f>
        <v>11.009999999999991</v>
      </c>
      <c r="M121" s="59">
        <f>_xlfn.XLOOKUP(A121,'[1]FRV Output'!$F:$F,'[1]FRV Output'!$BC:$BC)</f>
        <v>30.406482612746913</v>
      </c>
      <c r="N121" s="68"/>
      <c r="O121" s="68"/>
      <c r="R121" s="31"/>
      <c r="T121" s="59"/>
      <c r="U121" s="108"/>
      <c r="V121" s="110"/>
    </row>
    <row r="122" spans="1:22" hidden="1" x14ac:dyDescent="0.25">
      <c r="A122">
        <v>1235239567</v>
      </c>
      <c r="B122" s="36">
        <v>0.62232797628335146</v>
      </c>
      <c r="C122" s="63">
        <f>_xlfn.XLOOKUP($A122,'[1]FRV Output'!$F:$F,'[1]FRV Output'!$M:$M)</f>
        <v>31014</v>
      </c>
      <c r="D122" s="63">
        <f>_xlfn.XLOOKUP($A122,'[1]FRV Output'!$F:$F,'[1]FRV Output'!$N:$N)</f>
        <v>31098.969863013703</v>
      </c>
      <c r="E122" s="31">
        <f>_xlfn.XLOOKUP(A122,'[1]FRV Output'!$F:$F,'[1]FRV Output'!$U:$U)</f>
        <v>28054</v>
      </c>
      <c r="F122" s="31">
        <f>_xlfn.XLOOKUP($A122,'[1]FRV Output'!$F:$F,'[1]FRV Output'!$W:$W)</f>
        <v>120</v>
      </c>
      <c r="G122" s="59">
        <f>_xlfn.XLOOKUP($A122,'[1]FRV Output'!$F:$F,'[1]FRV Output'!$AO:$AO)</f>
        <v>35.5</v>
      </c>
      <c r="H122" s="63">
        <f t="shared" si="1"/>
        <v>37273.846153846156</v>
      </c>
      <c r="I122" s="59">
        <f>_xlfn.XLOOKUP($A122,'[1]FRV Output'!$F:$F,'[1]FRV Output'!$Z:$Z)</f>
        <v>310.61538461538464</v>
      </c>
      <c r="J122" s="162">
        <v>29.25</v>
      </c>
      <c r="K122" s="164">
        <v>1.3327</v>
      </c>
      <c r="L122" s="59">
        <f>_xlfn.XLOOKUP(A122,'[1]Aging Schedule'!$OA:$OA,'[1]Aging Schedule'!$NW:$NW)</f>
        <v>42.519999999999982</v>
      </c>
      <c r="M122" s="59">
        <f>_xlfn.XLOOKUP(A122,'[1]FRV Output'!$F:$F,'[1]FRV Output'!$BC:$BC)</f>
        <v>8.6351250846091858</v>
      </c>
      <c r="N122" s="68"/>
      <c r="O122" s="68"/>
      <c r="R122" s="31"/>
      <c r="T122" s="59"/>
      <c r="U122" s="108"/>
      <c r="V122" s="110"/>
    </row>
    <row r="123" spans="1:22" hidden="1" x14ac:dyDescent="0.25">
      <c r="A123">
        <v>1316921190</v>
      </c>
      <c r="B123" s="36">
        <v>0.59326719791836069</v>
      </c>
      <c r="C123" s="63">
        <f>_xlfn.XLOOKUP($A123,'[1]FRV Output'!$F:$F,'[1]FRV Output'!$M:$M)</f>
        <v>34033</v>
      </c>
      <c r="D123" s="63">
        <f>_xlfn.XLOOKUP($A123,'[1]FRV Output'!$F:$F,'[1]FRV Output'!$N:$N)</f>
        <v>34126.241095890415</v>
      </c>
      <c r="E123" s="31">
        <f>_xlfn.XLOOKUP(A123,'[1]FRV Output'!$F:$F,'[1]FRV Output'!$U:$U)</f>
        <v>28352</v>
      </c>
      <c r="F123" s="31">
        <f>_xlfn.XLOOKUP($A123,'[1]FRV Output'!$F:$F,'[1]FRV Output'!$W:$W)</f>
        <v>149</v>
      </c>
      <c r="G123" s="59">
        <f>_xlfn.XLOOKUP($A123,'[1]FRV Output'!$F:$F,'[1]FRV Output'!$AO:$AO)</f>
        <v>10.089999999999918</v>
      </c>
      <c r="H123" s="63">
        <f t="shared" si="1"/>
        <v>80005</v>
      </c>
      <c r="I123" s="59">
        <f>_xlfn.XLOOKUP($A123,'[1]FRV Output'!$F:$F,'[1]FRV Output'!$Z:$Z)</f>
        <v>536.94630872483219</v>
      </c>
      <c r="J123" s="162">
        <v>29.25</v>
      </c>
      <c r="K123" s="164">
        <v>1.2884</v>
      </c>
      <c r="L123" s="59">
        <f>_xlfn.XLOOKUP(A123,'[1]Aging Schedule'!$OA:$OA,'[1]Aging Schedule'!$NW:$NW)</f>
        <v>10.089999999999918</v>
      </c>
      <c r="M123" s="59">
        <f>_xlfn.XLOOKUP(A123,'[1]FRV Output'!$F:$F,'[1]FRV Output'!$BC:$BC)</f>
        <v>29.314882378132957</v>
      </c>
      <c r="N123" s="68"/>
      <c r="O123" s="68"/>
      <c r="R123" s="31"/>
      <c r="T123" s="59"/>
      <c r="U123" s="108"/>
      <c r="V123" s="110"/>
    </row>
    <row r="124" spans="1:22" hidden="1" x14ac:dyDescent="0.25">
      <c r="A124">
        <v>1194825448</v>
      </c>
      <c r="B124" s="36">
        <v>0.61028486866444687</v>
      </c>
      <c r="C124" s="63">
        <f>_xlfn.XLOOKUP($A124,'[1]FRV Output'!$F:$F,'[1]FRV Output'!$M:$M)</f>
        <v>25113</v>
      </c>
      <c r="D124" s="63">
        <f>_xlfn.XLOOKUP($A124,'[1]FRV Output'!$F:$F,'[1]FRV Output'!$N:$N)</f>
        <v>25181.80273972603</v>
      </c>
      <c r="E124" s="31">
        <f>_xlfn.XLOOKUP(A124,'[1]FRV Output'!$F:$F,'[1]FRV Output'!$U:$U)</f>
        <v>28150</v>
      </c>
      <c r="F124" s="31">
        <f>_xlfn.XLOOKUP($A124,'[1]FRV Output'!$F:$F,'[1]FRV Output'!$W:$W)</f>
        <v>100</v>
      </c>
      <c r="G124" s="59">
        <f>_xlfn.XLOOKUP($A124,'[1]FRV Output'!$F:$F,'[1]FRV Output'!$AO:$AO)</f>
        <v>35.5</v>
      </c>
      <c r="H124" s="63">
        <f t="shared" si="1"/>
        <v>28983.999999999996</v>
      </c>
      <c r="I124" s="59">
        <f>_xlfn.XLOOKUP($A124,'[1]FRV Output'!$F:$F,'[1]FRV Output'!$Z:$Z)</f>
        <v>289.83999999999997</v>
      </c>
      <c r="J124" s="162">
        <v>29.25</v>
      </c>
      <c r="K124" s="164">
        <v>1.3756999999999999</v>
      </c>
      <c r="L124" s="59">
        <f>_xlfn.XLOOKUP(A124,'[1]Aging Schedule'!$OA:$OA,'[1]Aging Schedule'!$NW:$NW)</f>
        <v>39.079999999999927</v>
      </c>
      <c r="M124" s="59">
        <f>_xlfn.XLOOKUP(A124,'[1]FRV Output'!$F:$F,'[1]FRV Output'!$BC:$BC)</f>
        <v>8.7276910032232085</v>
      </c>
      <c r="N124" s="68"/>
      <c r="O124" s="68"/>
      <c r="R124" s="31"/>
      <c r="T124" s="59"/>
      <c r="U124" s="108"/>
      <c r="V124" s="110"/>
    </row>
    <row r="125" spans="1:22" hidden="1" x14ac:dyDescent="0.25">
      <c r="A125">
        <v>1851375703</v>
      </c>
      <c r="B125" s="36">
        <v>0.58580258134884566</v>
      </c>
      <c r="C125" s="63">
        <f>_xlfn.XLOOKUP($A125,'[1]FRV Output'!$F:$F,'[1]FRV Output'!$M:$M)</f>
        <v>29100</v>
      </c>
      <c r="D125" s="63">
        <f>_xlfn.XLOOKUP($A125,'[1]FRV Output'!$F:$F,'[1]FRV Output'!$N:$N)</f>
        <v>29179.726027397264</v>
      </c>
      <c r="E125" s="31">
        <f>_xlfn.XLOOKUP(A125,'[1]FRV Output'!$F:$F,'[1]FRV Output'!$U:$U)</f>
        <v>28557</v>
      </c>
      <c r="F125" s="31">
        <f>_xlfn.XLOOKUP($A125,'[1]FRV Output'!$F:$F,'[1]FRV Output'!$W:$W)</f>
        <v>92</v>
      </c>
      <c r="G125" s="59">
        <f>_xlfn.XLOOKUP($A125,'[1]FRV Output'!$F:$F,'[1]FRV Output'!$AO:$AO)</f>
        <v>14.1099999999999</v>
      </c>
      <c r="H125" s="63">
        <f t="shared" si="1"/>
        <v>54220</v>
      </c>
      <c r="I125" s="59">
        <f>_xlfn.XLOOKUP($A125,'[1]FRV Output'!$F:$F,'[1]FRV Output'!$Z:$Z)</f>
        <v>589.3478260869565</v>
      </c>
      <c r="J125" s="162">
        <v>29.25</v>
      </c>
      <c r="K125" s="164">
        <v>1.3343</v>
      </c>
      <c r="L125" s="59">
        <f>_xlfn.XLOOKUP(A125,'[1]Aging Schedule'!$OA:$OA,'[1]Aging Schedule'!$NW:$NW)</f>
        <v>14.1099999999999</v>
      </c>
      <c r="M125" s="59">
        <f>_xlfn.XLOOKUP(A125,'[1]FRV Output'!$F:$F,'[1]FRV Output'!$BC:$BC)</f>
        <v>27.999758956848467</v>
      </c>
      <c r="N125" s="68"/>
      <c r="O125" s="68"/>
      <c r="R125" s="31"/>
      <c r="T125" s="59"/>
      <c r="U125" s="108"/>
      <c r="V125" s="110"/>
    </row>
    <row r="126" spans="1:22" hidden="1" x14ac:dyDescent="0.25">
      <c r="A126">
        <v>1316351034</v>
      </c>
      <c r="B126" s="36">
        <v>0.50372849509717577</v>
      </c>
      <c r="C126" s="63">
        <f>_xlfn.XLOOKUP($A126,'[1]FRV Output'!$F:$F,'[1]FRV Output'!$M:$M)</f>
        <v>29820</v>
      </c>
      <c r="D126" s="63">
        <f>_xlfn.XLOOKUP($A126,'[1]FRV Output'!$F:$F,'[1]FRV Output'!$N:$N)</f>
        <v>29901.698630136991</v>
      </c>
      <c r="E126" s="31">
        <f>_xlfn.XLOOKUP(A126,'[1]FRV Output'!$F:$F,'[1]FRV Output'!$U:$U)</f>
        <v>27514</v>
      </c>
      <c r="F126" s="31">
        <f>_xlfn.XLOOKUP($A126,'[1]FRV Output'!$F:$F,'[1]FRV Output'!$W:$W)</f>
        <v>108</v>
      </c>
      <c r="G126" s="59">
        <f>_xlfn.XLOOKUP($A126,'[1]FRV Output'!$F:$F,'[1]FRV Output'!$AO:$AO)</f>
        <v>8.2100000000000364</v>
      </c>
      <c r="H126" s="63">
        <f t="shared" si="1"/>
        <v>40046</v>
      </c>
      <c r="I126" s="59">
        <f>_xlfn.XLOOKUP($A126,'[1]FRV Output'!$F:$F,'[1]FRV Output'!$Z:$Z)</f>
        <v>370.7962962962963</v>
      </c>
      <c r="J126" s="162">
        <v>29.25</v>
      </c>
      <c r="K126" s="164">
        <v>1.1665000000000001</v>
      </c>
      <c r="L126" s="59">
        <f>_xlfn.XLOOKUP(A126,'[1]Aging Schedule'!$OA:$OA,'[1]Aging Schedule'!$NW:$NW)</f>
        <v>8.2100000000000364</v>
      </c>
      <c r="M126" s="59">
        <f>_xlfn.XLOOKUP(A126,'[1]FRV Output'!$F:$F,'[1]FRV Output'!$BC:$BC)</f>
        <v>24.445250591216794</v>
      </c>
      <c r="N126" s="68"/>
      <c r="O126" s="68"/>
      <c r="R126" s="31"/>
      <c r="T126" s="59"/>
      <c r="U126" s="108"/>
      <c r="V126" s="110"/>
    </row>
    <row r="127" spans="1:22" hidden="1" x14ac:dyDescent="0.25">
      <c r="A127">
        <v>1194309336</v>
      </c>
      <c r="B127" s="36">
        <v>0.6684725984580121</v>
      </c>
      <c r="C127" s="63">
        <f>_xlfn.XLOOKUP($A127,'[1]FRV Output'!$F:$F,'[1]FRV Output'!$M:$M)</f>
        <v>30652.013129102845</v>
      </c>
      <c r="D127" s="63">
        <f>_xlfn.XLOOKUP($A127,'[1]FRV Output'!$F:$F,'[1]FRV Output'!$N:$N)</f>
        <v>24548.439398800092</v>
      </c>
      <c r="E127" s="31">
        <f>_xlfn.XLOOKUP(A127,'[1]FRV Output'!$F:$F,'[1]FRV Output'!$U:$U)</f>
        <v>28214</v>
      </c>
      <c r="F127" s="31">
        <f>_xlfn.XLOOKUP($A127,'[1]FRV Output'!$F:$F,'[1]FRV Output'!$W:$W)</f>
        <v>90</v>
      </c>
      <c r="G127" s="59">
        <f>_xlfn.XLOOKUP($A127,'[1]FRV Output'!$F:$F,'[1]FRV Output'!$AO:$AO)</f>
        <v>3.9200000000000728</v>
      </c>
      <c r="H127" s="63">
        <f t="shared" si="1"/>
        <v>38758</v>
      </c>
      <c r="I127" s="59">
        <f>_xlfn.XLOOKUP($A127,'[1]FRV Output'!$F:$F,'[1]FRV Output'!$Z:$Z)</f>
        <v>430.64444444444445</v>
      </c>
      <c r="J127" s="162">
        <v>29.25</v>
      </c>
      <c r="K127" s="164">
        <v>1.3072999999999999</v>
      </c>
      <c r="L127" s="59">
        <f>_xlfn.XLOOKUP(A127,'[1]Aging Schedule'!$OA:$OA,'[1]Aging Schedule'!$NW:$NW)</f>
        <v>3.9200000000000728</v>
      </c>
      <c r="M127" s="59">
        <f>_xlfn.XLOOKUP(A127,'[1]FRV Output'!$F:$F,'[1]FRV Output'!$BC:$BC)</f>
        <v>26.879149351930003</v>
      </c>
      <c r="N127" s="68"/>
      <c r="O127" s="68"/>
      <c r="R127" s="31"/>
      <c r="T127" s="59"/>
      <c r="U127" s="108"/>
      <c r="V127" s="110"/>
    </row>
    <row r="128" spans="1:22" hidden="1" x14ac:dyDescent="0.25">
      <c r="A128">
        <v>1356387153</v>
      </c>
      <c r="B128" s="36">
        <v>0.63345325934508201</v>
      </c>
      <c r="C128" s="63">
        <f>_xlfn.XLOOKUP($A128,'[1]FRV Output'!$F:$F,'[1]FRV Output'!$M:$M)</f>
        <v>25118</v>
      </c>
      <c r="D128" s="63">
        <f>_xlfn.XLOOKUP($A128,'[1]FRV Output'!$F:$F,'[1]FRV Output'!$N:$N)</f>
        <v>25186.816438356167</v>
      </c>
      <c r="E128" s="31">
        <f>_xlfn.XLOOKUP(A128,'[1]FRV Output'!$F:$F,'[1]FRV Output'!$U:$U)</f>
        <v>27604</v>
      </c>
      <c r="F128" s="31">
        <f>_xlfn.XLOOKUP($A128,'[1]FRV Output'!$F:$F,'[1]FRV Output'!$W:$W)</f>
        <v>180</v>
      </c>
      <c r="G128" s="59">
        <f>_xlfn.XLOOKUP($A128,'[1]FRV Output'!$F:$F,'[1]FRV Output'!$AO:$AO)</f>
        <v>25.490000000000009</v>
      </c>
      <c r="H128" s="63">
        <f t="shared" si="1"/>
        <v>62140.645161290326</v>
      </c>
      <c r="I128" s="59">
        <f>_xlfn.XLOOKUP($A128,'[1]FRV Output'!$F:$F,'[1]FRV Output'!$Z:$Z)</f>
        <v>345.22580645161293</v>
      </c>
      <c r="J128" s="162">
        <v>29.25</v>
      </c>
      <c r="K128" s="164">
        <v>1.2482</v>
      </c>
      <c r="L128" s="59">
        <f>_xlfn.XLOOKUP(A128,'[1]Aging Schedule'!$OA:$OA,'[1]Aging Schedule'!$NW:$NW)</f>
        <v>25.490000000000009</v>
      </c>
      <c r="M128" s="59">
        <f>_xlfn.XLOOKUP(A128,'[1]FRV Output'!$F:$F,'[1]FRV Output'!$BC:$BC)</f>
        <v>14.293051785253823</v>
      </c>
      <c r="N128" s="68"/>
      <c r="O128" s="68"/>
      <c r="R128" s="31"/>
      <c r="T128" s="59"/>
      <c r="U128" s="108"/>
      <c r="V128" s="110"/>
    </row>
    <row r="129" spans="1:22" hidden="1" x14ac:dyDescent="0.25">
      <c r="A129">
        <v>1740249382</v>
      </c>
      <c r="B129" s="36">
        <v>0.58290190735694813</v>
      </c>
      <c r="C129" s="63">
        <f>_xlfn.XLOOKUP($A129,'[1]FRV Output'!$F:$F,'[1]FRV Output'!$M:$M)</f>
        <v>29289</v>
      </c>
      <c r="D129" s="63">
        <f>_xlfn.XLOOKUP($A129,'[1]FRV Output'!$F:$F,'[1]FRV Output'!$N:$N)</f>
        <v>29369.243835616442</v>
      </c>
      <c r="E129" s="31">
        <f>_xlfn.XLOOKUP(A129,'[1]FRV Output'!$F:$F,'[1]FRV Output'!$U:$U)</f>
        <v>27203</v>
      </c>
      <c r="F129" s="31">
        <f>_xlfn.XLOOKUP($A129,'[1]FRV Output'!$F:$F,'[1]FRV Output'!$W:$W)</f>
        <v>96</v>
      </c>
      <c r="G129" s="59">
        <f>_xlfn.XLOOKUP($A129,'[1]FRV Output'!$F:$F,'[1]FRV Output'!$AO:$AO)</f>
        <v>5.5599999999999454</v>
      </c>
      <c r="H129" s="63">
        <f t="shared" si="1"/>
        <v>68667</v>
      </c>
      <c r="I129" s="59">
        <f>_xlfn.XLOOKUP($A129,'[1]FRV Output'!$F:$F,'[1]FRV Output'!$Z:$Z)</f>
        <v>715.28125</v>
      </c>
      <c r="J129" s="162">
        <v>29.25</v>
      </c>
      <c r="K129" s="164">
        <v>1.0766</v>
      </c>
      <c r="L129" s="59">
        <f>_xlfn.XLOOKUP(A129,'[1]Aging Schedule'!$OA:$OA,'[1]Aging Schedule'!$NW:$NW)</f>
        <v>5.5599999999999454</v>
      </c>
      <c r="M129" s="59">
        <f>_xlfn.XLOOKUP(A129,'[1]FRV Output'!$F:$F,'[1]FRV Output'!$BC:$BC)</f>
        <v>41.308863917163563</v>
      </c>
      <c r="N129" s="68"/>
      <c r="O129" s="68"/>
      <c r="R129" s="31"/>
      <c r="T129" s="59"/>
      <c r="U129" s="108"/>
      <c r="V129" s="110"/>
    </row>
    <row r="130" spans="1:22" hidden="1" x14ac:dyDescent="0.25">
      <c r="A130">
        <v>1407803679</v>
      </c>
      <c r="B130" s="36">
        <v>0.64129181084198394</v>
      </c>
      <c r="C130" s="63">
        <f>_xlfn.XLOOKUP($A130,'[1]FRV Output'!$F:$F,'[1]FRV Output'!$M:$M)</f>
        <v>24574</v>
      </c>
      <c r="D130" s="63">
        <f>_xlfn.XLOOKUP($A130,'[1]FRV Output'!$F:$F,'[1]FRV Output'!$N:$N)</f>
        <v>24641.326027397263</v>
      </c>
      <c r="E130" s="31">
        <f>_xlfn.XLOOKUP(A130,'[1]FRV Output'!$F:$F,'[1]FRV Output'!$U:$U)</f>
        <v>28904</v>
      </c>
      <c r="F130" s="31">
        <f>_xlfn.XLOOKUP($A130,'[1]FRV Output'!$F:$F,'[1]FRV Output'!$W:$W)</f>
        <v>90</v>
      </c>
      <c r="G130" s="59">
        <f>_xlfn.XLOOKUP($A130,'[1]FRV Output'!$F:$F,'[1]FRV Output'!$AO:$AO)</f>
        <v>21.869999999999891</v>
      </c>
      <c r="H130" s="63">
        <f t="shared" si="1"/>
        <v>29135</v>
      </c>
      <c r="I130" s="59">
        <f>_xlfn.XLOOKUP($A130,'[1]FRV Output'!$F:$F,'[1]FRV Output'!$Z:$Z)</f>
        <v>323.72222222222223</v>
      </c>
      <c r="J130" s="162">
        <v>29.25</v>
      </c>
      <c r="K130" s="164">
        <v>1.0485</v>
      </c>
      <c r="L130" s="59">
        <f>_xlfn.XLOOKUP(A130,'[1]Aging Schedule'!$OA:$OA,'[1]Aging Schedule'!$NW:$NW)</f>
        <v>21.869999999999891</v>
      </c>
      <c r="M130" s="59">
        <f>_xlfn.XLOOKUP(A130,'[1]FRV Output'!$F:$F,'[1]FRV Output'!$BC:$BC)</f>
        <v>15.235834228041892</v>
      </c>
      <c r="N130" s="68"/>
      <c r="O130" s="68"/>
      <c r="R130" s="31"/>
      <c r="T130" s="59"/>
      <c r="U130" s="108"/>
      <c r="V130" s="110"/>
    </row>
    <row r="131" spans="1:22" hidden="1" x14ac:dyDescent="0.25">
      <c r="A131">
        <v>1669991865</v>
      </c>
      <c r="B131" s="36">
        <v>0.65375854214123008</v>
      </c>
      <c r="C131" s="63">
        <f>_xlfn.XLOOKUP($A131,'[1]FRV Output'!$F:$F,'[1]FRV Output'!$M:$M)</f>
        <v>28276</v>
      </c>
      <c r="D131" s="63">
        <f>_xlfn.XLOOKUP($A131,'[1]FRV Output'!$F:$F,'[1]FRV Output'!$N:$N)</f>
        <v>28353.468493150689</v>
      </c>
      <c r="E131" s="31">
        <f>_xlfn.XLOOKUP(A131,'[1]FRV Output'!$F:$F,'[1]FRV Output'!$U:$U)</f>
        <v>27012</v>
      </c>
      <c r="F131" s="31">
        <f>_xlfn.XLOOKUP($A131,'[1]FRV Output'!$F:$F,'[1]FRV Output'!$W:$W)</f>
        <v>120</v>
      </c>
      <c r="G131" s="59">
        <f>_xlfn.XLOOKUP($A131,'[1]FRV Output'!$F:$F,'[1]FRV Output'!$AO:$AO)</f>
        <v>35.5</v>
      </c>
      <c r="H131" s="63">
        <f t="shared" ref="H131:H194" si="2">+I131*F131</f>
        <v>49074.893617021276</v>
      </c>
      <c r="I131" s="59">
        <f>_xlfn.XLOOKUP($A131,'[1]FRV Output'!$F:$F,'[1]FRV Output'!$Z:$Z)</f>
        <v>408.95744680851061</v>
      </c>
      <c r="J131" s="162">
        <v>29.25</v>
      </c>
      <c r="K131" s="164">
        <v>1.2446999999999999</v>
      </c>
      <c r="L131" s="59">
        <f>_xlfn.XLOOKUP(A131,'[1]Aging Schedule'!$OA:$OA,'[1]Aging Schedule'!$NW:$NW)</f>
        <v>54.049999999999955</v>
      </c>
      <c r="M131" s="59">
        <f>_xlfn.XLOOKUP(A131,'[1]FRV Output'!$F:$F,'[1]FRV Output'!$BC:$BC)</f>
        <v>10.691609528287072</v>
      </c>
      <c r="N131" s="68"/>
      <c r="O131" s="68"/>
      <c r="R131" s="31"/>
      <c r="T131" s="59"/>
      <c r="U131" s="108"/>
      <c r="V131" s="110"/>
    </row>
    <row r="132" spans="1:22" hidden="1" x14ac:dyDescent="0.25">
      <c r="A132">
        <v>1841854361</v>
      </c>
      <c r="B132" s="36">
        <v>0.68855131530196378</v>
      </c>
      <c r="C132" s="63">
        <f>_xlfn.XLOOKUP($A132,'[1]FRV Output'!$F:$F,'[1]FRV Output'!$M:$M)</f>
        <v>33213</v>
      </c>
      <c r="D132" s="63">
        <f>_xlfn.XLOOKUP($A132,'[1]FRV Output'!$F:$F,'[1]FRV Output'!$N:$N)</f>
        <v>33303.994520547945</v>
      </c>
      <c r="E132" s="31">
        <f>_xlfn.XLOOKUP(A132,'[1]FRV Output'!$F:$F,'[1]FRV Output'!$U:$U)</f>
        <v>28690</v>
      </c>
      <c r="F132" s="31">
        <f>_xlfn.XLOOKUP($A132,'[1]FRV Output'!$F:$F,'[1]FRV Output'!$W:$W)</f>
        <v>100</v>
      </c>
      <c r="G132" s="59">
        <f>_xlfn.XLOOKUP($A132,'[1]FRV Output'!$F:$F,'[1]FRV Output'!$AO:$AO)</f>
        <v>23.769999999999982</v>
      </c>
      <c r="H132" s="63">
        <f t="shared" si="2"/>
        <v>40050</v>
      </c>
      <c r="I132" s="59">
        <f>_xlfn.XLOOKUP($A132,'[1]FRV Output'!$F:$F,'[1]FRV Output'!$Z:$Z)</f>
        <v>400.5</v>
      </c>
      <c r="J132" s="162">
        <v>29.25</v>
      </c>
      <c r="K132" s="164">
        <v>1.5427999999999999</v>
      </c>
      <c r="L132" s="59">
        <f>_xlfn.XLOOKUP(A132,'[1]Aging Schedule'!$OA:$OA,'[1]Aging Schedule'!$NW:$NW)</f>
        <v>23.769999999999982</v>
      </c>
      <c r="M132" s="59">
        <f>_xlfn.XLOOKUP(A132,'[1]FRV Output'!$F:$F,'[1]FRV Output'!$BC:$BC)</f>
        <v>14.253135585888806</v>
      </c>
      <c r="N132" s="68"/>
      <c r="O132" s="68"/>
      <c r="R132" s="31"/>
      <c r="T132" s="59"/>
      <c r="U132" s="108"/>
      <c r="V132" s="110"/>
    </row>
    <row r="133" spans="1:22" hidden="1" x14ac:dyDescent="0.25">
      <c r="A133">
        <v>1891722187</v>
      </c>
      <c r="B133" s="36">
        <v>0.74439840392879075</v>
      </c>
      <c r="C133" s="63">
        <f>_xlfn.XLOOKUP($A133,'[1]FRV Output'!$F:$F,'[1]FRV Output'!$M:$M)</f>
        <v>25858</v>
      </c>
      <c r="D133" s="63">
        <f>_xlfn.XLOOKUP($A133,'[1]FRV Output'!$F:$F,'[1]FRV Output'!$N:$N)</f>
        <v>25928.843835616441</v>
      </c>
      <c r="E133" s="31">
        <f>_xlfn.XLOOKUP(A133,'[1]FRV Output'!$F:$F,'[1]FRV Output'!$U:$U)</f>
        <v>28613</v>
      </c>
      <c r="F133" s="31">
        <f>_xlfn.XLOOKUP($A133,'[1]FRV Output'!$F:$F,'[1]FRV Output'!$W:$W)</f>
        <v>90</v>
      </c>
      <c r="G133" s="59">
        <f>_xlfn.XLOOKUP($A133,'[1]FRV Output'!$F:$F,'[1]FRV Output'!$AO:$AO)</f>
        <v>9.1300000000001091</v>
      </c>
      <c r="H133" s="63">
        <f t="shared" si="2"/>
        <v>36136</v>
      </c>
      <c r="I133" s="59">
        <f>_xlfn.XLOOKUP($A133,'[1]FRV Output'!$F:$F,'[1]FRV Output'!$Z:$Z)</f>
        <v>401.51111111111112</v>
      </c>
      <c r="J133" s="162">
        <v>29.25</v>
      </c>
      <c r="K133" s="164">
        <v>1.0996999999999999</v>
      </c>
      <c r="L133" s="59">
        <f>_xlfn.XLOOKUP(A133,'[1]Aging Schedule'!$OA:$OA,'[1]Aging Schedule'!$NW:$NW)</f>
        <v>9.1300000000001091</v>
      </c>
      <c r="M133" s="59">
        <f>_xlfn.XLOOKUP(A133,'[1]FRV Output'!$F:$F,'[1]FRV Output'!$BC:$BC)</f>
        <v>23.686699462530253</v>
      </c>
      <c r="N133" s="68"/>
      <c r="O133" s="68"/>
      <c r="R133" s="31"/>
      <c r="T133" s="59"/>
      <c r="U133" s="108"/>
      <c r="V133" s="110"/>
    </row>
    <row r="134" spans="1:22" hidden="1" x14ac:dyDescent="0.25">
      <c r="A134">
        <v>1164476636</v>
      </c>
      <c r="B134" s="36">
        <v>0.53516702421084894</v>
      </c>
      <c r="C134" s="63">
        <f>_xlfn.XLOOKUP($A134,'[1]FRV Output'!$F:$F,'[1]FRV Output'!$M:$M)</f>
        <v>12102</v>
      </c>
      <c r="D134" s="63">
        <f>_xlfn.XLOOKUP($A134,'[1]FRV Output'!$F:$F,'[1]FRV Output'!$N:$N)</f>
        <v>12135.156164383563</v>
      </c>
      <c r="E134" s="31">
        <f>_xlfn.XLOOKUP(A134,'[1]FRV Output'!$F:$F,'[1]FRV Output'!$U:$U)</f>
        <v>27890</v>
      </c>
      <c r="F134" s="31">
        <f>_xlfn.XLOOKUP($A134,'[1]FRV Output'!$F:$F,'[1]FRV Output'!$W:$W)</f>
        <v>50</v>
      </c>
      <c r="G134" s="59">
        <f>_xlfn.XLOOKUP($A134,'[1]FRV Output'!$F:$F,'[1]FRV Output'!$AO:$AO)</f>
        <v>25.559999999999945</v>
      </c>
      <c r="H134" s="63">
        <f t="shared" si="2"/>
        <v>28458.275494195168</v>
      </c>
      <c r="I134" s="59">
        <f>_xlfn.XLOOKUP($A134,'[1]FRV Output'!$F:$F,'[1]FRV Output'!$Z:$Z)</f>
        <v>569.16550988390338</v>
      </c>
      <c r="J134" s="162">
        <v>29.25</v>
      </c>
      <c r="K134" s="164">
        <v>1.0940000000000001</v>
      </c>
      <c r="L134" s="59">
        <f>_xlfn.XLOOKUP(A134,'[1]Aging Schedule'!$OA:$OA,'[1]Aging Schedule'!$NW:$NW)</f>
        <v>25.559999999999945</v>
      </c>
      <c r="M134" s="59">
        <f>_xlfn.XLOOKUP(A134,'[1]FRV Output'!$F:$F,'[1]FRV Output'!$BC:$BC)</f>
        <v>20.698056774828093</v>
      </c>
      <c r="N134" s="68"/>
      <c r="O134" s="68"/>
      <c r="R134" s="31"/>
      <c r="T134" s="59"/>
      <c r="U134" s="108"/>
      <c r="V134" s="110"/>
    </row>
    <row r="135" spans="1:22" hidden="1" x14ac:dyDescent="0.25">
      <c r="A135">
        <v>1891740544</v>
      </c>
      <c r="B135" s="36">
        <v>0.60049909255898359</v>
      </c>
      <c r="C135" s="63">
        <f>_xlfn.XLOOKUP($A135,'[1]FRV Output'!$F:$F,'[1]FRV Output'!$M:$M)</f>
        <v>22157</v>
      </c>
      <c r="D135" s="63">
        <f>_xlfn.XLOOKUP($A135,'[1]FRV Output'!$F:$F,'[1]FRV Output'!$N:$N)</f>
        <v>22217.704109589042</v>
      </c>
      <c r="E135" s="31">
        <f>_xlfn.XLOOKUP(A135,'[1]FRV Output'!$F:$F,'[1]FRV Output'!$U:$U)</f>
        <v>27331</v>
      </c>
      <c r="F135" s="31">
        <f>_xlfn.XLOOKUP($A135,'[1]FRV Output'!$F:$F,'[1]FRV Output'!$W:$W)</f>
        <v>83</v>
      </c>
      <c r="G135" s="59">
        <f>_xlfn.XLOOKUP($A135,'[1]FRV Output'!$F:$F,'[1]FRV Output'!$AO:$AO)</f>
        <v>9.9200000000000728</v>
      </c>
      <c r="H135" s="63">
        <f t="shared" si="2"/>
        <v>44304</v>
      </c>
      <c r="I135" s="59">
        <f>_xlfn.XLOOKUP($A135,'[1]FRV Output'!$F:$F,'[1]FRV Output'!$Z:$Z)</f>
        <v>533.7831325301205</v>
      </c>
      <c r="J135" s="162">
        <v>29.25</v>
      </c>
      <c r="K135" s="164">
        <v>1.1291</v>
      </c>
      <c r="L135" s="59">
        <f>_xlfn.XLOOKUP(A135,'[1]Aging Schedule'!$OA:$OA,'[1]Aging Schedule'!$NW:$NW)</f>
        <v>9.9200000000000728</v>
      </c>
      <c r="M135" s="59">
        <f>_xlfn.XLOOKUP(A135,'[1]FRV Output'!$F:$F,'[1]FRV Output'!$BC:$BC)</f>
        <v>29.403523141969174</v>
      </c>
      <c r="N135" s="68"/>
      <c r="O135" s="68"/>
      <c r="R135" s="31"/>
      <c r="T135" s="59"/>
      <c r="U135" s="108"/>
      <c r="V135" s="110"/>
    </row>
    <row r="136" spans="1:22" hidden="1" x14ac:dyDescent="0.25">
      <c r="A136">
        <v>1346806015</v>
      </c>
      <c r="B136" s="36">
        <v>0.58315222115969745</v>
      </c>
      <c r="C136" s="63">
        <f>_xlfn.XLOOKUP($A136,'[1]FRV Output'!$F:$F,'[1]FRV Output'!$M:$M)</f>
        <v>18763</v>
      </c>
      <c r="D136" s="63">
        <f>_xlfn.XLOOKUP($A136,'[1]FRV Output'!$F:$F,'[1]FRV Output'!$N:$N)</f>
        <v>18814.405479452056</v>
      </c>
      <c r="E136" s="31">
        <f>_xlfn.XLOOKUP(A136,'[1]FRV Output'!$F:$F,'[1]FRV Output'!$U:$U)</f>
        <v>27357</v>
      </c>
      <c r="F136" s="31">
        <f>_xlfn.XLOOKUP($A136,'[1]FRV Output'!$F:$F,'[1]FRV Output'!$W:$W)</f>
        <v>60</v>
      </c>
      <c r="G136" s="59">
        <f>_xlfn.XLOOKUP($A136,'[1]FRV Output'!$F:$F,'[1]FRV Output'!$AO:$AO)</f>
        <v>12.279999999999973</v>
      </c>
      <c r="H136" s="63">
        <f t="shared" si="2"/>
        <v>36992.657505653158</v>
      </c>
      <c r="I136" s="59">
        <f>_xlfn.XLOOKUP($A136,'[1]FRV Output'!$F:$F,'[1]FRV Output'!$Z:$Z)</f>
        <v>616.54429176088593</v>
      </c>
      <c r="J136" s="162">
        <v>29.25</v>
      </c>
      <c r="K136" s="164">
        <v>1.296</v>
      </c>
      <c r="L136" s="59">
        <f>_xlfn.XLOOKUP(A136,'[1]Aging Schedule'!$OA:$OA,'[1]Aging Schedule'!$NW:$NW)</f>
        <v>12.279999999999973</v>
      </c>
      <c r="M136" s="59">
        <f>_xlfn.XLOOKUP(A136,'[1]FRV Output'!$F:$F,'[1]FRV Output'!$BC:$BC)</f>
        <v>31.592798363217039</v>
      </c>
      <c r="N136" s="68"/>
      <c r="O136" s="68"/>
      <c r="R136" s="31"/>
      <c r="T136" s="59"/>
      <c r="U136" s="108"/>
      <c r="V136" s="110"/>
    </row>
    <row r="137" spans="1:22" hidden="1" x14ac:dyDescent="0.25">
      <c r="A137">
        <v>1073599510</v>
      </c>
      <c r="B137" s="36">
        <v>0.80059970014992499</v>
      </c>
      <c r="C137" s="63">
        <f>_xlfn.XLOOKUP($A137,'[1]FRV Output'!$F:$F,'[1]FRV Output'!$M:$M)</f>
        <v>23100</v>
      </c>
      <c r="D137" s="63">
        <f>_xlfn.XLOOKUP($A137,'[1]FRV Output'!$F:$F,'[1]FRV Output'!$N:$N)</f>
        <v>23163.28767123288</v>
      </c>
      <c r="E137" s="31">
        <f>_xlfn.XLOOKUP(A137,'[1]FRV Output'!$F:$F,'[1]FRV Output'!$U:$U)</f>
        <v>28054</v>
      </c>
      <c r="F137" s="31">
        <f>_xlfn.XLOOKUP($A137,'[1]FRV Output'!$F:$F,'[1]FRV Output'!$W:$W)</f>
        <v>76</v>
      </c>
      <c r="G137" s="59">
        <f>_xlfn.XLOOKUP($A137,'[1]FRV Output'!$F:$F,'[1]FRV Output'!$AO:$AO)</f>
        <v>20.259999999999991</v>
      </c>
      <c r="H137" s="63">
        <f t="shared" si="2"/>
        <v>28500</v>
      </c>
      <c r="I137" s="59">
        <f>_xlfn.XLOOKUP($A137,'[1]FRV Output'!$F:$F,'[1]FRV Output'!$Z:$Z)</f>
        <v>375</v>
      </c>
      <c r="J137" s="162">
        <v>29.25</v>
      </c>
      <c r="K137" s="164">
        <v>1.0349999999999999</v>
      </c>
      <c r="L137" s="59">
        <f>_xlfn.XLOOKUP(A137,'[1]Aging Schedule'!$OA:$OA,'[1]Aging Schedule'!$NW:$NW)</f>
        <v>20.259999999999991</v>
      </c>
      <c r="M137" s="59">
        <f>_xlfn.XLOOKUP(A137,'[1]FRV Output'!$F:$F,'[1]FRV Output'!$BC:$BC)</f>
        <v>17.62741717711523</v>
      </c>
      <c r="N137" s="68"/>
      <c r="O137" s="68"/>
      <c r="R137" s="31"/>
      <c r="T137" s="59"/>
      <c r="U137" s="108"/>
      <c r="V137" s="110"/>
    </row>
    <row r="138" spans="1:22" hidden="1" x14ac:dyDescent="0.25">
      <c r="A138">
        <v>1972587376</v>
      </c>
      <c r="B138" s="36">
        <v>0.67479937275159119</v>
      </c>
      <c r="C138" s="63">
        <f>_xlfn.XLOOKUP($A138,'[1]FRV Output'!$F:$F,'[1]FRV Output'!$M:$M)</f>
        <v>27989</v>
      </c>
      <c r="D138" s="63">
        <f>_xlfn.XLOOKUP($A138,'[1]FRV Output'!$F:$F,'[1]FRV Output'!$N:$N)</f>
        <v>28065.682191780823</v>
      </c>
      <c r="E138" s="31">
        <f>_xlfn.XLOOKUP(A138,'[1]FRV Output'!$F:$F,'[1]FRV Output'!$U:$U)</f>
        <v>27705</v>
      </c>
      <c r="F138" s="31">
        <f>_xlfn.XLOOKUP($A138,'[1]FRV Output'!$F:$F,'[1]FRV Output'!$W:$W)</f>
        <v>110</v>
      </c>
      <c r="G138" s="59">
        <f>_xlfn.XLOOKUP($A138,'[1]FRV Output'!$F:$F,'[1]FRV Output'!$AO:$AO)</f>
        <v>1</v>
      </c>
      <c r="H138" s="63">
        <f t="shared" si="2"/>
        <v>46750</v>
      </c>
      <c r="I138" s="59">
        <f>_xlfn.XLOOKUP($A138,'[1]FRV Output'!$F:$F,'[1]FRV Output'!$Z:$Z)</f>
        <v>425</v>
      </c>
      <c r="J138" s="162">
        <v>0</v>
      </c>
      <c r="K138" s="164">
        <v>0.81979999999999997</v>
      </c>
      <c r="L138" s="59">
        <f>_xlfn.XLOOKUP(A138,'[1]Aging Schedule'!$OA:$OA,'[1]Aging Schedule'!$NW:$NW)</f>
        <v>1</v>
      </c>
      <c r="M138" s="59">
        <f>_xlfn.XLOOKUP(A138,'[1]FRV Output'!$F:$F,'[1]FRV Output'!$BC:$BC)</f>
        <v>27.500769119661562</v>
      </c>
      <c r="N138" s="68"/>
      <c r="O138" s="68"/>
      <c r="R138" s="31"/>
      <c r="T138" s="59"/>
      <c r="U138" s="108"/>
      <c r="V138" s="110"/>
    </row>
    <row r="139" spans="1:22" hidden="1" x14ac:dyDescent="0.25">
      <c r="A139">
        <v>1437103850</v>
      </c>
      <c r="B139" s="36">
        <v>0.62907102013756533</v>
      </c>
      <c r="C139" s="63">
        <f>_xlfn.XLOOKUP($A139,'[1]FRV Output'!$F:$F,'[1]FRV Output'!$M:$M)</f>
        <v>6420</v>
      </c>
      <c r="D139" s="63">
        <f>_xlfn.XLOOKUP($A139,'[1]FRV Output'!$F:$F,'[1]FRV Output'!$N:$N)</f>
        <v>6437.5890410958909</v>
      </c>
      <c r="E139" s="31">
        <f>_xlfn.XLOOKUP(A139,'[1]FRV Output'!$F:$F,'[1]FRV Output'!$U:$U)</f>
        <v>27885</v>
      </c>
      <c r="F139" s="31">
        <f>_xlfn.XLOOKUP($A139,'[1]FRV Output'!$F:$F,'[1]FRV Output'!$W:$W)</f>
        <v>80</v>
      </c>
      <c r="G139" s="59">
        <f>_xlfn.XLOOKUP($A139,'[1]FRV Output'!$F:$F,'[1]FRV Output'!$AO:$AO)</f>
        <v>30.5</v>
      </c>
      <c r="H139" s="63">
        <f t="shared" si="2"/>
        <v>26000</v>
      </c>
      <c r="I139" s="59">
        <f>_xlfn.XLOOKUP($A139,'[1]FRV Output'!$F:$F,'[1]FRV Output'!$Z:$Z)</f>
        <v>325</v>
      </c>
      <c r="J139" s="162">
        <v>29.25</v>
      </c>
      <c r="K139" s="164">
        <v>0</v>
      </c>
      <c r="L139" s="59">
        <f>_xlfn.XLOOKUP(A139,'[1]Aging Schedule'!$OA:$OA,'[1]Aging Schedule'!$NW:$NW)</f>
        <v>30.5</v>
      </c>
      <c r="M139" s="59">
        <f>_xlfn.XLOOKUP(A139,'[1]FRV Output'!$F:$F,'[1]FRV Output'!$BC:$BC)</f>
        <v>11.086037840451246</v>
      </c>
      <c r="N139" s="68"/>
      <c r="O139" s="68"/>
      <c r="R139" s="31"/>
      <c r="T139" s="59"/>
      <c r="U139" s="108"/>
      <c r="V139" s="110"/>
    </row>
    <row r="140" spans="1:22" hidden="1" x14ac:dyDescent="0.25">
      <c r="A140">
        <v>1093131310</v>
      </c>
      <c r="B140" s="36">
        <v>0.48554998525508702</v>
      </c>
      <c r="C140" s="63">
        <f>_xlfn.XLOOKUP($A140,'[1]FRV Output'!$F:$F,'[1]FRV Output'!$M:$M)</f>
        <v>24896</v>
      </c>
      <c r="D140" s="63">
        <f>_xlfn.XLOOKUP($A140,'[1]FRV Output'!$F:$F,'[1]FRV Output'!$N:$N)</f>
        <v>24964.208219178086</v>
      </c>
      <c r="E140" s="31">
        <f>_xlfn.XLOOKUP(A140,'[1]FRV Output'!$F:$F,'[1]FRV Output'!$U:$U)</f>
        <v>28401</v>
      </c>
      <c r="F140" s="31">
        <f>_xlfn.XLOOKUP($A140,'[1]FRV Output'!$F:$F,'[1]FRV Output'!$W:$W)</f>
        <v>90</v>
      </c>
      <c r="G140" s="59">
        <f>_xlfn.XLOOKUP($A140,'[1]FRV Output'!$F:$F,'[1]FRV Output'!$AO:$AO)</f>
        <v>9.5699999999999363</v>
      </c>
      <c r="H140" s="63">
        <f t="shared" si="2"/>
        <v>36000</v>
      </c>
      <c r="I140" s="59">
        <f>_xlfn.XLOOKUP($A140,'[1]FRV Output'!$F:$F,'[1]FRV Output'!$Z:$Z)</f>
        <v>400</v>
      </c>
      <c r="J140" s="162">
        <v>29.25</v>
      </c>
      <c r="K140" s="164">
        <v>1.2619</v>
      </c>
      <c r="L140" s="59">
        <f>_xlfn.XLOOKUP(A140,'[1]Aging Schedule'!$OA:$OA,'[1]Aging Schedule'!$NW:$NW)</f>
        <v>9.5699999999999363</v>
      </c>
      <c r="M140" s="59">
        <f>_xlfn.XLOOKUP(A140,'[1]FRV Output'!$F:$F,'[1]FRV Output'!$BC:$BC)</f>
        <v>23.109328996414167</v>
      </c>
      <c r="N140" s="68"/>
      <c r="O140" s="68"/>
      <c r="R140" s="31"/>
      <c r="T140" s="59"/>
      <c r="U140" s="108"/>
      <c r="V140" s="110"/>
    </row>
    <row r="141" spans="1:22" hidden="1" x14ac:dyDescent="0.25">
      <c r="A141">
        <v>1356346191</v>
      </c>
      <c r="B141" s="36">
        <v>0.71889006063801741</v>
      </c>
      <c r="C141" s="63">
        <f>_xlfn.XLOOKUP($A141,'[1]FRV Output'!$F:$F,'[1]FRV Output'!$M:$M)</f>
        <v>48738</v>
      </c>
      <c r="D141" s="63">
        <f>_xlfn.XLOOKUP($A141,'[1]FRV Output'!$F:$F,'[1]FRV Output'!$N:$N)</f>
        <v>48871.528767123295</v>
      </c>
      <c r="E141" s="31">
        <f>_xlfn.XLOOKUP(A141,'[1]FRV Output'!$F:$F,'[1]FRV Output'!$U:$U)</f>
        <v>28411</v>
      </c>
      <c r="F141" s="31">
        <f>_xlfn.XLOOKUP($A141,'[1]FRV Output'!$F:$F,'[1]FRV Output'!$W:$W)</f>
        <v>179</v>
      </c>
      <c r="G141" s="59">
        <f>_xlfn.XLOOKUP($A141,'[1]FRV Output'!$F:$F,'[1]FRV Output'!$AO:$AO)</f>
        <v>1</v>
      </c>
      <c r="H141" s="63">
        <f t="shared" si="2"/>
        <v>76075</v>
      </c>
      <c r="I141" s="59">
        <f>_xlfn.XLOOKUP($A141,'[1]FRV Output'!$F:$F,'[1]FRV Output'!$Z:$Z)</f>
        <v>425</v>
      </c>
      <c r="J141" s="162">
        <v>9.4499999999999993</v>
      </c>
      <c r="K141" s="164">
        <v>0.9103</v>
      </c>
      <c r="L141" s="59">
        <f>_xlfn.XLOOKUP(A141,'[1]Aging Schedule'!$OA:$OA,'[1]Aging Schedule'!$NW:$NW)</f>
        <v>1</v>
      </c>
      <c r="M141" s="59">
        <f>_xlfn.XLOOKUP(A141,'[1]FRV Output'!$F:$F,'[1]FRV Output'!$BC:$BC)</f>
        <v>26.812733031829168</v>
      </c>
      <c r="N141" s="68"/>
      <c r="O141" s="68"/>
      <c r="R141" s="31"/>
      <c r="T141" s="59"/>
      <c r="U141" s="108"/>
      <c r="V141" s="110"/>
    </row>
    <row r="142" spans="1:22" hidden="1" x14ac:dyDescent="0.25">
      <c r="A142">
        <v>1831649268</v>
      </c>
      <c r="B142" s="36">
        <v>0.58906724511930586</v>
      </c>
      <c r="C142" s="63">
        <f>_xlfn.XLOOKUP($A142,'[1]FRV Output'!$F:$F,'[1]FRV Output'!$M:$M)</f>
        <v>17197</v>
      </c>
      <c r="D142" s="63">
        <f>_xlfn.XLOOKUP($A142,'[1]FRV Output'!$F:$F,'[1]FRV Output'!$N:$N)</f>
        <v>17244.115068493153</v>
      </c>
      <c r="E142" s="31">
        <f>_xlfn.XLOOKUP(A142,'[1]FRV Output'!$F:$F,'[1]FRV Output'!$U:$U)</f>
        <v>27938</v>
      </c>
      <c r="F142" s="31">
        <f>_xlfn.XLOOKUP($A142,'[1]FRV Output'!$F:$F,'[1]FRV Output'!$W:$W)</f>
        <v>70</v>
      </c>
      <c r="G142" s="59">
        <f>_xlfn.XLOOKUP($A142,'[1]FRV Output'!$F:$F,'[1]FRV Output'!$AO:$AO)</f>
        <v>16.950000000000045</v>
      </c>
      <c r="H142" s="63">
        <f t="shared" si="2"/>
        <v>21538.125135623868</v>
      </c>
      <c r="I142" s="59">
        <f>_xlfn.XLOOKUP($A142,'[1]FRV Output'!$F:$F,'[1]FRV Output'!$Z:$Z)</f>
        <v>307.68750193748383</v>
      </c>
      <c r="J142" s="162">
        <v>29.25</v>
      </c>
      <c r="K142" s="164">
        <v>1.2010000000000001</v>
      </c>
      <c r="L142" s="59">
        <f>_xlfn.XLOOKUP(A142,'[1]Aging Schedule'!$OA:$OA,'[1]Aging Schedule'!$NW:$NW)</f>
        <v>16.950000000000045</v>
      </c>
      <c r="M142" s="59">
        <f>_xlfn.XLOOKUP(A142,'[1]FRV Output'!$F:$F,'[1]FRV Output'!$BC:$BC)</f>
        <v>18.70621921353748</v>
      </c>
      <c r="N142" s="68"/>
      <c r="O142" s="68"/>
      <c r="R142" s="31"/>
      <c r="T142" s="59"/>
      <c r="U142" s="108"/>
      <c r="V142" s="110"/>
    </row>
    <row r="143" spans="1:22" hidden="1" x14ac:dyDescent="0.25">
      <c r="A143">
        <v>1346851052</v>
      </c>
      <c r="B143" s="36">
        <v>0.64150509617595208</v>
      </c>
      <c r="C143" s="63">
        <f>_xlfn.XLOOKUP($A143,'[1]FRV Output'!$F:$F,'[1]FRV Output'!$M:$M)</f>
        <v>24297</v>
      </c>
      <c r="D143" s="63">
        <f>_xlfn.XLOOKUP($A143,'[1]FRV Output'!$F:$F,'[1]FRV Output'!$N:$N)</f>
        <v>24363.567123287674</v>
      </c>
      <c r="E143" s="31">
        <f>_xlfn.XLOOKUP(A143,'[1]FRV Output'!$F:$F,'[1]FRV Output'!$U:$U)</f>
        <v>28334</v>
      </c>
      <c r="F143" s="31">
        <f>_xlfn.XLOOKUP($A143,'[1]FRV Output'!$F:$F,'[1]FRV Output'!$W:$W)</f>
        <v>100</v>
      </c>
      <c r="G143" s="59">
        <f>_xlfn.XLOOKUP($A143,'[1]FRV Output'!$F:$F,'[1]FRV Output'!$AO:$AO)</f>
        <v>26</v>
      </c>
      <c r="H143" s="63">
        <f t="shared" si="2"/>
        <v>37670.231480628012</v>
      </c>
      <c r="I143" s="59">
        <f>_xlfn.XLOOKUP($A143,'[1]FRV Output'!$F:$F,'[1]FRV Output'!$Z:$Z)</f>
        <v>376.70231480628013</v>
      </c>
      <c r="J143" s="162">
        <v>29.25</v>
      </c>
      <c r="K143" s="164">
        <v>1.1753</v>
      </c>
      <c r="L143" s="59">
        <f>_xlfn.XLOOKUP(A143,'[1]Aging Schedule'!$OA:$OA,'[1]Aging Schedule'!$NW:$NW)</f>
        <v>26</v>
      </c>
      <c r="M143" s="59">
        <f>_xlfn.XLOOKUP(A143,'[1]FRV Output'!$F:$F,'[1]FRV Output'!$BC:$BC)</f>
        <v>13.841501708542847</v>
      </c>
      <c r="N143" s="68"/>
      <c r="O143" s="68"/>
      <c r="R143" s="31"/>
      <c r="T143" s="59"/>
      <c r="U143" s="108"/>
      <c r="V143" s="110"/>
    </row>
    <row r="144" spans="1:22" hidden="1" x14ac:dyDescent="0.25">
      <c r="A144">
        <v>1750418802</v>
      </c>
      <c r="B144" s="36">
        <v>0.62347745234774521</v>
      </c>
      <c r="C144" s="63">
        <f>_xlfn.XLOOKUP($A144,'[1]FRV Output'!$F:$F,'[1]FRV Output'!$M:$M)</f>
        <v>7695</v>
      </c>
      <c r="D144" s="63">
        <f>_xlfn.XLOOKUP($A144,'[1]FRV Output'!$F:$F,'[1]FRV Output'!$N:$N)</f>
        <v>7716.0821917808225</v>
      </c>
      <c r="E144" s="31">
        <f>_xlfn.XLOOKUP(A144,'[1]FRV Output'!$F:$F,'[1]FRV Output'!$U:$U)</f>
        <v>27215</v>
      </c>
      <c r="F144" s="31">
        <f>_xlfn.XLOOKUP($A144,'[1]FRV Output'!$F:$F,'[1]FRV Output'!$W:$W)</f>
        <v>105</v>
      </c>
      <c r="G144" s="59">
        <f>_xlfn.XLOOKUP($A144,'[1]FRV Output'!$F:$F,'[1]FRV Output'!$AO:$AO)</f>
        <v>23</v>
      </c>
      <c r="H144" s="63">
        <f t="shared" si="2"/>
        <v>39375</v>
      </c>
      <c r="I144" s="59">
        <f>_xlfn.XLOOKUP($A144,'[1]FRV Output'!$F:$F,'[1]FRV Output'!$Z:$Z)</f>
        <v>375</v>
      </c>
      <c r="J144" s="162">
        <v>0</v>
      </c>
      <c r="K144" s="164">
        <v>1.1960999999999999</v>
      </c>
      <c r="L144" s="59">
        <f>_xlfn.XLOOKUP(A144,'[1]Aging Schedule'!$OA:$OA,'[1]Aging Schedule'!$NW:$NW)</f>
        <v>23</v>
      </c>
      <c r="M144" s="59">
        <f>_xlfn.XLOOKUP(A144,'[1]FRV Output'!$F:$F,'[1]FRV Output'!$BC:$BC)</f>
        <v>15.395817908944396</v>
      </c>
      <c r="N144" s="68"/>
      <c r="O144" s="68"/>
      <c r="R144" s="31"/>
      <c r="T144" s="59"/>
      <c r="U144" s="108"/>
      <c r="V144" s="110"/>
    </row>
    <row r="145" spans="1:22" hidden="1" x14ac:dyDescent="0.25">
      <c r="A145">
        <v>1265556294</v>
      </c>
      <c r="B145" s="36">
        <v>0.63336981394886083</v>
      </c>
      <c r="C145" s="63">
        <f>_xlfn.XLOOKUP($A145,'[1]FRV Output'!$F:$F,'[1]FRV Output'!$M:$M)</f>
        <v>26922</v>
      </c>
      <c r="D145" s="63">
        <f>_xlfn.XLOOKUP($A145,'[1]FRV Output'!$F:$F,'[1]FRV Output'!$N:$N)</f>
        <v>26995.758904109593</v>
      </c>
      <c r="E145" s="31">
        <f>_xlfn.XLOOKUP(A145,'[1]FRV Output'!$F:$F,'[1]FRV Output'!$U:$U)</f>
        <v>28753</v>
      </c>
      <c r="F145" s="31">
        <f>_xlfn.XLOOKUP($A145,'[1]FRV Output'!$F:$F,'[1]FRV Output'!$W:$W)</f>
        <v>80</v>
      </c>
      <c r="G145" s="59">
        <f>_xlfn.XLOOKUP($A145,'[1]FRV Output'!$F:$F,'[1]FRV Output'!$AO:$AO)</f>
        <v>13.8599999999999</v>
      </c>
      <c r="H145" s="63">
        <f t="shared" si="2"/>
        <v>32019.040680024285</v>
      </c>
      <c r="I145" s="59">
        <f>_xlfn.XLOOKUP($A145,'[1]FRV Output'!$F:$F,'[1]FRV Output'!$Z:$Z)</f>
        <v>400.23800850030358</v>
      </c>
      <c r="J145" s="162">
        <v>29.25</v>
      </c>
      <c r="K145" s="164">
        <v>0.88919999999999999</v>
      </c>
      <c r="L145" s="59">
        <f>_xlfn.XLOOKUP(A145,'[1]Aging Schedule'!$OA:$OA,'[1]Aging Schedule'!$NW:$NW)</f>
        <v>13.8599999999999</v>
      </c>
      <c r="M145" s="59">
        <f>_xlfn.XLOOKUP(A145,'[1]FRV Output'!$F:$F,'[1]FRV Output'!$BC:$BC)</f>
        <v>18.623802143025099</v>
      </c>
      <c r="N145" s="68"/>
      <c r="O145" s="68"/>
      <c r="R145" s="31"/>
      <c r="T145" s="59"/>
      <c r="U145" s="108"/>
      <c r="V145" s="110"/>
    </row>
    <row r="146" spans="1:22" hidden="1" x14ac:dyDescent="0.25">
      <c r="A146">
        <v>1427248905</v>
      </c>
      <c r="B146" s="36">
        <v>0.64458495698845675</v>
      </c>
      <c r="C146" s="63">
        <f>_xlfn.XLOOKUP($A146,'[1]FRV Output'!$F:$F,'[1]FRV Output'!$M:$M)</f>
        <v>39160</v>
      </c>
      <c r="D146" s="63">
        <f>_xlfn.XLOOKUP($A146,'[1]FRV Output'!$F:$F,'[1]FRV Output'!$N:$N)</f>
        <v>39267.28767123288</v>
      </c>
      <c r="E146" s="31">
        <f>_xlfn.XLOOKUP(A146,'[1]FRV Output'!$F:$F,'[1]FRV Output'!$U:$U)</f>
        <v>28204</v>
      </c>
      <c r="F146" s="31">
        <f>_xlfn.XLOOKUP($A146,'[1]FRV Output'!$F:$F,'[1]FRV Output'!$W:$W)</f>
        <v>142</v>
      </c>
      <c r="G146" s="59">
        <f>_xlfn.XLOOKUP($A146,'[1]FRV Output'!$F:$F,'[1]FRV Output'!$AO:$AO)</f>
        <v>13</v>
      </c>
      <c r="H146" s="63">
        <f t="shared" si="2"/>
        <v>70849</v>
      </c>
      <c r="I146" s="59">
        <f>_xlfn.XLOOKUP($A146,'[1]FRV Output'!$F:$F,'[1]FRV Output'!$Z:$Z)</f>
        <v>498.93661971830988</v>
      </c>
      <c r="J146" s="162">
        <v>29.25</v>
      </c>
      <c r="K146" s="164">
        <v>1.3108</v>
      </c>
      <c r="L146" s="59">
        <f>_xlfn.XLOOKUP(A146,'[1]Aging Schedule'!$OA:$OA,'[1]Aging Schedule'!$NW:$NW)</f>
        <v>13</v>
      </c>
      <c r="M146" s="59">
        <f>_xlfn.XLOOKUP(A146,'[1]FRV Output'!$F:$F,'[1]FRV Output'!$BC:$BC)</f>
        <v>26.111224072015411</v>
      </c>
      <c r="N146" s="68"/>
      <c r="O146" s="68"/>
      <c r="R146" s="31"/>
      <c r="T146" s="59"/>
      <c r="U146" s="108"/>
      <c r="V146" s="110"/>
    </row>
    <row r="147" spans="1:22" hidden="1" x14ac:dyDescent="0.25">
      <c r="A147">
        <v>1588219828</v>
      </c>
      <c r="B147" s="36">
        <v>0.64849641137457981</v>
      </c>
      <c r="C147" s="63">
        <f>_xlfn.XLOOKUP($A147,'[1]FRV Output'!$F:$F,'[1]FRV Output'!$M:$M)</f>
        <v>23942</v>
      </c>
      <c r="D147" s="63">
        <f>_xlfn.XLOOKUP($A147,'[1]FRV Output'!$F:$F,'[1]FRV Output'!$N:$N)</f>
        <v>24007.594520547947</v>
      </c>
      <c r="E147" s="31">
        <f>_xlfn.XLOOKUP(A147,'[1]FRV Output'!$F:$F,'[1]FRV Output'!$U:$U)</f>
        <v>28337</v>
      </c>
      <c r="F147" s="31">
        <f>_xlfn.XLOOKUP($A147,'[1]FRV Output'!$F:$F,'[1]FRV Output'!$W:$W)</f>
        <v>94</v>
      </c>
      <c r="G147" s="59">
        <f>_xlfn.XLOOKUP($A147,'[1]FRV Output'!$F:$F,'[1]FRV Output'!$AO:$AO)</f>
        <v>35.5</v>
      </c>
      <c r="H147" s="63">
        <f t="shared" si="2"/>
        <v>52816</v>
      </c>
      <c r="I147" s="59">
        <f>_xlfn.XLOOKUP($A147,'[1]FRV Output'!$F:$F,'[1]FRV Output'!$Z:$Z)</f>
        <v>561.87234042553189</v>
      </c>
      <c r="J147" s="162">
        <v>29.25</v>
      </c>
      <c r="K147" s="164">
        <v>1.1894</v>
      </c>
      <c r="L147" s="59">
        <f>_xlfn.XLOOKUP(A147,'[1]Aging Schedule'!$OA:$OA,'[1]Aging Schedule'!$NW:$NW)</f>
        <v>39.5</v>
      </c>
      <c r="M147" s="59">
        <f>_xlfn.XLOOKUP(A147,'[1]FRV Output'!$F:$F,'[1]FRV Output'!$BC:$BC)</f>
        <v>10.893226578324079</v>
      </c>
      <c r="N147" s="68"/>
      <c r="O147" s="68"/>
      <c r="R147" s="31"/>
      <c r="T147" s="59"/>
      <c r="U147" s="108"/>
      <c r="V147" s="110"/>
    </row>
    <row r="148" spans="1:22" hidden="1" x14ac:dyDescent="0.25">
      <c r="A148">
        <v>1245287762</v>
      </c>
      <c r="B148" s="36">
        <v>0.59147381242387331</v>
      </c>
      <c r="C148" s="63">
        <f>_xlfn.XLOOKUP($A148,'[1]FRV Output'!$F:$F,'[1]FRV Output'!$M:$M)</f>
        <v>29084</v>
      </c>
      <c r="D148" s="63">
        <f>_xlfn.XLOOKUP($A148,'[1]FRV Output'!$F:$F,'[1]FRV Output'!$N:$N)</f>
        <v>29163.682191780827</v>
      </c>
      <c r="E148" s="31">
        <f>_xlfn.XLOOKUP(A148,'[1]FRV Output'!$F:$F,'[1]FRV Output'!$U:$U)</f>
        <v>28621</v>
      </c>
      <c r="F148" s="31">
        <f>_xlfn.XLOOKUP($A148,'[1]FRV Output'!$F:$F,'[1]FRV Output'!$W:$W)</f>
        <v>100</v>
      </c>
      <c r="G148" s="59">
        <f>_xlfn.XLOOKUP($A148,'[1]FRV Output'!$F:$F,'[1]FRV Output'!$AO:$AO)</f>
        <v>4.75</v>
      </c>
      <c r="H148" s="63">
        <f t="shared" si="2"/>
        <v>24652</v>
      </c>
      <c r="I148" s="59">
        <f>_xlfn.XLOOKUP($A148,'[1]FRV Output'!$F:$F,'[1]FRV Output'!$Z:$Z)</f>
        <v>246.52</v>
      </c>
      <c r="J148" s="162">
        <v>29.25</v>
      </c>
      <c r="K148" s="164">
        <v>1.4067000000000001</v>
      </c>
      <c r="L148" s="59">
        <f>_xlfn.XLOOKUP(A148,'[1]Aging Schedule'!$OA:$OA,'[1]Aging Schedule'!$NW:$NW)</f>
        <v>4.75</v>
      </c>
      <c r="M148" s="59">
        <f>_xlfn.XLOOKUP(A148,'[1]FRV Output'!$F:$F,'[1]FRV Output'!$BC:$BC)</f>
        <v>25.67960583360194</v>
      </c>
      <c r="N148" s="68"/>
      <c r="O148" s="68"/>
      <c r="R148" s="31"/>
      <c r="T148" s="59"/>
      <c r="U148" s="108"/>
      <c r="V148" s="110"/>
    </row>
    <row r="149" spans="1:22" hidden="1" x14ac:dyDescent="0.25">
      <c r="A149">
        <v>1407803828</v>
      </c>
      <c r="B149" s="36">
        <v>0.69581582633053218</v>
      </c>
      <c r="C149" s="63">
        <f>_xlfn.XLOOKUP($A149,'[1]FRV Output'!$F:$F,'[1]FRV Output'!$M:$M)</f>
        <v>29745</v>
      </c>
      <c r="D149" s="63">
        <f>_xlfn.XLOOKUP($A149,'[1]FRV Output'!$F:$F,'[1]FRV Output'!$N:$N)</f>
        <v>29826.493150684935</v>
      </c>
      <c r="E149" s="31">
        <f>_xlfn.XLOOKUP(A149,'[1]FRV Output'!$F:$F,'[1]FRV Output'!$U:$U)</f>
        <v>28804</v>
      </c>
      <c r="F149" s="31">
        <f>_xlfn.XLOOKUP($A149,'[1]FRV Output'!$F:$F,'[1]FRV Output'!$W:$W)</f>
        <v>100</v>
      </c>
      <c r="G149" s="59">
        <f>_xlfn.XLOOKUP($A149,'[1]FRV Output'!$F:$F,'[1]FRV Output'!$AO:$AO)</f>
        <v>24.869999999999891</v>
      </c>
      <c r="H149" s="63">
        <f t="shared" si="2"/>
        <v>33368</v>
      </c>
      <c r="I149" s="59">
        <f>_xlfn.XLOOKUP($A149,'[1]FRV Output'!$F:$F,'[1]FRV Output'!$Z:$Z)</f>
        <v>333.68</v>
      </c>
      <c r="J149" s="162">
        <v>29.25</v>
      </c>
      <c r="K149" s="164">
        <v>1.1801999999999999</v>
      </c>
      <c r="L149" s="59">
        <f>_xlfn.XLOOKUP(A149,'[1]Aging Schedule'!$OA:$OA,'[1]Aging Schedule'!$NW:$NW)</f>
        <v>24.869999999999891</v>
      </c>
      <c r="M149" s="59">
        <f>_xlfn.XLOOKUP(A149,'[1]FRV Output'!$F:$F,'[1]FRV Output'!$BC:$BC)</f>
        <v>14.324670268331973</v>
      </c>
      <c r="N149" s="68"/>
      <c r="O149" s="68"/>
      <c r="R149" s="31"/>
      <c r="T149" s="59"/>
      <c r="U149" s="108"/>
      <c r="V149" s="110"/>
    </row>
    <row r="150" spans="1:22" hidden="1" x14ac:dyDescent="0.25">
      <c r="A150">
        <v>1447435722</v>
      </c>
      <c r="B150" s="36">
        <v>0.69362047947988625</v>
      </c>
      <c r="C150" s="63">
        <f>_xlfn.XLOOKUP($A150,'[1]FRV Output'!$F:$F,'[1]FRV Output'!$M:$M)</f>
        <v>33713</v>
      </c>
      <c r="D150" s="63">
        <f>_xlfn.XLOOKUP($A150,'[1]FRV Output'!$F:$F,'[1]FRV Output'!$N:$N)</f>
        <v>33805.364383561646</v>
      </c>
      <c r="E150" s="31">
        <f>_xlfn.XLOOKUP(A150,'[1]FRV Output'!$F:$F,'[1]FRV Output'!$U:$U)</f>
        <v>27705</v>
      </c>
      <c r="F150" s="31">
        <f>_xlfn.XLOOKUP($A150,'[1]FRV Output'!$F:$F,'[1]FRV Output'!$W:$W)</f>
        <v>125</v>
      </c>
      <c r="G150" s="59">
        <f>_xlfn.XLOOKUP($A150,'[1]FRV Output'!$F:$F,'[1]FRV Output'!$AO:$AO)</f>
        <v>4.3800000000001091</v>
      </c>
      <c r="H150" s="63">
        <f t="shared" si="2"/>
        <v>55784</v>
      </c>
      <c r="I150" s="59">
        <f>_xlfn.XLOOKUP($A150,'[1]FRV Output'!$F:$F,'[1]FRV Output'!$Z:$Z)</f>
        <v>446.27199999999999</v>
      </c>
      <c r="J150" s="162">
        <v>29.25</v>
      </c>
      <c r="K150" s="164">
        <v>1.2782</v>
      </c>
      <c r="L150" s="59">
        <f>_xlfn.XLOOKUP(A150,'[1]Aging Schedule'!$OA:$OA,'[1]Aging Schedule'!$NW:$NW)</f>
        <v>4.3800000000001091</v>
      </c>
      <c r="M150" s="59">
        <f>_xlfn.XLOOKUP(A150,'[1]FRV Output'!$F:$F,'[1]FRV Output'!$BC:$BC)</f>
        <v>27.818452300795077</v>
      </c>
      <c r="N150" s="68"/>
      <c r="O150" s="68"/>
      <c r="R150" s="31"/>
      <c r="T150" s="59"/>
      <c r="U150" s="108"/>
      <c r="V150" s="110"/>
    </row>
    <row r="151" spans="1:22" hidden="1" x14ac:dyDescent="0.25">
      <c r="A151">
        <v>1275508970</v>
      </c>
      <c r="B151" s="36">
        <v>0.58657707121199698</v>
      </c>
      <c r="C151" s="63">
        <f>_xlfn.XLOOKUP($A151,'[1]FRV Output'!$F:$F,'[1]FRV Output'!$M:$M)</f>
        <v>27304</v>
      </c>
      <c r="D151" s="63">
        <f>_xlfn.XLOOKUP($A151,'[1]FRV Output'!$F:$F,'[1]FRV Output'!$N:$N)</f>
        <v>27378.805479452058</v>
      </c>
      <c r="E151" s="31">
        <f>_xlfn.XLOOKUP(A151,'[1]FRV Output'!$F:$F,'[1]FRV Output'!$U:$U)</f>
        <v>28043</v>
      </c>
      <c r="F151" s="31">
        <f>_xlfn.XLOOKUP($A151,'[1]FRV Output'!$F:$F,'[1]FRV Output'!$W:$W)</f>
        <v>30</v>
      </c>
      <c r="G151" s="59">
        <f>_xlfn.XLOOKUP($A151,'[1]FRV Output'!$F:$F,'[1]FRV Output'!$AO:$AO)</f>
        <v>20.8900000000001</v>
      </c>
      <c r="H151" s="63">
        <f t="shared" si="2"/>
        <v>13878.746071893922</v>
      </c>
      <c r="I151" s="59">
        <f>_xlfn.XLOOKUP($A151,'[1]FRV Output'!$F:$F,'[1]FRV Output'!$Z:$Z)</f>
        <v>462.62486906313075</v>
      </c>
      <c r="J151" s="162">
        <v>29.25</v>
      </c>
      <c r="K151" s="164">
        <v>0.95779999999999998</v>
      </c>
      <c r="L151" s="59">
        <f>_xlfn.XLOOKUP(A151,'[1]Aging Schedule'!$OA:$OA,'[1]Aging Schedule'!$NW:$NW)</f>
        <v>20.8900000000001</v>
      </c>
      <c r="M151" s="59">
        <f>_xlfn.XLOOKUP(A151,'[1]FRV Output'!$F:$F,'[1]FRV Output'!$BC:$BC)</f>
        <v>6.642499883021534</v>
      </c>
      <c r="N151" s="68"/>
      <c r="O151" s="68"/>
      <c r="R151" s="31"/>
      <c r="T151" s="59"/>
      <c r="U151" s="108"/>
      <c r="V151" s="110"/>
    </row>
    <row r="152" spans="1:22" hidden="1" x14ac:dyDescent="0.25">
      <c r="A152">
        <v>1134175524</v>
      </c>
      <c r="B152" s="36">
        <v>0.55301016419077409</v>
      </c>
      <c r="C152" s="63">
        <f>_xlfn.XLOOKUP($A152,'[1]FRV Output'!$F:$F,'[1]FRV Output'!$M:$M)</f>
        <v>17755</v>
      </c>
      <c r="D152" s="63">
        <f>_xlfn.XLOOKUP($A152,'[1]FRV Output'!$F:$F,'[1]FRV Output'!$N:$N)</f>
        <v>17803.64383561644</v>
      </c>
      <c r="E152" s="31">
        <f>_xlfn.XLOOKUP(A152,'[1]FRV Output'!$F:$F,'[1]FRV Output'!$U:$U)</f>
        <v>27828</v>
      </c>
      <c r="F152" s="31">
        <f>_xlfn.XLOOKUP($A152,'[1]FRV Output'!$F:$F,'[1]FRV Output'!$W:$W)</f>
        <v>56</v>
      </c>
      <c r="G152" s="59">
        <f>_xlfn.XLOOKUP($A152,'[1]FRV Output'!$F:$F,'[1]FRV Output'!$AO:$AO)</f>
        <v>31.819999999999936</v>
      </c>
      <c r="H152" s="63">
        <f t="shared" si="2"/>
        <v>10682</v>
      </c>
      <c r="I152" s="59">
        <f>_xlfn.XLOOKUP($A152,'[1]FRV Output'!$F:$F,'[1]FRV Output'!$Z:$Z)</f>
        <v>190.75</v>
      </c>
      <c r="J152" s="162">
        <v>29.25</v>
      </c>
      <c r="K152" s="164">
        <v>1.2653000000000001</v>
      </c>
      <c r="L152" s="59">
        <f>_xlfn.XLOOKUP(A152,'[1]Aging Schedule'!$OA:$OA,'[1]Aging Schedule'!$NW:$NW)</f>
        <v>31.819999999999936</v>
      </c>
      <c r="M152" s="59">
        <f>_xlfn.XLOOKUP(A152,'[1]FRV Output'!$F:$F,'[1]FRV Output'!$BC:$BC)</f>
        <v>9.7248954099690543</v>
      </c>
      <c r="N152" s="68"/>
      <c r="O152" s="68"/>
      <c r="R152" s="31"/>
      <c r="T152" s="59"/>
      <c r="U152" s="108"/>
      <c r="V152" s="110"/>
    </row>
    <row r="153" spans="1:22" hidden="1" x14ac:dyDescent="0.25">
      <c r="A153">
        <v>1568127488</v>
      </c>
      <c r="B153" s="36">
        <v>0.66013163422489851</v>
      </c>
      <c r="C153" s="63">
        <f>_xlfn.XLOOKUP($A153,'[1]FRV Output'!$F:$F,'[1]FRV Output'!$M:$M)</f>
        <v>41005.668859649122</v>
      </c>
      <c r="D153" s="63">
        <f>_xlfn.XLOOKUP($A153,'[1]FRV Output'!$F:$F,'[1]FRV Output'!$N:$N)</f>
        <v>32912.444742613116</v>
      </c>
      <c r="E153" s="31">
        <f>_xlfn.XLOOKUP(A153,'[1]FRV Output'!$F:$F,'[1]FRV Output'!$U:$U)</f>
        <v>28027</v>
      </c>
      <c r="F153" s="31">
        <f>_xlfn.XLOOKUP($A153,'[1]FRV Output'!$F:$F,'[1]FRV Output'!$W:$W)</f>
        <v>160</v>
      </c>
      <c r="G153" s="59">
        <f>_xlfn.XLOOKUP($A153,'[1]FRV Output'!$F:$F,'[1]FRV Output'!$AO:$AO)</f>
        <v>35.5</v>
      </c>
      <c r="H153" s="63">
        <f t="shared" si="2"/>
        <v>52000</v>
      </c>
      <c r="I153" s="59">
        <f>_xlfn.XLOOKUP($A153,'[1]FRV Output'!$F:$F,'[1]FRV Output'!$Z:$Z)</f>
        <v>325</v>
      </c>
      <c r="J153" s="162">
        <v>29.25</v>
      </c>
      <c r="K153" s="164">
        <v>1.3164</v>
      </c>
      <c r="L153" s="59">
        <f>_xlfn.XLOOKUP(A153,'[1]Aging Schedule'!$OA:$OA,'[1]Aging Schedule'!$NW:$NW)</f>
        <v>35.740000000000009</v>
      </c>
      <c r="M153" s="59">
        <f>_xlfn.XLOOKUP(A153,'[1]FRV Output'!$F:$F,'[1]FRV Output'!$BC:$BC)</f>
        <v>8.6351250846091876</v>
      </c>
      <c r="N153" s="68"/>
      <c r="O153" s="68"/>
      <c r="R153" s="31"/>
      <c r="T153" s="59"/>
      <c r="U153" s="108"/>
      <c r="V153" s="110"/>
    </row>
    <row r="154" spans="1:22" hidden="1" x14ac:dyDescent="0.25">
      <c r="A154">
        <v>1396747689</v>
      </c>
      <c r="B154" s="36">
        <v>0.56938805104408352</v>
      </c>
      <c r="C154" s="63">
        <f>_xlfn.XLOOKUP($A154,'[1]FRV Output'!$F:$F,'[1]FRV Output'!$M:$M)</f>
        <v>25657</v>
      </c>
      <c r="D154" s="63">
        <f>_xlfn.XLOOKUP($A154,'[1]FRV Output'!$F:$F,'[1]FRV Output'!$N:$N)</f>
        <v>25727.293150684935</v>
      </c>
      <c r="E154" s="31">
        <f>_xlfn.XLOOKUP(A154,'[1]FRV Output'!$F:$F,'[1]FRV Output'!$U:$U)</f>
        <v>28730</v>
      </c>
      <c r="F154" s="31">
        <f>_xlfn.XLOOKUP($A154,'[1]FRV Output'!$F:$F,'[1]FRV Output'!$W:$W)</f>
        <v>106</v>
      </c>
      <c r="G154" s="59">
        <f>_xlfn.XLOOKUP($A154,'[1]FRV Output'!$F:$F,'[1]FRV Output'!$AO:$AO)</f>
        <v>24.740000000000009</v>
      </c>
      <c r="H154" s="63">
        <f t="shared" si="2"/>
        <v>34115.899843369116</v>
      </c>
      <c r="I154" s="59">
        <f>_xlfn.XLOOKUP($A154,'[1]FRV Output'!$F:$F,'[1]FRV Output'!$Z:$Z)</f>
        <v>321.84811172989731</v>
      </c>
      <c r="J154" s="162">
        <v>29.25</v>
      </c>
      <c r="K154" s="164">
        <v>1.1767000000000001</v>
      </c>
      <c r="L154" s="59">
        <f>_xlfn.XLOOKUP(A154,'[1]Aging Schedule'!$OA:$OA,'[1]Aging Schedule'!$NW:$NW)</f>
        <v>24.740000000000009</v>
      </c>
      <c r="M154" s="59">
        <f>_xlfn.XLOOKUP(A154,'[1]FRV Output'!$F:$F,'[1]FRV Output'!$BC:$BC)</f>
        <v>14.203264953263492</v>
      </c>
      <c r="N154" s="68"/>
      <c r="O154" s="68"/>
      <c r="R154" s="31"/>
      <c r="T154" s="59"/>
      <c r="U154" s="108"/>
      <c r="V154" s="110"/>
    </row>
    <row r="155" spans="1:22" hidden="1" x14ac:dyDescent="0.25">
      <c r="A155">
        <v>1932135381</v>
      </c>
      <c r="B155" s="36">
        <v>0.65310492505353313</v>
      </c>
      <c r="C155" s="63">
        <f>_xlfn.XLOOKUP($A155,'[1]FRV Output'!$F:$F,'[1]FRV Output'!$M:$M)</f>
        <v>18033</v>
      </c>
      <c r="D155" s="63">
        <f>_xlfn.XLOOKUP($A155,'[1]FRV Output'!$F:$F,'[1]FRV Output'!$N:$N)</f>
        <v>18082.405479452056</v>
      </c>
      <c r="E155" s="31">
        <f>_xlfn.XLOOKUP(A155,'[1]FRV Output'!$F:$F,'[1]FRV Output'!$U:$U)</f>
        <v>28001</v>
      </c>
      <c r="F155" s="31">
        <f>_xlfn.XLOOKUP($A155,'[1]FRV Output'!$F:$F,'[1]FRV Output'!$W:$W)</f>
        <v>60</v>
      </c>
      <c r="G155" s="59">
        <f>_xlfn.XLOOKUP($A155,'[1]FRV Output'!$F:$F,'[1]FRV Output'!$AO:$AO)</f>
        <v>21.880000000000109</v>
      </c>
      <c r="H155" s="63">
        <f t="shared" si="2"/>
        <v>19703.96303864949</v>
      </c>
      <c r="I155" s="59">
        <f>_xlfn.XLOOKUP($A155,'[1]FRV Output'!$F:$F,'[1]FRV Output'!$Z:$Z)</f>
        <v>328.39938397749148</v>
      </c>
      <c r="J155" s="162">
        <v>29.25</v>
      </c>
      <c r="K155" s="164">
        <v>1.2315</v>
      </c>
      <c r="L155" s="59">
        <f>_xlfn.XLOOKUP(A155,'[1]Aging Schedule'!$OA:$OA,'[1]Aging Schedule'!$NW:$NW)</f>
        <v>21.880000000000109</v>
      </c>
      <c r="M155" s="59">
        <f>_xlfn.XLOOKUP(A155,'[1]FRV Output'!$F:$F,'[1]FRV Output'!$BC:$BC)</f>
        <v>15.763406616841223</v>
      </c>
      <c r="N155" s="68"/>
      <c r="O155" s="68"/>
      <c r="R155" s="31"/>
      <c r="T155" s="59"/>
      <c r="U155" s="108"/>
      <c r="V155" s="110"/>
    </row>
    <row r="156" spans="1:22" hidden="1" x14ac:dyDescent="0.25">
      <c r="A156">
        <v>1710932355</v>
      </c>
      <c r="B156" s="36">
        <v>0.6514691504142438</v>
      </c>
      <c r="C156" s="63">
        <f>_xlfn.XLOOKUP($A156,'[1]FRV Output'!$F:$F,'[1]FRV Output'!$M:$M)</f>
        <v>9692</v>
      </c>
      <c r="D156" s="63">
        <f>_xlfn.XLOOKUP($A156,'[1]FRV Output'!$F:$F,'[1]FRV Output'!$N:$N)</f>
        <v>9718.5534246575353</v>
      </c>
      <c r="E156" s="31">
        <f>_xlfn.XLOOKUP(A156,'[1]FRV Output'!$F:$F,'[1]FRV Output'!$U:$U)</f>
        <v>27886</v>
      </c>
      <c r="F156" s="31">
        <f>_xlfn.XLOOKUP($A156,'[1]FRV Output'!$F:$F,'[1]FRV Output'!$W:$W)</f>
        <v>30</v>
      </c>
      <c r="G156" s="59">
        <f>_xlfn.XLOOKUP($A156,'[1]FRV Output'!$F:$F,'[1]FRV Output'!$AO:$AO)</f>
        <v>4</v>
      </c>
      <c r="H156" s="63">
        <f t="shared" si="2"/>
        <v>12750</v>
      </c>
      <c r="I156" s="59">
        <f>_xlfn.XLOOKUP($A156,'[1]FRV Output'!$F:$F,'[1]FRV Output'!$Z:$Z)</f>
        <v>425</v>
      </c>
      <c r="J156" s="162">
        <v>29.25</v>
      </c>
      <c r="K156" s="164">
        <v>0</v>
      </c>
      <c r="L156" s="59">
        <f>_xlfn.XLOOKUP(A156,'[1]Aging Schedule'!$OA:$OA,'[1]Aging Schedule'!$NW:$NW)</f>
        <v>4</v>
      </c>
      <c r="M156" s="59">
        <f>_xlfn.XLOOKUP(A156,'[1]FRV Output'!$F:$F,'[1]FRV Output'!$BC:$BC)</f>
        <v>25.101908844923646</v>
      </c>
      <c r="N156" s="68"/>
      <c r="O156" s="68"/>
      <c r="R156" s="31"/>
      <c r="T156" s="59"/>
      <c r="U156" s="108"/>
      <c r="V156" s="110"/>
    </row>
    <row r="157" spans="1:22" hidden="1" x14ac:dyDescent="0.25">
      <c r="A157">
        <v>1417951492</v>
      </c>
      <c r="B157" s="36">
        <v>0.61056515984116155</v>
      </c>
      <c r="C157" s="63">
        <f>_xlfn.XLOOKUP($A157,'[1]FRV Output'!$F:$F,'[1]FRV Output'!$M:$M)</f>
        <v>23853</v>
      </c>
      <c r="D157" s="63">
        <f>_xlfn.XLOOKUP($A157,'[1]FRV Output'!$F:$F,'[1]FRV Output'!$N:$N)</f>
        <v>23918.350684931509</v>
      </c>
      <c r="E157" s="31">
        <f>_xlfn.XLOOKUP(A157,'[1]FRV Output'!$F:$F,'[1]FRV Output'!$U:$U)</f>
        <v>27410</v>
      </c>
      <c r="F157" s="31">
        <f>_xlfn.XLOOKUP($A157,'[1]FRV Output'!$F:$F,'[1]FRV Output'!$W:$W)</f>
        <v>69</v>
      </c>
      <c r="G157" s="59">
        <f>_xlfn.XLOOKUP($A157,'[1]FRV Output'!$F:$F,'[1]FRV Output'!$AO:$AO)</f>
        <v>18</v>
      </c>
      <c r="H157" s="63">
        <f t="shared" si="2"/>
        <v>27600</v>
      </c>
      <c r="I157" s="59">
        <f>_xlfn.XLOOKUP($A157,'[1]FRV Output'!$F:$F,'[1]FRV Output'!$Z:$Z)</f>
        <v>400</v>
      </c>
      <c r="J157" s="162">
        <v>0</v>
      </c>
      <c r="K157" s="164">
        <v>0.89019999999999999</v>
      </c>
      <c r="L157" s="59">
        <f>_xlfn.XLOOKUP(A157,'[1]Aging Schedule'!$OA:$OA,'[1]Aging Schedule'!$NW:$NW)</f>
        <v>18</v>
      </c>
      <c r="M157" s="59">
        <f>_xlfn.XLOOKUP(A157,'[1]FRV Output'!$F:$F,'[1]FRV Output'!$BC:$BC)</f>
        <v>16.772281350773486</v>
      </c>
      <c r="N157" s="68"/>
      <c r="O157" s="68"/>
      <c r="R157" s="31"/>
      <c r="T157" s="59"/>
      <c r="U157" s="108"/>
      <c r="V157" s="110"/>
    </row>
    <row r="158" spans="1:22" hidden="1" x14ac:dyDescent="0.25">
      <c r="A158">
        <v>1730136128</v>
      </c>
      <c r="B158" s="36">
        <v>0.60203026600244391</v>
      </c>
      <c r="C158" s="63">
        <f>_xlfn.XLOOKUP($A158,'[1]FRV Output'!$F:$F,'[1]FRV Output'!$M:$M)</f>
        <v>29608</v>
      </c>
      <c r="D158" s="63">
        <f>_xlfn.XLOOKUP($A158,'[1]FRV Output'!$F:$F,'[1]FRV Output'!$N:$N)</f>
        <v>29689.11780821918</v>
      </c>
      <c r="E158" s="31">
        <f>_xlfn.XLOOKUP(A158,'[1]FRV Output'!$F:$F,'[1]FRV Output'!$U:$U)</f>
        <v>28645</v>
      </c>
      <c r="F158" s="31">
        <f>_xlfn.XLOOKUP($A158,'[1]FRV Output'!$F:$F,'[1]FRV Output'!$W:$W)</f>
        <v>100</v>
      </c>
      <c r="G158" s="59">
        <f>_xlfn.XLOOKUP($A158,'[1]FRV Output'!$F:$F,'[1]FRV Output'!$AO:$AO)</f>
        <v>27.819999999999936</v>
      </c>
      <c r="H158" s="63">
        <f t="shared" si="2"/>
        <v>38383</v>
      </c>
      <c r="I158" s="59">
        <f>_xlfn.XLOOKUP($A158,'[1]FRV Output'!$F:$F,'[1]FRV Output'!$Z:$Z)</f>
        <v>383.83</v>
      </c>
      <c r="J158" s="162">
        <v>29.25</v>
      </c>
      <c r="K158" s="164">
        <v>1.1941999999999999</v>
      </c>
      <c r="L158" s="59">
        <f>_xlfn.XLOOKUP(A158,'[1]Aging Schedule'!$OA:$OA,'[1]Aging Schedule'!$NW:$NW)</f>
        <v>27.819999999999936</v>
      </c>
      <c r="M158" s="59">
        <f>_xlfn.XLOOKUP(A158,'[1]FRV Output'!$F:$F,'[1]FRV Output'!$BC:$BC)</f>
        <v>13.515708252280204</v>
      </c>
      <c r="N158" s="68"/>
      <c r="O158" s="68"/>
      <c r="R158" s="31"/>
      <c r="T158" s="59"/>
      <c r="U158" s="108"/>
      <c r="V158" s="110"/>
    </row>
    <row r="159" spans="1:22" hidden="1" x14ac:dyDescent="0.25">
      <c r="A159">
        <v>1699313544</v>
      </c>
      <c r="B159" s="36">
        <v>0.65054730844204522</v>
      </c>
      <c r="C159" s="63">
        <f>_xlfn.XLOOKUP($A159,'[1]FRV Output'!$F:$F,'[1]FRV Output'!$M:$M)</f>
        <v>33774</v>
      </c>
      <c r="D159" s="63">
        <f>_xlfn.XLOOKUP($A159,'[1]FRV Output'!$F:$F,'[1]FRV Output'!$N:$N)</f>
        <v>33866.531506849322</v>
      </c>
      <c r="E159" s="31">
        <f>_xlfn.XLOOKUP(A159,'[1]FRV Output'!$F:$F,'[1]FRV Output'!$U:$U)</f>
        <v>28115</v>
      </c>
      <c r="F159" s="31">
        <f>_xlfn.XLOOKUP($A159,'[1]FRV Output'!$F:$F,'[1]FRV Output'!$W:$W)</f>
        <v>130</v>
      </c>
      <c r="G159" s="59">
        <f>_xlfn.XLOOKUP($A159,'[1]FRV Output'!$F:$F,'[1]FRV Output'!$AO:$AO)</f>
        <v>10.930000000000064</v>
      </c>
      <c r="H159" s="63">
        <f t="shared" si="2"/>
        <v>24819.52131974505</v>
      </c>
      <c r="I159" s="59">
        <f>_xlfn.XLOOKUP($A159,'[1]FRV Output'!$F:$F,'[1]FRV Output'!$Z:$Z)</f>
        <v>190.91939476726961</v>
      </c>
      <c r="J159" s="162">
        <v>29.25</v>
      </c>
      <c r="K159" s="164">
        <v>1.1551</v>
      </c>
      <c r="L159" s="59">
        <f>_xlfn.XLOOKUP(A159,'[1]Aging Schedule'!$OA:$OA,'[1]Aging Schedule'!$NW:$NW)</f>
        <v>10.930000000000064</v>
      </c>
      <c r="M159" s="59">
        <f>_xlfn.XLOOKUP(A159,'[1]FRV Output'!$F:$F,'[1]FRV Output'!$BC:$BC)</f>
        <v>23.499680681385971</v>
      </c>
      <c r="N159" s="68"/>
      <c r="O159" s="68"/>
      <c r="R159" s="31"/>
      <c r="T159" s="59"/>
      <c r="U159" s="108"/>
      <c r="V159" s="110"/>
    </row>
    <row r="160" spans="1:22" hidden="1" x14ac:dyDescent="0.25">
      <c r="A160">
        <v>1144868092</v>
      </c>
      <c r="B160" s="36">
        <v>0.69513888888888886</v>
      </c>
      <c r="C160" s="63">
        <f>_xlfn.XLOOKUP($A160,'[1]FRV Output'!$F:$F,'[1]FRV Output'!$M:$M)</f>
        <v>27284</v>
      </c>
      <c r="D160" s="63">
        <f>_xlfn.XLOOKUP($A160,'[1]FRV Output'!$F:$F,'[1]FRV Output'!$N:$N)</f>
        <v>27358.75068493151</v>
      </c>
      <c r="E160" s="31">
        <f>_xlfn.XLOOKUP(A160,'[1]FRV Output'!$F:$F,'[1]FRV Output'!$U:$U)</f>
        <v>28144</v>
      </c>
      <c r="F160" s="31">
        <f>_xlfn.XLOOKUP($A160,'[1]FRV Output'!$F:$F,'[1]FRV Output'!$W:$W)</f>
        <v>160</v>
      </c>
      <c r="G160" s="59">
        <f>_xlfn.XLOOKUP($A160,'[1]FRV Output'!$F:$F,'[1]FRV Output'!$AO:$AO)</f>
        <v>18.380000000000109</v>
      </c>
      <c r="H160" s="63">
        <f t="shared" si="2"/>
        <v>26536.076591427845</v>
      </c>
      <c r="I160" s="59">
        <f>_xlfn.XLOOKUP($A160,'[1]FRV Output'!$F:$F,'[1]FRV Output'!$Z:$Z)</f>
        <v>165.85047869642403</v>
      </c>
      <c r="J160" s="162">
        <v>29.25</v>
      </c>
      <c r="K160" s="164">
        <v>0</v>
      </c>
      <c r="L160" s="59">
        <f>_xlfn.XLOOKUP(A160,'[1]Aging Schedule'!$OA:$OA,'[1]Aging Schedule'!$NW:$NW)</f>
        <v>18.380000000000109</v>
      </c>
      <c r="M160" s="59">
        <f>_xlfn.XLOOKUP(A160,'[1]FRV Output'!$F:$F,'[1]FRV Output'!$BC:$BC)</f>
        <v>18.870125175181322</v>
      </c>
      <c r="N160" s="68"/>
      <c r="O160" s="68"/>
      <c r="R160" s="31"/>
      <c r="T160" s="59"/>
      <c r="U160" s="108"/>
      <c r="V160" s="110"/>
    </row>
    <row r="161" spans="1:22" hidden="1" x14ac:dyDescent="0.25">
      <c r="A161">
        <v>1679555403</v>
      </c>
      <c r="B161" s="36">
        <v>0.68092653302520556</v>
      </c>
      <c r="C161" s="63">
        <f>_xlfn.XLOOKUP($A161,'[1]FRV Output'!$F:$F,'[1]FRV Output'!$M:$M)</f>
        <v>18260</v>
      </c>
      <c r="D161" s="63">
        <f>_xlfn.XLOOKUP($A161,'[1]FRV Output'!$F:$F,'[1]FRV Output'!$N:$N)</f>
        <v>18310.027397260277</v>
      </c>
      <c r="E161" s="31">
        <f>_xlfn.XLOOKUP(A161,'[1]FRV Output'!$F:$F,'[1]FRV Output'!$U:$U)</f>
        <v>28803</v>
      </c>
      <c r="F161" s="31">
        <f>_xlfn.XLOOKUP($A161,'[1]FRV Output'!$F:$F,'[1]FRV Output'!$W:$W)</f>
        <v>70</v>
      </c>
      <c r="G161" s="59">
        <f>_xlfn.XLOOKUP($A161,'[1]FRV Output'!$F:$F,'[1]FRV Output'!$AO:$AO)</f>
        <v>1.3599999999999</v>
      </c>
      <c r="H161" s="63">
        <f t="shared" si="2"/>
        <v>45943.370541791446</v>
      </c>
      <c r="I161" s="59">
        <f>_xlfn.XLOOKUP($A161,'[1]FRV Output'!$F:$F,'[1]FRV Output'!$Z:$Z)</f>
        <v>656.33386488273493</v>
      </c>
      <c r="J161" s="162">
        <v>0</v>
      </c>
      <c r="K161" s="164">
        <v>1.0376000000000001</v>
      </c>
      <c r="L161" s="59">
        <f>_xlfn.XLOOKUP(A161,'[1]Aging Schedule'!$OA:$OA,'[1]Aging Schedule'!$NW:$NW)</f>
        <v>1.3599999999999</v>
      </c>
      <c r="M161" s="59">
        <f>_xlfn.XLOOKUP(A161,'[1]FRV Output'!$F:$F,'[1]FRV Output'!$BC:$BC)</f>
        <v>40.255689133830082</v>
      </c>
      <c r="N161" s="68"/>
      <c r="O161" s="68"/>
      <c r="R161" s="31"/>
      <c r="T161" s="59"/>
      <c r="U161" s="108"/>
      <c r="V161" s="110"/>
    </row>
    <row r="162" spans="1:22" hidden="1" x14ac:dyDescent="0.25">
      <c r="A162">
        <v>1174524458</v>
      </c>
      <c r="B162" s="36">
        <v>0.67588427091501913</v>
      </c>
      <c r="C162" s="63">
        <f>_xlfn.XLOOKUP($A162,'[1]FRV Output'!$F:$F,'[1]FRV Output'!$M:$M)</f>
        <v>22244</v>
      </c>
      <c r="D162" s="63">
        <f>_xlfn.XLOOKUP($A162,'[1]FRV Output'!$F:$F,'[1]FRV Output'!$N:$N)</f>
        <v>22304.942465753425</v>
      </c>
      <c r="E162" s="31">
        <f>_xlfn.XLOOKUP(A162,'[1]FRV Output'!$F:$F,'[1]FRV Output'!$U:$U)</f>
        <v>27511</v>
      </c>
      <c r="F162" s="31">
        <f>_xlfn.XLOOKUP($A162,'[1]FRV Output'!$F:$F,'[1]FRV Output'!$W:$W)</f>
        <v>71</v>
      </c>
      <c r="G162" s="59">
        <f>_xlfn.XLOOKUP($A162,'[1]FRV Output'!$F:$F,'[1]FRV Output'!$AO:$AO)</f>
        <v>7</v>
      </c>
      <c r="H162" s="63">
        <f t="shared" si="2"/>
        <v>30175</v>
      </c>
      <c r="I162" s="59">
        <f>_xlfn.XLOOKUP($A162,'[1]FRV Output'!$F:$F,'[1]FRV Output'!$Z:$Z)</f>
        <v>425</v>
      </c>
      <c r="J162" s="162">
        <v>0</v>
      </c>
      <c r="K162" s="164">
        <v>1.113</v>
      </c>
      <c r="L162" s="59">
        <f>_xlfn.XLOOKUP(A162,'[1]Aging Schedule'!$OA:$OA,'[1]Aging Schedule'!$NW:$NW)</f>
        <v>7</v>
      </c>
      <c r="M162" s="59">
        <f>_xlfn.XLOOKUP(A162,'[1]FRV Output'!$F:$F,'[1]FRV Output'!$BC:$BC)</f>
        <v>24.978946947322868</v>
      </c>
      <c r="N162" s="68"/>
      <c r="O162" s="68"/>
      <c r="R162" s="31"/>
      <c r="T162" s="59"/>
      <c r="U162" s="108"/>
      <c r="V162" s="110"/>
    </row>
    <row r="163" spans="1:22" hidden="1" x14ac:dyDescent="0.25">
      <c r="A163">
        <v>1316662711</v>
      </c>
      <c r="B163" s="36">
        <v>0.6402295236598019</v>
      </c>
      <c r="C163" s="63">
        <f>_xlfn.XLOOKUP($A163,'[1]FRV Output'!$F:$F,'[1]FRV Output'!$M:$M)</f>
        <v>22704</v>
      </c>
      <c r="D163" s="63">
        <f>_xlfn.XLOOKUP($A163,'[1]FRV Output'!$F:$F,'[1]FRV Output'!$N:$N)</f>
        <v>22766.202739726028</v>
      </c>
      <c r="E163" s="31">
        <f>_xlfn.XLOOKUP(A163,'[1]FRV Output'!$F:$F,'[1]FRV Output'!$U:$U)</f>
        <v>28607</v>
      </c>
      <c r="F163" s="31">
        <f>_xlfn.XLOOKUP($A163,'[1]FRV Output'!$F:$F,'[1]FRV Output'!$W:$W)</f>
        <v>134</v>
      </c>
      <c r="G163" s="59">
        <f>_xlfn.XLOOKUP($A163,'[1]FRV Output'!$F:$F,'[1]FRV Output'!$AO:$AO)</f>
        <v>20.230000000000018</v>
      </c>
      <c r="H163" s="63">
        <f t="shared" si="2"/>
        <v>50250</v>
      </c>
      <c r="I163" s="59">
        <f>_xlfn.XLOOKUP($A163,'[1]FRV Output'!$F:$F,'[1]FRV Output'!$Z:$Z)</f>
        <v>375</v>
      </c>
      <c r="J163" s="162">
        <v>29.25</v>
      </c>
      <c r="K163" s="164">
        <v>1.1709000000000001</v>
      </c>
      <c r="L163" s="59">
        <f>_xlfn.XLOOKUP(A163,'[1]Aging Schedule'!$OA:$OA,'[1]Aging Schedule'!$NW:$NW)</f>
        <v>20.230000000000018</v>
      </c>
      <c r="M163" s="59">
        <f>_xlfn.XLOOKUP(A163,'[1]FRV Output'!$F:$F,'[1]FRV Output'!$BC:$BC)</f>
        <v>17.298636009669639</v>
      </c>
      <c r="N163" s="68"/>
      <c r="O163" s="68"/>
      <c r="R163" s="31"/>
      <c r="T163" s="59"/>
      <c r="U163" s="108"/>
      <c r="V163" s="110"/>
    </row>
    <row r="164" spans="1:22" hidden="1" x14ac:dyDescent="0.25">
      <c r="A164">
        <v>1023386190</v>
      </c>
      <c r="B164" s="36">
        <v>0.6287221675757847</v>
      </c>
      <c r="C164" s="63">
        <f>_xlfn.XLOOKUP($A164,'[1]FRV Output'!$F:$F,'[1]FRV Output'!$M:$M)</f>
        <v>23649</v>
      </c>
      <c r="D164" s="63">
        <f>_xlfn.XLOOKUP($A164,'[1]FRV Output'!$F:$F,'[1]FRV Output'!$N:$N)</f>
        <v>23713.791780821921</v>
      </c>
      <c r="E164" s="31">
        <f>_xlfn.XLOOKUP(A164,'[1]FRV Output'!$F:$F,'[1]FRV Output'!$U:$U)</f>
        <v>28398</v>
      </c>
      <c r="F164" s="31">
        <f>_xlfn.XLOOKUP($A164,'[1]FRV Output'!$F:$F,'[1]FRV Output'!$W:$W)</f>
        <v>100</v>
      </c>
      <c r="G164" s="59">
        <f>_xlfn.XLOOKUP($A164,'[1]FRV Output'!$F:$F,'[1]FRV Output'!$AO:$AO)</f>
        <v>28.380000000000109</v>
      </c>
      <c r="H164" s="63">
        <f t="shared" si="2"/>
        <v>35000</v>
      </c>
      <c r="I164" s="59">
        <f>_xlfn.XLOOKUP($A164,'[1]FRV Output'!$F:$F,'[1]FRV Output'!$Z:$Z)</f>
        <v>350</v>
      </c>
      <c r="J164" s="162">
        <v>29.25</v>
      </c>
      <c r="K164" s="164">
        <v>1.1184000000000001</v>
      </c>
      <c r="L164" s="59">
        <f>_xlfn.XLOOKUP(A164,'[1]Aging Schedule'!$OA:$OA,'[1]Aging Schedule'!$NW:$NW)</f>
        <v>28.380000000000109</v>
      </c>
      <c r="M164" s="59">
        <f>_xlfn.XLOOKUP(A164,'[1]FRV Output'!$F:$F,'[1]FRV Output'!$BC:$BC)</f>
        <v>11.994758330378689</v>
      </c>
      <c r="N164" s="68"/>
      <c r="O164" s="68"/>
      <c r="R164" s="31"/>
      <c r="T164" s="59"/>
      <c r="U164" s="108"/>
      <c r="V164" s="110"/>
    </row>
    <row r="165" spans="1:22" hidden="1" x14ac:dyDescent="0.25">
      <c r="A165">
        <v>1396802260</v>
      </c>
      <c r="B165" s="36">
        <v>0.62996752744703888</v>
      </c>
      <c r="C165" s="63">
        <f>_xlfn.XLOOKUP($A165,'[1]FRV Output'!$F:$F,'[1]FRV Output'!$M:$M)</f>
        <v>13598</v>
      </c>
      <c r="D165" s="63">
        <f>_xlfn.XLOOKUP($A165,'[1]FRV Output'!$F:$F,'[1]FRV Output'!$N:$N)</f>
        <v>13635.25479452055</v>
      </c>
      <c r="E165" s="31">
        <f>_xlfn.XLOOKUP(A165,'[1]FRV Output'!$F:$F,'[1]FRV Output'!$U:$U)</f>
        <v>28360</v>
      </c>
      <c r="F165" s="31">
        <f>_xlfn.XLOOKUP($A165,'[1]FRV Output'!$F:$F,'[1]FRV Output'!$W:$W)</f>
        <v>52</v>
      </c>
      <c r="G165" s="59">
        <f>_xlfn.XLOOKUP($A165,'[1]FRV Output'!$F:$F,'[1]FRV Output'!$AO:$AO)</f>
        <v>6.4700000000000273</v>
      </c>
      <c r="H165" s="63">
        <f t="shared" si="2"/>
        <v>35369.85482706043</v>
      </c>
      <c r="I165" s="59">
        <f>_xlfn.XLOOKUP($A165,'[1]FRV Output'!$F:$F,'[1]FRV Output'!$Z:$Z)</f>
        <v>680.18951590500831</v>
      </c>
      <c r="J165" s="162">
        <v>29.25</v>
      </c>
      <c r="K165" s="164">
        <v>1.2176</v>
      </c>
      <c r="L165" s="59">
        <f>_xlfn.XLOOKUP(A165,'[1]Aging Schedule'!$OA:$OA,'[1]Aging Schedule'!$NW:$NW)</f>
        <v>6.4700000000000273</v>
      </c>
      <c r="M165" s="59">
        <f>_xlfn.XLOOKUP(A165,'[1]FRV Output'!$F:$F,'[1]FRV Output'!$BC:$BC)</f>
        <v>39.043697952224001</v>
      </c>
      <c r="N165" s="68"/>
      <c r="O165" s="68"/>
      <c r="R165" s="31"/>
      <c r="T165" s="59"/>
      <c r="U165" s="108"/>
      <c r="V165" s="110"/>
    </row>
    <row r="166" spans="1:22" hidden="1" x14ac:dyDescent="0.25">
      <c r="A166">
        <v>1588618045</v>
      </c>
      <c r="B166" s="36">
        <v>0.59926047658175852</v>
      </c>
      <c r="C166" s="63">
        <f>_xlfn.XLOOKUP($A166,'[1]FRV Output'!$F:$F,'[1]FRV Output'!$M:$M)</f>
        <v>16425</v>
      </c>
      <c r="D166" s="63">
        <f>_xlfn.XLOOKUP($A166,'[1]FRV Output'!$F:$F,'[1]FRV Output'!$N:$N)</f>
        <v>16470</v>
      </c>
      <c r="E166" s="31">
        <f>_xlfn.XLOOKUP(A166,'[1]FRV Output'!$F:$F,'[1]FRV Output'!$U:$U)</f>
        <v>28342</v>
      </c>
      <c r="F166" s="31">
        <f>_xlfn.XLOOKUP($A166,'[1]FRV Output'!$F:$F,'[1]FRV Output'!$W:$W)</f>
        <v>58</v>
      </c>
      <c r="G166" s="59">
        <f>_xlfn.XLOOKUP($A166,'[1]FRV Output'!$F:$F,'[1]FRV Output'!$AO:$AO)</f>
        <v>35.5</v>
      </c>
      <c r="H166" s="63">
        <f t="shared" si="2"/>
        <v>17305</v>
      </c>
      <c r="I166" s="59">
        <f>_xlfn.XLOOKUP($A166,'[1]FRV Output'!$F:$F,'[1]FRV Output'!$Z:$Z)</f>
        <v>298.36206896551727</v>
      </c>
      <c r="J166" s="162">
        <v>29.25</v>
      </c>
      <c r="K166" s="164">
        <v>1.2746</v>
      </c>
      <c r="L166" s="59">
        <f>_xlfn.XLOOKUP(A166,'[1]Aging Schedule'!$OA:$OA,'[1]Aging Schedule'!$NW:$NW)</f>
        <v>47.079999999999927</v>
      </c>
      <c r="M166" s="59">
        <f>_xlfn.XLOOKUP(A166,'[1]FRV Output'!$F:$F,'[1]FRV Output'!$BC:$BC)</f>
        <v>8.6351250846091876</v>
      </c>
      <c r="N166" s="68"/>
      <c r="O166" s="68"/>
      <c r="R166" s="31"/>
      <c r="T166" s="59"/>
      <c r="U166" s="108"/>
      <c r="V166" s="110"/>
    </row>
    <row r="167" spans="1:22" hidden="1" x14ac:dyDescent="0.25">
      <c r="A167">
        <v>1962066480</v>
      </c>
      <c r="B167" s="36">
        <v>0.73197718369871489</v>
      </c>
      <c r="C167" s="63">
        <f>_xlfn.XLOOKUP($A167,'[1]FRV Output'!$F:$F,'[1]FRV Output'!$M:$M)</f>
        <v>36140</v>
      </c>
      <c r="D167" s="63">
        <f>_xlfn.XLOOKUP($A167,'[1]FRV Output'!$F:$F,'[1]FRV Output'!$N:$N)</f>
        <v>36239.013698630144</v>
      </c>
      <c r="E167" s="31">
        <f>_xlfn.XLOOKUP(A167,'[1]FRV Output'!$F:$F,'[1]FRV Output'!$U:$U)</f>
        <v>28655</v>
      </c>
      <c r="F167" s="31">
        <f>_xlfn.XLOOKUP($A167,'[1]FRV Output'!$F:$F,'[1]FRV Output'!$W:$W)</f>
        <v>120</v>
      </c>
      <c r="G167" s="59">
        <f>_xlfn.XLOOKUP($A167,'[1]FRV Output'!$F:$F,'[1]FRV Output'!$AO:$AO)</f>
        <v>35.5</v>
      </c>
      <c r="H167" s="63">
        <f t="shared" si="2"/>
        <v>34000</v>
      </c>
      <c r="I167" s="59">
        <f>_xlfn.XLOOKUP($A167,'[1]FRV Output'!$F:$F,'[1]FRV Output'!$Z:$Z)</f>
        <v>283.33333333333331</v>
      </c>
      <c r="J167" s="162">
        <v>29.25</v>
      </c>
      <c r="K167" s="164">
        <v>1.4679</v>
      </c>
      <c r="L167" s="59">
        <f>_xlfn.XLOOKUP(A167,'[1]Aging Schedule'!$OA:$OA,'[1]Aging Schedule'!$NW:$NW)</f>
        <v>38.380000000000109</v>
      </c>
      <c r="M167" s="59">
        <f>_xlfn.XLOOKUP(A167,'[1]FRV Output'!$F:$F,'[1]FRV Output'!$BC:$BC)</f>
        <v>8.5425591659951667</v>
      </c>
      <c r="N167" s="68"/>
      <c r="O167" s="68"/>
      <c r="R167" s="31"/>
      <c r="T167" s="59"/>
      <c r="U167" s="108"/>
      <c r="V167" s="110"/>
    </row>
    <row r="168" spans="1:22" hidden="1" x14ac:dyDescent="0.25">
      <c r="A168">
        <v>1588642102</v>
      </c>
      <c r="B168" s="36">
        <v>0.67825806970940994</v>
      </c>
      <c r="C168" s="63">
        <f>_xlfn.XLOOKUP($A168,'[1]FRV Output'!$F:$F,'[1]FRV Output'!$M:$M)</f>
        <v>28586</v>
      </c>
      <c r="D168" s="63">
        <f>_xlfn.XLOOKUP($A168,'[1]FRV Output'!$F:$F,'[1]FRV Output'!$N:$N)</f>
        <v>28664.317808219181</v>
      </c>
      <c r="E168" s="31">
        <f>_xlfn.XLOOKUP(A168,'[1]FRV Output'!$F:$F,'[1]FRV Output'!$U:$U)</f>
        <v>27370</v>
      </c>
      <c r="F168" s="31">
        <f>_xlfn.XLOOKUP($A168,'[1]FRV Output'!$F:$F,'[1]FRV Output'!$W:$W)</f>
        <v>128</v>
      </c>
      <c r="G168" s="59">
        <f>_xlfn.XLOOKUP($A168,'[1]FRV Output'!$F:$F,'[1]FRV Output'!$AO:$AO)</f>
        <v>12.420000000000073</v>
      </c>
      <c r="H168" s="63">
        <f t="shared" si="2"/>
        <v>51200</v>
      </c>
      <c r="I168" s="59">
        <f>_xlfn.XLOOKUP($A168,'[1]FRV Output'!$F:$F,'[1]FRV Output'!$Z:$Z)</f>
        <v>400</v>
      </c>
      <c r="J168" s="162">
        <v>29.25</v>
      </c>
      <c r="K168" s="164">
        <v>1.3454999999999999</v>
      </c>
      <c r="L168" s="59">
        <f>_xlfn.XLOOKUP(A168,'[1]Aging Schedule'!$OA:$OA,'[1]Aging Schedule'!$NW:$NW)</f>
        <v>12.420000000000073</v>
      </c>
      <c r="M168" s="59">
        <f>_xlfn.XLOOKUP(A168,'[1]FRV Output'!$F:$F,'[1]FRV Output'!$BC:$BC)</f>
        <v>21.205024492505995</v>
      </c>
      <c r="N168" s="68"/>
      <c r="O168" s="68"/>
      <c r="R168" s="31"/>
      <c r="T168" s="59"/>
      <c r="U168" s="108"/>
      <c r="V168" s="110"/>
    </row>
    <row r="169" spans="1:22" hidden="1" x14ac:dyDescent="0.25">
      <c r="A169">
        <v>1154792000</v>
      </c>
      <c r="B169" s="36">
        <v>0.62696214219759927</v>
      </c>
      <c r="C169" s="63">
        <f>_xlfn.XLOOKUP($A169,'[1]FRV Output'!$F:$F,'[1]FRV Output'!$M:$M)</f>
        <v>24796</v>
      </c>
      <c r="D169" s="63">
        <f>_xlfn.XLOOKUP($A169,'[1]FRV Output'!$F:$F,'[1]FRV Output'!$N:$N)</f>
        <v>24863.934246575343</v>
      </c>
      <c r="E169" s="31">
        <f>_xlfn.XLOOKUP(A169,'[1]FRV Output'!$F:$F,'[1]FRV Output'!$U:$U)</f>
        <v>27834</v>
      </c>
      <c r="F169" s="31">
        <f>_xlfn.XLOOKUP($A169,'[1]FRV Output'!$F:$F,'[1]FRV Output'!$W:$W)</f>
        <v>130</v>
      </c>
      <c r="G169" s="59">
        <f>_xlfn.XLOOKUP($A169,'[1]FRV Output'!$F:$F,'[1]FRV Output'!$AO:$AO)</f>
        <v>33.039999999999964</v>
      </c>
      <c r="H169" s="63">
        <f t="shared" si="2"/>
        <v>42250</v>
      </c>
      <c r="I169" s="59">
        <f>_xlfn.XLOOKUP($A169,'[1]FRV Output'!$F:$F,'[1]FRV Output'!$Z:$Z)</f>
        <v>325</v>
      </c>
      <c r="J169" s="162">
        <v>29.25</v>
      </c>
      <c r="K169" s="164">
        <v>1.1048</v>
      </c>
      <c r="L169" s="59">
        <f>_xlfn.XLOOKUP(A169,'[1]Aging Schedule'!$OA:$OA,'[1]Aging Schedule'!$NW:$NW)</f>
        <v>33.039999999999964</v>
      </c>
      <c r="M169" s="59">
        <f>_xlfn.XLOOKUP(A169,'[1]FRV Output'!$F:$F,'[1]FRV Output'!$BC:$BC)</f>
        <v>9.388680364544733</v>
      </c>
      <c r="N169" s="68"/>
      <c r="O169" s="68"/>
      <c r="R169" s="31"/>
      <c r="T169" s="59"/>
      <c r="U169" s="108"/>
      <c r="V169" s="110"/>
    </row>
    <row r="170" spans="1:22" hidden="1" x14ac:dyDescent="0.25">
      <c r="A170">
        <v>1992242119</v>
      </c>
      <c r="B170" s="36">
        <v>0.61313572226169932</v>
      </c>
      <c r="C170" s="63">
        <f>_xlfn.XLOOKUP($A170,'[1]FRV Output'!$F:$F,'[1]FRV Output'!$M:$M)</f>
        <v>37208</v>
      </c>
      <c r="D170" s="63">
        <f>_xlfn.XLOOKUP($A170,'[1]FRV Output'!$F:$F,'[1]FRV Output'!$N:$N)</f>
        <v>37309.939726027398</v>
      </c>
      <c r="E170" s="31">
        <f>_xlfn.XLOOKUP(A170,'[1]FRV Output'!$F:$F,'[1]FRV Output'!$U:$U)</f>
        <v>27910</v>
      </c>
      <c r="F170" s="31">
        <f>_xlfn.XLOOKUP($A170,'[1]FRV Output'!$F:$F,'[1]FRV Output'!$W:$W)</f>
        <v>151</v>
      </c>
      <c r="G170" s="59">
        <f>_xlfn.XLOOKUP($A170,'[1]FRV Output'!$F:$F,'[1]FRV Output'!$AO:$AO)</f>
        <v>23.920000000000073</v>
      </c>
      <c r="H170" s="63">
        <f t="shared" si="2"/>
        <v>43436</v>
      </c>
      <c r="I170" s="59">
        <f>_xlfn.XLOOKUP($A170,'[1]FRV Output'!$F:$F,'[1]FRV Output'!$Z:$Z)</f>
        <v>287.65562913907286</v>
      </c>
      <c r="J170" s="162">
        <v>29.25</v>
      </c>
      <c r="K170" s="164">
        <v>1.1997</v>
      </c>
      <c r="L170" s="59">
        <f>_xlfn.XLOOKUP(A170,'[1]Aging Schedule'!$OA:$OA,'[1]Aging Schedule'!$NW:$NW)</f>
        <v>23.920000000000073</v>
      </c>
      <c r="M170" s="59">
        <f>_xlfn.XLOOKUP(A170,'[1]FRV Output'!$F:$F,'[1]FRV Output'!$BC:$BC)</f>
        <v>14.731376917808177</v>
      </c>
      <c r="N170" s="68"/>
      <c r="O170" s="68"/>
      <c r="R170" s="31"/>
      <c r="T170" s="59"/>
      <c r="U170" s="108"/>
      <c r="V170" s="110"/>
    </row>
    <row r="171" spans="1:22" hidden="1" x14ac:dyDescent="0.25">
      <c r="A171">
        <v>1578286621</v>
      </c>
      <c r="B171" s="36">
        <v>0.62095667516173292</v>
      </c>
      <c r="C171" s="63">
        <f>_xlfn.XLOOKUP($A171,'[1]FRV Output'!$F:$F,'[1]FRV Output'!$M:$M)</f>
        <v>19892</v>
      </c>
      <c r="D171" s="63">
        <f>_xlfn.XLOOKUP($A171,'[1]FRV Output'!$F:$F,'[1]FRV Output'!$N:$N)</f>
        <v>19946.49863013699</v>
      </c>
      <c r="E171" s="31">
        <f>_xlfn.XLOOKUP(A171,'[1]FRV Output'!$F:$F,'[1]FRV Output'!$U:$U)</f>
        <v>27909</v>
      </c>
      <c r="F171" s="31">
        <f>_xlfn.XLOOKUP($A171,'[1]FRV Output'!$F:$F,'[1]FRV Output'!$W:$W)</f>
        <v>108</v>
      </c>
      <c r="G171" s="59">
        <f>_xlfn.XLOOKUP($A171,'[1]FRV Output'!$F:$F,'[1]FRV Output'!$AO:$AO)</f>
        <v>19.230000000000018</v>
      </c>
      <c r="H171" s="63">
        <f t="shared" si="2"/>
        <v>33425</v>
      </c>
      <c r="I171" s="59">
        <f>_xlfn.XLOOKUP($A171,'[1]FRV Output'!$F:$F,'[1]FRV Output'!$Z:$Z)</f>
        <v>309.49074074074076</v>
      </c>
      <c r="J171" s="162">
        <v>29.25</v>
      </c>
      <c r="K171" s="164">
        <v>1.1674</v>
      </c>
      <c r="L171" s="59">
        <f>_xlfn.XLOOKUP(A171,'[1]Aging Schedule'!$OA:$OA,'[1]Aging Schedule'!$NW:$NW)</f>
        <v>19.230000000000018</v>
      </c>
      <c r="M171" s="59">
        <f>_xlfn.XLOOKUP(A171,'[1]FRV Output'!$F:$F,'[1]FRV Output'!$BC:$BC)</f>
        <v>17.739957476228895</v>
      </c>
      <c r="N171" s="68"/>
      <c r="O171" s="68"/>
      <c r="R171" s="31"/>
      <c r="T171" s="59"/>
      <c r="U171" s="108"/>
      <c r="V171" s="110"/>
    </row>
    <row r="172" spans="1:22" hidden="1" x14ac:dyDescent="0.25">
      <c r="A172">
        <v>1902462401</v>
      </c>
      <c r="B172" s="36">
        <v>0.51495801259622109</v>
      </c>
      <c r="C172" s="63">
        <f>_xlfn.XLOOKUP($A172,'[1]FRV Output'!$F:$F,'[1]FRV Output'!$M:$M)</f>
        <v>19963</v>
      </c>
      <c r="D172" s="63">
        <f>_xlfn.XLOOKUP($A172,'[1]FRV Output'!$F:$F,'[1]FRV Output'!$N:$N)</f>
        <v>20017.693150684932</v>
      </c>
      <c r="E172" s="31">
        <f>_xlfn.XLOOKUP(A172,'[1]FRV Output'!$F:$F,'[1]FRV Output'!$U:$U)</f>
        <v>27536</v>
      </c>
      <c r="F172" s="31">
        <f>_xlfn.XLOOKUP($A172,'[1]FRV Output'!$F:$F,'[1]FRV Output'!$W:$W)</f>
        <v>78</v>
      </c>
      <c r="G172" s="59">
        <f>_xlfn.XLOOKUP($A172,'[1]FRV Output'!$F:$F,'[1]FRV Output'!$AO:$AO)</f>
        <v>15.079999999999927</v>
      </c>
      <c r="H172" s="63">
        <f t="shared" si="2"/>
        <v>22239.000000000004</v>
      </c>
      <c r="I172" s="59">
        <f>_xlfn.XLOOKUP($A172,'[1]FRV Output'!$F:$F,'[1]FRV Output'!$Z:$Z)</f>
        <v>285.11538461538464</v>
      </c>
      <c r="J172" s="162">
        <v>29.25</v>
      </c>
      <c r="K172" s="164">
        <v>1.222</v>
      </c>
      <c r="L172" s="59">
        <f>_xlfn.XLOOKUP(A172,'[1]Aging Schedule'!$OA:$OA,'[1]Aging Schedule'!$NW:$NW)</f>
        <v>15.079999999999927</v>
      </c>
      <c r="M172" s="59">
        <f>_xlfn.XLOOKUP(A172,'[1]FRV Output'!$F:$F,'[1]FRV Output'!$BC:$BC)</f>
        <v>19.740177402739729</v>
      </c>
      <c r="N172" s="68"/>
      <c r="O172" s="68"/>
      <c r="R172" s="31"/>
      <c r="T172" s="59"/>
      <c r="U172" s="108"/>
      <c r="V172" s="110"/>
    </row>
    <row r="173" spans="1:22" hidden="1" x14ac:dyDescent="0.25">
      <c r="A173">
        <v>1750004800</v>
      </c>
      <c r="B173" s="36">
        <v>0.5638695884553715</v>
      </c>
      <c r="C173" s="63">
        <f>_xlfn.XLOOKUP($A173,'[1]FRV Output'!$F:$F,'[1]FRV Output'!$M:$M)</f>
        <v>19003</v>
      </c>
      <c r="D173" s="63">
        <f>_xlfn.XLOOKUP($A173,'[1]FRV Output'!$F:$F,'[1]FRV Output'!$N:$N)</f>
        <v>19055.063013698633</v>
      </c>
      <c r="E173" s="31">
        <f>_xlfn.XLOOKUP(A173,'[1]FRV Output'!$F:$F,'[1]FRV Output'!$U:$U)</f>
        <v>28349</v>
      </c>
      <c r="F173" s="31">
        <f>_xlfn.XLOOKUP($A173,'[1]FRV Output'!$F:$F,'[1]FRV Output'!$W:$W)</f>
        <v>92</v>
      </c>
      <c r="G173" s="59">
        <f>_xlfn.XLOOKUP($A173,'[1]FRV Output'!$F:$F,'[1]FRV Output'!$AO:$AO)</f>
        <v>33.910000000000082</v>
      </c>
      <c r="H173" s="63">
        <f t="shared" si="2"/>
        <v>25500</v>
      </c>
      <c r="I173" s="59">
        <f>_xlfn.XLOOKUP($A173,'[1]FRV Output'!$F:$F,'[1]FRV Output'!$Z:$Z)</f>
        <v>277.17391304347825</v>
      </c>
      <c r="J173" s="162">
        <v>29.25</v>
      </c>
      <c r="K173" s="164">
        <v>1.4026000000000001</v>
      </c>
      <c r="L173" s="59">
        <f>_xlfn.XLOOKUP(A173,'[1]Aging Schedule'!$OA:$OA,'[1]Aging Schedule'!$NW:$NW)</f>
        <v>33.910000000000082</v>
      </c>
      <c r="M173" s="59">
        <f>_xlfn.XLOOKUP(A173,'[1]FRV Output'!$F:$F,'[1]FRV Output'!$BC:$BC)</f>
        <v>9.071509944560793</v>
      </c>
      <c r="N173" s="68"/>
      <c r="O173" s="68"/>
      <c r="R173" s="31"/>
      <c r="T173" s="59"/>
      <c r="U173" s="108"/>
      <c r="V173" s="110"/>
    </row>
    <row r="174" spans="1:22" hidden="1" x14ac:dyDescent="0.25">
      <c r="A174">
        <v>1649685132</v>
      </c>
      <c r="B174" s="36">
        <v>0.59095823095823097</v>
      </c>
      <c r="C174" s="63">
        <f>_xlfn.XLOOKUP($A174,'[1]FRV Output'!$F:$F,'[1]FRV Output'!$M:$M)</f>
        <v>27413</v>
      </c>
      <c r="D174" s="63">
        <f>_xlfn.XLOOKUP($A174,'[1]FRV Output'!$F:$F,'[1]FRV Output'!$N:$N)</f>
        <v>27488.104109589043</v>
      </c>
      <c r="E174" s="31">
        <f>_xlfn.XLOOKUP(A174,'[1]FRV Output'!$F:$F,'[1]FRV Output'!$U:$U)</f>
        <v>27870</v>
      </c>
      <c r="F174" s="31">
        <f>_xlfn.XLOOKUP($A174,'[1]FRV Output'!$F:$F,'[1]FRV Output'!$W:$W)</f>
        <v>108</v>
      </c>
      <c r="G174" s="59">
        <f>_xlfn.XLOOKUP($A174,'[1]FRV Output'!$F:$F,'[1]FRV Output'!$AO:$AO)</f>
        <v>5.9400000000000546</v>
      </c>
      <c r="H174" s="63">
        <f t="shared" si="2"/>
        <v>33173</v>
      </c>
      <c r="I174" s="59">
        <f>_xlfn.XLOOKUP($A174,'[1]FRV Output'!$F:$F,'[1]FRV Output'!$Z:$Z)</f>
        <v>307.15740740740739</v>
      </c>
      <c r="J174" s="162">
        <v>29.25</v>
      </c>
      <c r="K174" s="164">
        <v>1.224</v>
      </c>
      <c r="L174" s="59">
        <f>_xlfn.XLOOKUP(A174,'[1]Aging Schedule'!$OA:$OA,'[1]Aging Schedule'!$NW:$NW)</f>
        <v>5.9400000000000546</v>
      </c>
      <c r="M174" s="59">
        <f>_xlfn.XLOOKUP(A174,'[1]FRV Output'!$F:$F,'[1]FRV Output'!$BC:$BC)</f>
        <v>25.216246733279569</v>
      </c>
      <c r="N174" s="68"/>
      <c r="O174" s="68"/>
      <c r="R174" s="31"/>
      <c r="T174" s="59"/>
      <c r="U174" s="108"/>
      <c r="V174" s="110"/>
    </row>
    <row r="175" spans="1:22" hidden="1" x14ac:dyDescent="0.25">
      <c r="A175">
        <v>1205252640</v>
      </c>
      <c r="B175" s="36">
        <v>0.66884328358208955</v>
      </c>
      <c r="C175" s="63">
        <f>_xlfn.XLOOKUP($A175,'[1]FRV Output'!$F:$F,'[1]FRV Output'!$M:$M)</f>
        <v>31183</v>
      </c>
      <c r="D175" s="63">
        <f>_xlfn.XLOOKUP($A175,'[1]FRV Output'!$F:$F,'[1]FRV Output'!$N:$N)</f>
        <v>31268.432876712333</v>
      </c>
      <c r="E175" s="31">
        <f>_xlfn.XLOOKUP(A175,'[1]FRV Output'!$F:$F,'[1]FRV Output'!$U:$U)</f>
        <v>27804</v>
      </c>
      <c r="F175" s="31">
        <f>_xlfn.XLOOKUP($A175,'[1]FRV Output'!$F:$F,'[1]FRV Output'!$W:$W)</f>
        <v>117</v>
      </c>
      <c r="G175" s="59">
        <f>_xlfn.XLOOKUP($A175,'[1]FRV Output'!$F:$F,'[1]FRV Output'!$AO:$AO)</f>
        <v>27.900000000000091</v>
      </c>
      <c r="H175" s="63">
        <f t="shared" si="2"/>
        <v>42361</v>
      </c>
      <c r="I175" s="59">
        <f>_xlfn.XLOOKUP($A175,'[1]FRV Output'!$F:$F,'[1]FRV Output'!$Z:$Z)</f>
        <v>362.05982905982904</v>
      </c>
      <c r="J175" s="162">
        <v>29.25</v>
      </c>
      <c r="K175" s="164">
        <v>1.2179</v>
      </c>
      <c r="L175" s="59">
        <f>_xlfn.XLOOKUP(A175,'[1]Aging Schedule'!$OA:$OA,'[1]Aging Schedule'!$NW:$NW)</f>
        <v>27.900000000000091</v>
      </c>
      <c r="M175" s="59">
        <f>_xlfn.XLOOKUP(A175,'[1]FRV Output'!$F:$F,'[1]FRV Output'!$BC:$BC)</f>
        <v>12.470809233916087</v>
      </c>
      <c r="N175" s="68"/>
      <c r="O175" s="68"/>
      <c r="R175" s="31"/>
      <c r="T175" s="59"/>
      <c r="U175" s="108"/>
      <c r="V175" s="110"/>
    </row>
    <row r="176" spans="1:22" hidden="1" x14ac:dyDescent="0.25">
      <c r="A176">
        <v>1528505757</v>
      </c>
      <c r="B176" s="36">
        <v>0.60269718747227397</v>
      </c>
      <c r="C176" s="63">
        <f>_xlfn.XLOOKUP($A176,'[1]FRV Output'!$F:$F,'[1]FRV Output'!$M:$M)</f>
        <v>15915</v>
      </c>
      <c r="D176" s="63">
        <f>_xlfn.XLOOKUP($A176,'[1]FRV Output'!$F:$F,'[1]FRV Output'!$N:$N)</f>
        <v>15958.60273972603</v>
      </c>
      <c r="E176" s="31">
        <f>_xlfn.XLOOKUP(A176,'[1]FRV Output'!$F:$F,'[1]FRV Output'!$U:$U)</f>
        <v>27874</v>
      </c>
      <c r="F176" s="31">
        <f>_xlfn.XLOOKUP($A176,'[1]FRV Output'!$F:$F,'[1]FRV Output'!$W:$W)</f>
        <v>62</v>
      </c>
      <c r="G176" s="59">
        <f>_xlfn.XLOOKUP($A176,'[1]FRV Output'!$F:$F,'[1]FRV Output'!$AO:$AO)</f>
        <v>18.529999999999973</v>
      </c>
      <c r="H176" s="63">
        <f t="shared" si="2"/>
        <v>16419</v>
      </c>
      <c r="I176" s="59">
        <f>_xlfn.XLOOKUP($A176,'[1]FRV Output'!$F:$F,'[1]FRV Output'!$Z:$Z)</f>
        <v>264.82258064516128</v>
      </c>
      <c r="J176" s="162">
        <v>29.25</v>
      </c>
      <c r="K176" s="164">
        <v>1.1954</v>
      </c>
      <c r="L176" s="59">
        <f>_xlfn.XLOOKUP(A176,'[1]Aging Schedule'!$OA:$OA,'[1]Aging Schedule'!$NW:$NW)</f>
        <v>18.529999999999973</v>
      </c>
      <c r="M176" s="59">
        <f>_xlfn.XLOOKUP(A176,'[1]FRV Output'!$F:$F,'[1]FRV Output'!$BC:$BC)</f>
        <v>17.813886718452871</v>
      </c>
      <c r="N176" s="68"/>
      <c r="O176" s="68"/>
      <c r="R176" s="31"/>
      <c r="T176" s="59"/>
      <c r="U176" s="108"/>
      <c r="V176" s="110"/>
    </row>
    <row r="177" spans="1:22" hidden="1" x14ac:dyDescent="0.25">
      <c r="A177">
        <v>1164848503</v>
      </c>
      <c r="B177" s="36">
        <v>0.5236353906528719</v>
      </c>
      <c r="C177" s="63">
        <f>_xlfn.XLOOKUP($A177,'[1]FRV Output'!$F:$F,'[1]FRV Output'!$M:$M)</f>
        <v>19474</v>
      </c>
      <c r="D177" s="63">
        <f>_xlfn.XLOOKUP($A177,'[1]FRV Output'!$F:$F,'[1]FRV Output'!$N:$N)</f>
        <v>19527.353424657536</v>
      </c>
      <c r="E177" s="31">
        <f>_xlfn.XLOOKUP(A177,'[1]FRV Output'!$F:$F,'[1]FRV Output'!$U:$U)</f>
        <v>27597</v>
      </c>
      <c r="F177" s="31">
        <f>_xlfn.XLOOKUP($A177,'[1]FRV Output'!$F:$F,'[1]FRV Output'!$W:$W)</f>
        <v>60</v>
      </c>
      <c r="G177" s="59">
        <f>_xlfn.XLOOKUP($A177,'[1]FRV Output'!$F:$F,'[1]FRV Output'!$AO:$AO)</f>
        <v>12.089999999999918</v>
      </c>
      <c r="H177" s="63">
        <f t="shared" si="2"/>
        <v>21195</v>
      </c>
      <c r="I177" s="59">
        <f>_xlfn.XLOOKUP($A177,'[1]FRV Output'!$F:$F,'[1]FRV Output'!$Z:$Z)</f>
        <v>353.25</v>
      </c>
      <c r="J177" s="162">
        <v>29.25</v>
      </c>
      <c r="K177" s="164">
        <v>1.2835000000000001</v>
      </c>
      <c r="L177" s="59">
        <f>_xlfn.XLOOKUP(A177,'[1]Aging Schedule'!$OA:$OA,'[1]Aging Schedule'!$NW:$NW)</f>
        <v>12.089999999999918</v>
      </c>
      <c r="M177" s="59">
        <f>_xlfn.XLOOKUP(A177,'[1]FRV Output'!$F:$F,'[1]FRV Output'!$BC:$BC)</f>
        <v>20.332499784327815</v>
      </c>
      <c r="N177" s="68"/>
      <c r="O177" s="68"/>
      <c r="R177" s="31"/>
      <c r="T177" s="59"/>
      <c r="U177" s="108"/>
      <c r="V177" s="110"/>
    </row>
    <row r="178" spans="1:22" hidden="1" x14ac:dyDescent="0.25">
      <c r="A178">
        <v>1033784970</v>
      </c>
      <c r="B178" s="36">
        <v>0.6182714478810527</v>
      </c>
      <c r="C178" s="63">
        <f>_xlfn.XLOOKUP($A178,'[1]FRV Output'!$F:$F,'[1]FRV Output'!$M:$M)</f>
        <v>36101.455142231949</v>
      </c>
      <c r="D178" s="63">
        <f>_xlfn.XLOOKUP($A178,'[1]FRV Output'!$F:$F,'[1]FRV Output'!$N:$N)</f>
        <v>28912.762761612459</v>
      </c>
      <c r="E178" s="31">
        <f>_xlfn.XLOOKUP(A178,'[1]FRV Output'!$F:$F,'[1]FRV Output'!$U:$U)</f>
        <v>27406</v>
      </c>
      <c r="F178" s="31">
        <f>_xlfn.XLOOKUP($A178,'[1]FRV Output'!$F:$F,'[1]FRV Output'!$W:$W)</f>
        <v>110</v>
      </c>
      <c r="G178" s="59">
        <f>_xlfn.XLOOKUP($A178,'[1]FRV Output'!$F:$F,'[1]FRV Output'!$AO:$AO)</f>
        <v>9.9600000000000364</v>
      </c>
      <c r="H178" s="63">
        <f t="shared" si="2"/>
        <v>36687</v>
      </c>
      <c r="I178" s="59">
        <f>_xlfn.XLOOKUP($A178,'[1]FRV Output'!$F:$F,'[1]FRV Output'!$Z:$Z)</f>
        <v>333.5181818181818</v>
      </c>
      <c r="J178" s="162">
        <v>29.25</v>
      </c>
      <c r="K178" s="164">
        <v>1.3081</v>
      </c>
      <c r="L178" s="59">
        <f>_xlfn.XLOOKUP(A178,'[1]Aging Schedule'!$OA:$OA,'[1]Aging Schedule'!$NW:$NW)</f>
        <v>9.9600000000000364</v>
      </c>
      <c r="M178" s="59">
        <f>_xlfn.XLOOKUP(A178,'[1]FRV Output'!$F:$F,'[1]FRV Output'!$BC:$BC)</f>
        <v>23.601835399435945</v>
      </c>
      <c r="N178" s="68"/>
      <c r="O178" s="68"/>
      <c r="R178" s="31"/>
      <c r="T178" s="59"/>
      <c r="U178" s="108"/>
      <c r="V178" s="110"/>
    </row>
    <row r="179" spans="1:22" hidden="1" x14ac:dyDescent="0.25">
      <c r="A179">
        <v>1013951896</v>
      </c>
      <c r="B179" s="36">
        <v>0.52079630287948808</v>
      </c>
      <c r="C179" s="63">
        <f>_xlfn.XLOOKUP($A179,'[1]FRV Output'!$F:$F,'[1]FRV Output'!$M:$M)</f>
        <v>22615</v>
      </c>
      <c r="D179" s="63">
        <f>_xlfn.XLOOKUP($A179,'[1]FRV Output'!$F:$F,'[1]FRV Output'!$N:$N)</f>
        <v>22676.95890410959</v>
      </c>
      <c r="E179" s="31">
        <f>_xlfn.XLOOKUP(A179,'[1]FRV Output'!$F:$F,'[1]FRV Output'!$U:$U)</f>
        <v>27845</v>
      </c>
      <c r="F179" s="31">
        <f>_xlfn.XLOOKUP($A179,'[1]FRV Output'!$F:$F,'[1]FRV Output'!$W:$W)</f>
        <v>80</v>
      </c>
      <c r="G179" s="59">
        <f>_xlfn.XLOOKUP($A179,'[1]FRV Output'!$F:$F,'[1]FRV Output'!$AO:$AO)</f>
        <v>28.680000000000064</v>
      </c>
      <c r="H179" s="63">
        <f t="shared" si="2"/>
        <v>31536</v>
      </c>
      <c r="I179" s="59">
        <f>_xlfn.XLOOKUP($A179,'[1]FRV Output'!$F:$F,'[1]FRV Output'!$Z:$Z)</f>
        <v>394.2</v>
      </c>
      <c r="J179" s="162">
        <v>29.25</v>
      </c>
      <c r="K179" s="164">
        <v>1.2607999999999999</v>
      </c>
      <c r="L179" s="59">
        <f>_xlfn.XLOOKUP(A179,'[1]Aging Schedule'!$OA:$OA,'[1]Aging Schedule'!$NW:$NW)</f>
        <v>28.680000000000064</v>
      </c>
      <c r="M179" s="59">
        <f>_xlfn.XLOOKUP(A179,'[1]FRV Output'!$F:$F,'[1]FRV Output'!$BC:$BC)</f>
        <v>13.230629200272082</v>
      </c>
      <c r="N179" s="68"/>
      <c r="O179" s="68"/>
      <c r="R179" s="31"/>
      <c r="T179" s="59"/>
      <c r="U179" s="108"/>
      <c r="V179" s="110"/>
    </row>
    <row r="180" spans="1:22" hidden="1" x14ac:dyDescent="0.25">
      <c r="A180">
        <v>1649590498</v>
      </c>
      <c r="B180" s="36">
        <v>0.55529622980251347</v>
      </c>
      <c r="C180" s="63">
        <f>_xlfn.XLOOKUP($A180,'[1]FRV Output'!$F:$F,'[1]FRV Output'!$M:$M)</f>
        <v>0</v>
      </c>
      <c r="D180" s="63">
        <f>_xlfn.XLOOKUP($A180,'[1]FRV Output'!$F:$F,'[1]FRV Output'!$N:$N)</f>
        <v>0</v>
      </c>
      <c r="E180" s="31">
        <f>_xlfn.XLOOKUP(A180,'[1]FRV Output'!$F:$F,'[1]FRV Output'!$U:$U)</f>
        <v>28557</v>
      </c>
      <c r="F180" s="31">
        <f>_xlfn.XLOOKUP($A180,'[1]FRV Output'!$F:$F,'[1]FRV Output'!$W:$W)</f>
        <v>122</v>
      </c>
      <c r="G180" s="59">
        <f>_xlfn.XLOOKUP($A180,'[1]FRV Output'!$F:$F,'[1]FRV Output'!$AO:$AO)</f>
        <v>32.970000000000027</v>
      </c>
      <c r="H180" s="63">
        <f t="shared" si="2"/>
        <v>39650</v>
      </c>
      <c r="I180" s="59">
        <f>_xlfn.XLOOKUP($A180,'[1]FRV Output'!$F:$F,'[1]FRV Output'!$Z:$Z)</f>
        <v>325</v>
      </c>
      <c r="J180" s="162">
        <v>29.25</v>
      </c>
      <c r="K180" s="164">
        <v>0</v>
      </c>
      <c r="L180" s="59">
        <f>_xlfn.XLOOKUP(A180,'[1]Aging Schedule'!$OA:$OA,'[1]Aging Schedule'!$NW:$NW)</f>
        <v>32.970000000000027</v>
      </c>
      <c r="M180" s="59">
        <f>_xlfn.XLOOKUP(A180,'[1]FRV Output'!$F:$F,'[1]FRV Output'!$BC:$BC)</f>
        <v>9.3126428039081279</v>
      </c>
      <c r="N180" s="68"/>
      <c r="O180" s="68"/>
      <c r="R180" s="31"/>
      <c r="T180" s="59"/>
      <c r="U180" s="108"/>
      <c r="V180" s="110"/>
    </row>
    <row r="181" spans="1:22" hidden="1" x14ac:dyDescent="0.25">
      <c r="A181">
        <v>1235370750</v>
      </c>
      <c r="B181" s="36">
        <v>0.59574814694143519</v>
      </c>
      <c r="C181" s="63">
        <f>_xlfn.XLOOKUP($A181,'[1]FRV Output'!$F:$F,'[1]FRV Output'!$M:$M)</f>
        <v>43470</v>
      </c>
      <c r="D181" s="63">
        <f>_xlfn.XLOOKUP($A181,'[1]FRV Output'!$F:$F,'[1]FRV Output'!$N:$N)</f>
        <v>43589.095890410965</v>
      </c>
      <c r="E181" s="31">
        <f>_xlfn.XLOOKUP(A181,'[1]FRV Output'!$F:$F,'[1]FRV Output'!$U:$U)</f>
        <v>27546</v>
      </c>
      <c r="F181" s="31">
        <f>_xlfn.XLOOKUP($A181,'[1]FRV Output'!$F:$F,'[1]FRV Output'!$W:$W)</f>
        <v>129</v>
      </c>
      <c r="G181" s="59">
        <f>_xlfn.XLOOKUP($A181,'[1]FRV Output'!$F:$F,'[1]FRV Output'!$AO:$AO)</f>
        <v>7.1900000000000546</v>
      </c>
      <c r="H181" s="63">
        <f t="shared" si="2"/>
        <v>57019.258442928171</v>
      </c>
      <c r="I181" s="59">
        <f>_xlfn.XLOOKUP($A181,'[1]FRV Output'!$F:$F,'[1]FRV Output'!$Z:$Z)</f>
        <v>442.00975537153619</v>
      </c>
      <c r="J181" s="162">
        <v>9.4499999999999993</v>
      </c>
      <c r="K181" s="164">
        <v>1.39</v>
      </c>
      <c r="L181" s="59">
        <f>_xlfn.XLOOKUP(A181,'[1]Aging Schedule'!$OA:$OA,'[1]Aging Schedule'!$NW:$NW)</f>
        <v>7.1900000000000546</v>
      </c>
      <c r="M181" s="59">
        <f>_xlfn.XLOOKUP(A181,'[1]FRV Output'!$F:$F,'[1]FRV Output'!$BC:$BC)</f>
        <v>23.992525777806179</v>
      </c>
      <c r="N181" s="68"/>
      <c r="O181" s="68"/>
      <c r="R181" s="31"/>
      <c r="T181" s="59"/>
      <c r="U181" s="108"/>
      <c r="V181" s="110"/>
    </row>
    <row r="182" spans="1:22" hidden="1" x14ac:dyDescent="0.25">
      <c r="A182">
        <v>1295391795</v>
      </c>
      <c r="B182" s="36">
        <v>0.62777110844337736</v>
      </c>
      <c r="C182" s="63">
        <f>_xlfn.XLOOKUP($A182,'[1]FRV Output'!$F:$F,'[1]FRV Output'!$M:$M)</f>
        <v>28850</v>
      </c>
      <c r="D182" s="63">
        <f>_xlfn.XLOOKUP($A182,'[1]FRV Output'!$F:$F,'[1]FRV Output'!$N:$N)</f>
        <v>28929.041095890414</v>
      </c>
      <c r="E182" s="31">
        <f>_xlfn.XLOOKUP(A182,'[1]FRV Output'!$F:$F,'[1]FRV Output'!$U:$U)</f>
        <v>28791</v>
      </c>
      <c r="F182" s="31">
        <f>_xlfn.XLOOKUP($A182,'[1]FRV Output'!$F:$F,'[1]FRV Output'!$W:$W)</f>
        <v>134</v>
      </c>
      <c r="G182" s="59">
        <f>_xlfn.XLOOKUP($A182,'[1]FRV Output'!$F:$F,'[1]FRV Output'!$AO:$AO)</f>
        <v>33.079999999999927</v>
      </c>
      <c r="H182" s="63">
        <f t="shared" si="2"/>
        <v>33703</v>
      </c>
      <c r="I182" s="59">
        <f>_xlfn.XLOOKUP($A182,'[1]FRV Output'!$F:$F,'[1]FRV Output'!$Z:$Z)</f>
        <v>251.51492537313433</v>
      </c>
      <c r="J182" s="162">
        <v>29.25</v>
      </c>
      <c r="K182" s="164">
        <v>1.2490000000000001</v>
      </c>
      <c r="L182" s="59">
        <f>_xlfn.XLOOKUP(A182,'[1]Aging Schedule'!$OA:$OA,'[1]Aging Schedule'!$NW:$NW)</f>
        <v>33.079999999999927</v>
      </c>
      <c r="M182" s="59">
        <f>_xlfn.XLOOKUP(A182,'[1]FRV Output'!$F:$F,'[1]FRV Output'!$BC:$BC)</f>
        <v>9.2360483129733879</v>
      </c>
      <c r="N182" s="68"/>
      <c r="O182" s="68"/>
      <c r="R182" s="31"/>
      <c r="T182" s="59"/>
      <c r="U182" s="108"/>
      <c r="V182" s="110"/>
    </row>
    <row r="183" spans="1:22" hidden="1" x14ac:dyDescent="0.25">
      <c r="A183">
        <v>1447736087</v>
      </c>
      <c r="B183" s="36">
        <v>0.53794972893050763</v>
      </c>
      <c r="C183" s="63">
        <f>_xlfn.XLOOKUP($A183,'[1]FRV Output'!$F:$F,'[1]FRV Output'!$M:$M)</f>
        <v>20303</v>
      </c>
      <c r="D183" s="63">
        <f>_xlfn.XLOOKUP($A183,'[1]FRV Output'!$F:$F,'[1]FRV Output'!$N:$N)</f>
        <v>20358.624657534248</v>
      </c>
      <c r="E183" s="31">
        <f>_xlfn.XLOOKUP(A183,'[1]FRV Output'!$F:$F,'[1]FRV Output'!$U:$U)</f>
        <v>28170</v>
      </c>
      <c r="F183" s="31">
        <f>_xlfn.XLOOKUP($A183,'[1]FRV Output'!$F:$F,'[1]FRV Output'!$W:$W)</f>
        <v>66</v>
      </c>
      <c r="G183" s="59">
        <f>_xlfn.XLOOKUP($A183,'[1]FRV Output'!$F:$F,'[1]FRV Output'!$AO:$AO)</f>
        <v>35.5</v>
      </c>
      <c r="H183" s="63">
        <f t="shared" si="2"/>
        <v>24000</v>
      </c>
      <c r="I183" s="59">
        <f>_xlfn.XLOOKUP($A183,'[1]FRV Output'!$F:$F,'[1]FRV Output'!$Z:$Z)</f>
        <v>363.63636363636363</v>
      </c>
      <c r="J183" s="162">
        <v>29.25</v>
      </c>
      <c r="K183" s="164">
        <v>1.1845000000000001</v>
      </c>
      <c r="L183" s="59">
        <f>_xlfn.XLOOKUP(A183,'[1]Aging Schedule'!$OA:$OA,'[1]Aging Schedule'!$NW:$NW)</f>
        <v>86.730000000000018</v>
      </c>
      <c r="M183" s="59">
        <f>_xlfn.XLOOKUP(A183,'[1]FRV Output'!$F:$F,'[1]FRV Output'!$BC:$BC)</f>
        <v>9.6850685810563348</v>
      </c>
      <c r="N183" s="68"/>
      <c r="O183" s="68"/>
      <c r="R183" s="31"/>
      <c r="T183" s="59"/>
      <c r="U183" s="108"/>
      <c r="V183" s="110"/>
    </row>
    <row r="184" spans="1:22" hidden="1" x14ac:dyDescent="0.25">
      <c r="A184">
        <v>1144277666</v>
      </c>
      <c r="B184" s="36">
        <v>0.58312958435207818</v>
      </c>
      <c r="C184" s="63">
        <f>_xlfn.XLOOKUP($A184,'[1]FRV Output'!$F:$F,'[1]FRV Output'!$M:$M)</f>
        <v>6030</v>
      </c>
      <c r="D184" s="63">
        <f>_xlfn.XLOOKUP($A184,'[1]FRV Output'!$F:$F,'[1]FRV Output'!$N:$N)</f>
        <v>7028.5987261146493</v>
      </c>
      <c r="E184" s="31">
        <f>_xlfn.XLOOKUP(A184,'[1]FRV Output'!$F:$F,'[1]FRV Output'!$U:$U)</f>
        <v>27260</v>
      </c>
      <c r="F184" s="31">
        <f>_xlfn.XLOOKUP($A184,'[1]FRV Output'!$F:$F,'[1]FRV Output'!$W:$W)</f>
        <v>100</v>
      </c>
      <c r="G184" s="59">
        <f>_xlfn.XLOOKUP($A184,'[1]FRV Output'!$F:$F,'[1]FRV Output'!$AO:$AO)</f>
        <v>24.430000000000064</v>
      </c>
      <c r="H184" s="63">
        <f t="shared" si="2"/>
        <v>20365</v>
      </c>
      <c r="I184" s="59">
        <f>_xlfn.XLOOKUP($A184,'[1]FRV Output'!$F:$F,'[1]FRV Output'!$Z:$Z)</f>
        <v>203.65</v>
      </c>
      <c r="J184" s="162">
        <v>29.25</v>
      </c>
      <c r="K184" s="164">
        <v>0</v>
      </c>
      <c r="L184" s="59">
        <f>_xlfn.XLOOKUP(A184,'[1]Aging Schedule'!$OA:$OA,'[1]Aging Schedule'!$NW:$NW)</f>
        <v>24.430000000000064</v>
      </c>
      <c r="M184" s="59">
        <f>_xlfn.XLOOKUP(A184,'[1]FRV Output'!$F:$F,'[1]FRV Output'!$BC:$BC)</f>
        <v>14.762502424254606</v>
      </c>
      <c r="N184" s="68"/>
      <c r="O184" s="68"/>
      <c r="R184" s="31"/>
      <c r="T184" s="59"/>
      <c r="U184" s="108"/>
      <c r="V184" s="110"/>
    </row>
    <row r="185" spans="1:22" hidden="1" x14ac:dyDescent="0.25">
      <c r="A185">
        <v>1982948550</v>
      </c>
      <c r="B185" s="36">
        <v>0.69411422194187011</v>
      </c>
      <c r="C185" s="63">
        <f>_xlfn.XLOOKUP($A185,'[1]FRV Output'!$F:$F,'[1]FRV Output'!$M:$M)</f>
        <v>15455</v>
      </c>
      <c r="D185" s="63">
        <f>_xlfn.XLOOKUP($A185,'[1]FRV Output'!$F:$F,'[1]FRV Output'!$N:$N)</f>
        <v>15497.342465753427</v>
      </c>
      <c r="E185" s="31">
        <f>_xlfn.XLOOKUP(A185,'[1]FRV Output'!$F:$F,'[1]FRV Output'!$U:$U)</f>
        <v>28711</v>
      </c>
      <c r="F185" s="31">
        <f>_xlfn.XLOOKUP($A185,'[1]FRV Output'!$F:$F,'[1]FRV Output'!$W:$W)</f>
        <v>60</v>
      </c>
      <c r="G185" s="59">
        <f>_xlfn.XLOOKUP($A185,'[1]FRV Output'!$F:$F,'[1]FRV Output'!$AO:$AO)</f>
        <v>35.5</v>
      </c>
      <c r="H185" s="63">
        <f t="shared" si="2"/>
        <v>24074.334455928463</v>
      </c>
      <c r="I185" s="59">
        <f>_xlfn.XLOOKUP($A185,'[1]FRV Output'!$F:$F,'[1]FRV Output'!$Z:$Z)</f>
        <v>401.23890759880771</v>
      </c>
      <c r="J185" s="162">
        <v>0</v>
      </c>
      <c r="K185" s="164">
        <v>1.3827</v>
      </c>
      <c r="L185" s="59">
        <f>_xlfn.XLOOKUP(A185,'[1]Aging Schedule'!$OA:$OA,'[1]Aging Schedule'!$NW:$NW)</f>
        <v>38.680000000000064</v>
      </c>
      <c r="M185" s="59">
        <f>_xlfn.XLOOKUP(A185,'[1]FRV Output'!$F:$F,'[1]FRV Output'!$BC:$BC)</f>
        <v>10.27398850690453</v>
      </c>
      <c r="N185" s="68"/>
      <c r="O185" s="68"/>
      <c r="R185" s="31"/>
      <c r="T185" s="59"/>
      <c r="U185" s="108"/>
      <c r="V185" s="110"/>
    </row>
    <row r="186" spans="1:22" hidden="1" x14ac:dyDescent="0.25">
      <c r="A186">
        <v>1811611577</v>
      </c>
      <c r="B186" s="36">
        <v>0.69081014792672646</v>
      </c>
      <c r="C186" s="63">
        <f>_xlfn.XLOOKUP($A186,'[1]FRV Output'!$F:$F,'[1]FRV Output'!$M:$M)</f>
        <v>27635</v>
      </c>
      <c r="D186" s="63">
        <f>_xlfn.XLOOKUP($A186,'[1]FRV Output'!$F:$F,'[1]FRV Output'!$N:$N)</f>
        <v>27710.712328767127</v>
      </c>
      <c r="E186" s="31">
        <f>_xlfn.XLOOKUP(A186,'[1]FRV Output'!$F:$F,'[1]FRV Output'!$U:$U)</f>
        <v>28303</v>
      </c>
      <c r="F186" s="31">
        <f>_xlfn.XLOOKUP($A186,'[1]FRV Output'!$F:$F,'[1]FRV Output'!$W:$W)</f>
        <v>106</v>
      </c>
      <c r="G186" s="59">
        <f>_xlfn.XLOOKUP($A186,'[1]FRV Output'!$F:$F,'[1]FRV Output'!$AO:$AO)</f>
        <v>15.25</v>
      </c>
      <c r="H186" s="63">
        <f t="shared" si="2"/>
        <v>62214.991169641842</v>
      </c>
      <c r="I186" s="59">
        <f>_xlfn.XLOOKUP($A186,'[1]FRV Output'!$F:$F,'[1]FRV Output'!$Z:$Z)</f>
        <v>586.93387895888532</v>
      </c>
      <c r="J186" s="162">
        <v>29.25</v>
      </c>
      <c r="K186" s="164">
        <v>1.3158000000000001</v>
      </c>
      <c r="L186" s="59">
        <f>_xlfn.XLOOKUP(A186,'[1]Aging Schedule'!$OA:$OA,'[1]Aging Schedule'!$NW:$NW)</f>
        <v>15.25</v>
      </c>
      <c r="M186" s="59">
        <f>_xlfn.XLOOKUP(A186,'[1]FRV Output'!$F:$F,'[1]FRV Output'!$BC:$BC)</f>
        <v>24.758835735433074</v>
      </c>
      <c r="N186" s="68"/>
      <c r="O186" s="68"/>
      <c r="R186" s="31"/>
      <c r="T186" s="59"/>
      <c r="U186" s="108"/>
      <c r="V186" s="110"/>
    </row>
    <row r="187" spans="1:22" hidden="1" x14ac:dyDescent="0.25">
      <c r="A187">
        <v>1336142470</v>
      </c>
      <c r="B187" s="36">
        <v>0.60079551618152227</v>
      </c>
      <c r="C187" s="63">
        <f>_xlfn.XLOOKUP($A187,'[1]FRV Output'!$F:$F,'[1]FRV Output'!$M:$M)</f>
        <v>36412</v>
      </c>
      <c r="D187" s="63">
        <f>_xlfn.XLOOKUP($A187,'[1]FRV Output'!$F:$F,'[1]FRV Output'!$N:$N)</f>
        <v>36511.758904109593</v>
      </c>
      <c r="E187" s="31">
        <f>_xlfn.XLOOKUP(A187,'[1]FRV Output'!$F:$F,'[1]FRV Output'!$U:$U)</f>
        <v>27705</v>
      </c>
      <c r="F187" s="31">
        <f>_xlfn.XLOOKUP($A187,'[1]FRV Output'!$F:$F,'[1]FRV Output'!$W:$W)</f>
        <v>120</v>
      </c>
      <c r="G187" s="59">
        <f>_xlfn.XLOOKUP($A187,'[1]FRV Output'!$F:$F,'[1]FRV Output'!$AO:$AO)</f>
        <v>23.960000000000036</v>
      </c>
      <c r="H187" s="63">
        <f t="shared" si="2"/>
        <v>67647.803936588723</v>
      </c>
      <c r="I187" s="59">
        <f>_xlfn.XLOOKUP($A187,'[1]FRV Output'!$F:$F,'[1]FRV Output'!$Z:$Z)</f>
        <v>563.73169947157271</v>
      </c>
      <c r="J187" s="162">
        <v>29.25</v>
      </c>
      <c r="K187" s="164">
        <v>1.0155000000000001</v>
      </c>
      <c r="L187" s="59">
        <f>_xlfn.XLOOKUP(A187,'[1]Aging Schedule'!$OA:$OA,'[1]Aging Schedule'!$NW:$NW)</f>
        <v>23.960000000000036</v>
      </c>
      <c r="M187" s="59">
        <f>_xlfn.XLOOKUP(A187,'[1]FRV Output'!$F:$F,'[1]FRV Output'!$BC:$BC)</f>
        <v>22.154110674579485</v>
      </c>
      <c r="N187" s="68"/>
      <c r="O187" s="68"/>
      <c r="R187" s="31"/>
      <c r="T187" s="59"/>
      <c r="U187" s="108"/>
      <c r="V187" s="110"/>
    </row>
    <row r="188" spans="1:22" hidden="1" x14ac:dyDescent="0.25">
      <c r="A188">
        <v>1811984925</v>
      </c>
      <c r="B188" s="36">
        <v>0.67250054692627437</v>
      </c>
      <c r="C188" s="63">
        <f>_xlfn.XLOOKUP($A188,'[1]FRV Output'!$F:$F,'[1]FRV Output'!$M:$M)</f>
        <v>32901</v>
      </c>
      <c r="D188" s="63">
        <f>_xlfn.XLOOKUP($A188,'[1]FRV Output'!$F:$F,'[1]FRV Output'!$N:$N)</f>
        <v>32991.139726027403</v>
      </c>
      <c r="E188" s="31">
        <f>_xlfn.XLOOKUP(A188,'[1]FRV Output'!$F:$F,'[1]FRV Output'!$U:$U)</f>
        <v>27587</v>
      </c>
      <c r="F188" s="31">
        <f>_xlfn.XLOOKUP($A188,'[1]FRV Output'!$F:$F,'[1]FRV Output'!$W:$W)</f>
        <v>130</v>
      </c>
      <c r="G188" s="59">
        <f>_xlfn.XLOOKUP($A188,'[1]FRV Output'!$F:$F,'[1]FRV Output'!$AO:$AO)</f>
        <v>21.6400000000001</v>
      </c>
      <c r="H188" s="63">
        <f t="shared" si="2"/>
        <v>48750</v>
      </c>
      <c r="I188" s="59">
        <f>_xlfn.XLOOKUP($A188,'[1]FRV Output'!$F:$F,'[1]FRV Output'!$Z:$Z)</f>
        <v>375</v>
      </c>
      <c r="J188" s="162">
        <v>29.25</v>
      </c>
      <c r="K188" s="164">
        <v>1.2986</v>
      </c>
      <c r="L188" s="59">
        <f>_xlfn.XLOOKUP(A188,'[1]Aging Schedule'!$OA:$OA,'[1]Aging Schedule'!$NW:$NW)</f>
        <v>21.6400000000001</v>
      </c>
      <c r="M188" s="59">
        <f>_xlfn.XLOOKUP(A188,'[1]FRV Output'!$F:$F,'[1]FRV Output'!$BC:$BC)</f>
        <v>15.838695870265912</v>
      </c>
      <c r="N188" s="68"/>
      <c r="O188" s="68"/>
      <c r="R188" s="31"/>
      <c r="T188" s="59"/>
      <c r="U188" s="108"/>
      <c r="V188" s="110"/>
    </row>
    <row r="189" spans="1:22" hidden="1" x14ac:dyDescent="0.25">
      <c r="A189">
        <v>1689621880</v>
      </c>
      <c r="B189" s="36">
        <v>0.67561343603589297</v>
      </c>
      <c r="C189" s="63">
        <f>_xlfn.XLOOKUP($A189,'[1]FRV Output'!$F:$F,'[1]FRV Output'!$M:$M)</f>
        <v>29569</v>
      </c>
      <c r="D189" s="63">
        <f>_xlfn.XLOOKUP($A189,'[1]FRV Output'!$F:$F,'[1]FRV Output'!$N:$N)</f>
        <v>29650.010958904113</v>
      </c>
      <c r="E189" s="31">
        <f>_xlfn.XLOOKUP(A189,'[1]FRV Output'!$F:$F,'[1]FRV Output'!$U:$U)</f>
        <v>28213</v>
      </c>
      <c r="F189" s="31">
        <f>_xlfn.XLOOKUP($A189,'[1]FRV Output'!$F:$F,'[1]FRV Output'!$W:$W)</f>
        <v>120</v>
      </c>
      <c r="G189" s="59">
        <f>_xlfn.XLOOKUP($A189,'[1]FRV Output'!$F:$F,'[1]FRV Output'!$AO:$AO)</f>
        <v>25.579999999999927</v>
      </c>
      <c r="H189" s="63">
        <f t="shared" si="2"/>
        <v>38556</v>
      </c>
      <c r="I189" s="59">
        <f>_xlfn.XLOOKUP($A189,'[1]FRV Output'!$F:$F,'[1]FRV Output'!$Z:$Z)</f>
        <v>321.3</v>
      </c>
      <c r="J189" s="162">
        <v>29.25</v>
      </c>
      <c r="K189" s="164">
        <v>1.2136</v>
      </c>
      <c r="L189" s="59">
        <f>_xlfn.XLOOKUP(A189,'[1]Aging Schedule'!$OA:$OA,'[1]Aging Schedule'!$NW:$NW)</f>
        <v>25.579999999999927</v>
      </c>
      <c r="M189" s="59">
        <f>_xlfn.XLOOKUP(A189,'[1]FRV Output'!$F:$F,'[1]FRV Output'!$BC:$BC)</f>
        <v>13.246019893392415</v>
      </c>
      <c r="N189" s="68"/>
      <c r="O189" s="68"/>
      <c r="R189" s="31"/>
      <c r="T189" s="59"/>
      <c r="U189" s="108"/>
      <c r="V189" s="110"/>
    </row>
    <row r="190" spans="1:22" hidden="1" x14ac:dyDescent="0.25">
      <c r="A190">
        <v>1932750841</v>
      </c>
      <c r="B190" s="36">
        <v>0.72054880228816587</v>
      </c>
      <c r="C190" s="63">
        <f>_xlfn.XLOOKUP($A190,'[1]FRV Output'!$F:$F,'[1]FRV Output'!$M:$M)</f>
        <v>23497</v>
      </c>
      <c r="D190" s="63">
        <f>_xlfn.XLOOKUP($A190,'[1]FRV Output'!$F:$F,'[1]FRV Output'!$N:$N)</f>
        <v>23561.375342465755</v>
      </c>
      <c r="E190" s="31">
        <f>_xlfn.XLOOKUP(A190,'[1]FRV Output'!$F:$F,'[1]FRV Output'!$U:$U)</f>
        <v>28078</v>
      </c>
      <c r="F190" s="31">
        <f>_xlfn.XLOOKUP($A190,'[1]FRV Output'!$F:$F,'[1]FRV Output'!$W:$W)</f>
        <v>168</v>
      </c>
      <c r="G190" s="59">
        <f>_xlfn.XLOOKUP($A190,'[1]FRV Output'!$F:$F,'[1]FRV Output'!$AO:$AO)</f>
        <v>3.4300000000000637</v>
      </c>
      <c r="H190" s="63">
        <f t="shared" si="2"/>
        <v>71400</v>
      </c>
      <c r="I190" s="59">
        <f>_xlfn.XLOOKUP($A190,'[1]FRV Output'!$F:$F,'[1]FRV Output'!$Z:$Z)</f>
        <v>425</v>
      </c>
      <c r="J190" s="162">
        <v>29.25</v>
      </c>
      <c r="K190" s="164">
        <v>1.2042999999999999</v>
      </c>
      <c r="L190" s="59">
        <f>_xlfn.XLOOKUP(A190,'[1]Aging Schedule'!$OA:$OA,'[1]Aging Schedule'!$NW:$NW)</f>
        <v>3.4300000000000637</v>
      </c>
      <c r="M190" s="59">
        <f>_xlfn.XLOOKUP(A190,'[1]FRV Output'!$F:$F,'[1]FRV Output'!$BC:$BC)</f>
        <v>27.039992622401329</v>
      </c>
      <c r="N190" s="68"/>
      <c r="O190" s="68"/>
      <c r="R190" s="31"/>
      <c r="T190" s="59"/>
      <c r="U190" s="108"/>
      <c r="V190" s="110"/>
    </row>
    <row r="191" spans="1:22" hidden="1" x14ac:dyDescent="0.25">
      <c r="A191">
        <v>1851836118</v>
      </c>
      <c r="B191" s="36">
        <v>0.64094789755046677</v>
      </c>
      <c r="C191" s="63">
        <f>_xlfn.XLOOKUP($A191,'[1]FRV Output'!$F:$F,'[1]FRV Output'!$M:$M)</f>
        <v>30052</v>
      </c>
      <c r="D191" s="63">
        <f>_xlfn.XLOOKUP($A191,'[1]FRV Output'!$F:$F,'[1]FRV Output'!$N:$N)</f>
        <v>30134.334246575345</v>
      </c>
      <c r="E191" s="31">
        <f>_xlfn.XLOOKUP(A191,'[1]FRV Output'!$F:$F,'[1]FRV Output'!$U:$U)</f>
        <v>28425</v>
      </c>
      <c r="F191" s="31">
        <f>_xlfn.XLOOKUP($A191,'[1]FRV Output'!$F:$F,'[1]FRV Output'!$W:$W)</f>
        <v>98</v>
      </c>
      <c r="G191" s="59">
        <f>_xlfn.XLOOKUP($A191,'[1]FRV Output'!$F:$F,'[1]FRV Output'!$AO:$AO)</f>
        <v>24.309999999999945</v>
      </c>
      <c r="H191" s="63">
        <f t="shared" si="2"/>
        <v>36750</v>
      </c>
      <c r="I191" s="59">
        <f>_xlfn.XLOOKUP($A191,'[1]FRV Output'!$F:$F,'[1]FRV Output'!$Z:$Z)</f>
        <v>375</v>
      </c>
      <c r="J191" s="162">
        <v>29.25</v>
      </c>
      <c r="K191" s="164">
        <v>1.081</v>
      </c>
      <c r="L191" s="59">
        <f>_xlfn.XLOOKUP(A191,'[1]Aging Schedule'!$OA:$OA,'[1]Aging Schedule'!$NW:$NW)</f>
        <v>24.309999999999945</v>
      </c>
      <c r="M191" s="59">
        <f>_xlfn.XLOOKUP(A191,'[1]FRV Output'!$F:$F,'[1]FRV Output'!$BC:$BC)</f>
        <v>14.377940956486691</v>
      </c>
      <c r="N191" s="68"/>
      <c r="O191" s="68"/>
      <c r="R191" s="31"/>
      <c r="T191" s="59"/>
      <c r="U191" s="108"/>
      <c r="V191" s="110"/>
    </row>
    <row r="192" spans="1:22" hidden="1" x14ac:dyDescent="0.25">
      <c r="A192">
        <v>1598704504</v>
      </c>
      <c r="B192" s="36">
        <v>0.6616309542161245</v>
      </c>
      <c r="C192" s="63">
        <f>_xlfn.XLOOKUP($A192,'[1]FRV Output'!$F:$F,'[1]FRV Output'!$M:$M)</f>
        <v>25607</v>
      </c>
      <c r="D192" s="63">
        <f>_xlfn.XLOOKUP($A192,'[1]FRV Output'!$F:$F,'[1]FRV Output'!$N:$N)</f>
        <v>25677.156164383563</v>
      </c>
      <c r="E192" s="31">
        <f>_xlfn.XLOOKUP(A192,'[1]FRV Output'!$F:$F,'[1]FRV Output'!$U:$U)</f>
        <v>28712</v>
      </c>
      <c r="F192" s="31">
        <f>_xlfn.XLOOKUP($A192,'[1]FRV Output'!$F:$F,'[1]FRV Output'!$W:$W)</f>
        <v>110</v>
      </c>
      <c r="G192" s="59">
        <f>_xlfn.XLOOKUP($A192,'[1]FRV Output'!$F:$F,'[1]FRV Output'!$AO:$AO)</f>
        <v>8.0699999999999363</v>
      </c>
      <c r="H192" s="63">
        <f t="shared" si="2"/>
        <v>37828</v>
      </c>
      <c r="I192" s="59">
        <f>_xlfn.XLOOKUP($A192,'[1]FRV Output'!$F:$F,'[1]FRV Output'!$Z:$Z)</f>
        <v>343.89090909090908</v>
      </c>
      <c r="J192" s="162">
        <v>29.25</v>
      </c>
      <c r="K192" s="164">
        <v>1.0592999999999999</v>
      </c>
      <c r="L192" s="59">
        <f>_xlfn.XLOOKUP(A192,'[1]Aging Schedule'!$OA:$OA,'[1]Aging Schedule'!$NW:$NW)</f>
        <v>8.0699999999999363</v>
      </c>
      <c r="M192" s="59">
        <f>_xlfn.XLOOKUP(A192,'[1]FRV Output'!$F:$F,'[1]FRV Output'!$BC:$BC)</f>
        <v>23.958540938436741</v>
      </c>
      <c r="N192" s="68"/>
      <c r="O192" s="68"/>
      <c r="R192" s="31"/>
      <c r="T192" s="59"/>
      <c r="U192" s="108"/>
      <c r="V192" s="110"/>
    </row>
    <row r="193" spans="1:22" hidden="1" x14ac:dyDescent="0.25">
      <c r="A193">
        <v>1245227578</v>
      </c>
      <c r="B193" s="36">
        <v>0.67746496188836969</v>
      </c>
      <c r="C193" s="63">
        <f>_xlfn.XLOOKUP($A193,'[1]FRV Output'!$F:$F,'[1]FRV Output'!$M:$M)</f>
        <v>49939</v>
      </c>
      <c r="D193" s="63">
        <f>_xlfn.XLOOKUP($A193,'[1]FRV Output'!$F:$F,'[1]FRV Output'!$N:$N)</f>
        <v>50075.819178082194</v>
      </c>
      <c r="E193" s="31">
        <f>_xlfn.XLOOKUP(A193,'[1]FRV Output'!$F:$F,'[1]FRV Output'!$U:$U)</f>
        <v>28658</v>
      </c>
      <c r="F193" s="31">
        <f>_xlfn.XLOOKUP($A193,'[1]FRV Output'!$F:$F,'[1]FRV Output'!$W:$W)</f>
        <v>174</v>
      </c>
      <c r="G193" s="59">
        <f>_xlfn.XLOOKUP($A193,'[1]FRV Output'!$F:$F,'[1]FRV Output'!$AO:$AO)</f>
        <v>4.5299999999999727</v>
      </c>
      <c r="H193" s="63">
        <f t="shared" si="2"/>
        <v>149627.36150378239</v>
      </c>
      <c r="I193" s="59">
        <f>_xlfn.XLOOKUP($A193,'[1]FRV Output'!$F:$F,'[1]FRV Output'!$Z:$Z)</f>
        <v>859.92736496426664</v>
      </c>
      <c r="J193" s="162">
        <v>0</v>
      </c>
      <c r="K193" s="164">
        <v>1.0079</v>
      </c>
      <c r="L193" s="59">
        <f>_xlfn.XLOOKUP(A193,'[1]Aging Schedule'!$OA:$OA,'[1]Aging Schedule'!$NW:$NW)</f>
        <v>4.5299999999999727</v>
      </c>
      <c r="M193" s="59">
        <f>_xlfn.XLOOKUP(A193,'[1]FRV Output'!$F:$F,'[1]FRV Output'!$BC:$BC)</f>
        <v>41.389858167606789</v>
      </c>
      <c r="N193" s="68"/>
      <c r="O193" s="68"/>
      <c r="R193" s="31"/>
      <c r="T193" s="59"/>
      <c r="U193" s="108"/>
      <c r="V193" s="110"/>
    </row>
    <row r="194" spans="1:22" hidden="1" x14ac:dyDescent="0.25">
      <c r="A194">
        <v>1427608959</v>
      </c>
      <c r="B194" s="36">
        <v>0.71268327858344682</v>
      </c>
      <c r="C194" s="63">
        <f>_xlfn.XLOOKUP($A194,'[1]FRV Output'!$F:$F,'[1]FRV Output'!$M:$M)</f>
        <v>23257</v>
      </c>
      <c r="D194" s="63">
        <f>_xlfn.XLOOKUP($A194,'[1]FRV Output'!$F:$F,'[1]FRV Output'!$N:$N)</f>
        <v>23320.717808219182</v>
      </c>
      <c r="E194" s="31">
        <f>_xlfn.XLOOKUP(A194,'[1]FRV Output'!$F:$F,'[1]FRV Output'!$U:$U)</f>
        <v>28315</v>
      </c>
      <c r="F194" s="31">
        <f>_xlfn.XLOOKUP($A194,'[1]FRV Output'!$F:$F,'[1]FRV Output'!$W:$W)</f>
        <v>100</v>
      </c>
      <c r="G194" s="59">
        <f>_xlfn.XLOOKUP($A194,'[1]FRV Output'!$F:$F,'[1]FRV Output'!$AO:$AO)</f>
        <v>17.299999999999955</v>
      </c>
      <c r="H194" s="63">
        <f t="shared" si="2"/>
        <v>36251.873494053521</v>
      </c>
      <c r="I194" s="59">
        <f>_xlfn.XLOOKUP($A194,'[1]FRV Output'!$F:$F,'[1]FRV Output'!$Z:$Z)</f>
        <v>362.51873494053524</v>
      </c>
      <c r="J194" s="162">
        <v>29.25</v>
      </c>
      <c r="K194" s="164">
        <v>1.2023999999999999</v>
      </c>
      <c r="L194" s="59">
        <f>_xlfn.XLOOKUP(A194,'[1]Aging Schedule'!$OA:$OA,'[1]Aging Schedule'!$NW:$NW)</f>
        <v>17.299999999999955</v>
      </c>
      <c r="M194" s="59">
        <f>_xlfn.XLOOKUP(A194,'[1]FRV Output'!$F:$F,'[1]FRV Output'!$BC:$BC)</f>
        <v>18.801172858017733</v>
      </c>
      <c r="N194" s="68"/>
      <c r="O194" s="68"/>
      <c r="R194" s="31"/>
      <c r="T194" s="59"/>
      <c r="U194" s="108"/>
      <c r="V194" s="110"/>
    </row>
    <row r="195" spans="1:22" hidden="1" x14ac:dyDescent="0.25">
      <c r="A195">
        <v>1437564739</v>
      </c>
      <c r="B195" s="36">
        <v>0.60170205594876969</v>
      </c>
      <c r="C195" s="63">
        <f>_xlfn.XLOOKUP($A195,'[1]FRV Output'!$F:$F,'[1]FRV Output'!$M:$M)</f>
        <v>30728</v>
      </c>
      <c r="D195" s="63">
        <f>_xlfn.XLOOKUP($A195,'[1]FRV Output'!$F:$F,'[1]FRV Output'!$N:$N)</f>
        <v>30812.186301369868</v>
      </c>
      <c r="E195" s="31">
        <f>_xlfn.XLOOKUP(A195,'[1]FRV Output'!$F:$F,'[1]FRV Output'!$U:$U)</f>
        <v>28501</v>
      </c>
      <c r="F195" s="31">
        <f>_xlfn.XLOOKUP($A195,'[1]FRV Output'!$F:$F,'[1]FRV Output'!$W:$W)</f>
        <v>106</v>
      </c>
      <c r="G195" s="59">
        <f>_xlfn.XLOOKUP($A195,'[1]FRV Output'!$F:$F,'[1]FRV Output'!$AO:$AO)</f>
        <v>5.4900000000000091</v>
      </c>
      <c r="H195" s="63">
        <f t="shared" ref="H195:H258" si="3">+I195*F195</f>
        <v>37434</v>
      </c>
      <c r="I195" s="59">
        <f>_xlfn.XLOOKUP($A195,'[1]FRV Output'!$F:$F,'[1]FRV Output'!$Z:$Z)</f>
        <v>353.15094339622641</v>
      </c>
      <c r="J195" s="162">
        <v>29.25</v>
      </c>
      <c r="K195" s="164">
        <v>1.2103999999999999</v>
      </c>
      <c r="L195" s="59">
        <f>_xlfn.XLOOKUP(A195,'[1]Aging Schedule'!$OA:$OA,'[1]Aging Schedule'!$NW:$NW)</f>
        <v>5.4900000000000091</v>
      </c>
      <c r="M195" s="59">
        <f>_xlfn.XLOOKUP(A195,'[1]FRV Output'!$F:$F,'[1]FRV Output'!$BC:$BC)</f>
        <v>25.169977934407697</v>
      </c>
      <c r="N195" s="68"/>
      <c r="O195" s="68"/>
      <c r="R195" s="31"/>
      <c r="T195" s="59"/>
      <c r="U195" s="108"/>
      <c r="V195" s="110"/>
    </row>
    <row r="196" spans="1:22" hidden="1" x14ac:dyDescent="0.25">
      <c r="A196">
        <v>1548206907</v>
      </c>
      <c r="B196" s="36">
        <v>0.60214081109603501</v>
      </c>
      <c r="C196" s="63">
        <f>_xlfn.XLOOKUP($A196,'[1]FRV Output'!$F:$F,'[1]FRV Output'!$M:$M)</f>
        <v>29333</v>
      </c>
      <c r="D196" s="63">
        <f>_xlfn.XLOOKUP($A196,'[1]FRV Output'!$F:$F,'[1]FRV Output'!$N:$N)</f>
        <v>29413.364383561646</v>
      </c>
      <c r="E196" s="31">
        <f>_xlfn.XLOOKUP(A196,'[1]FRV Output'!$F:$F,'[1]FRV Output'!$U:$U)</f>
        <v>28709</v>
      </c>
      <c r="F196" s="31">
        <f>_xlfn.XLOOKUP($A196,'[1]FRV Output'!$F:$F,'[1]FRV Output'!$W:$W)</f>
        <v>120</v>
      </c>
      <c r="G196" s="59">
        <f>_xlfn.XLOOKUP($A196,'[1]FRV Output'!$F:$F,'[1]FRV Output'!$AO:$AO)</f>
        <v>2.8099999999999454</v>
      </c>
      <c r="H196" s="63">
        <f t="shared" si="3"/>
        <v>50892</v>
      </c>
      <c r="I196" s="59">
        <f>_xlfn.XLOOKUP($A196,'[1]FRV Output'!$F:$F,'[1]FRV Output'!$Z:$Z)</f>
        <v>424.1</v>
      </c>
      <c r="J196" s="162">
        <v>29.25</v>
      </c>
      <c r="K196" s="164">
        <v>1.2603</v>
      </c>
      <c r="L196" s="59">
        <f>_xlfn.XLOOKUP(A196,'[1]Aging Schedule'!$OA:$OA,'[1]Aging Schedule'!$NW:$NW)</f>
        <v>2.8099999999999454</v>
      </c>
      <c r="M196" s="59">
        <f>_xlfn.XLOOKUP(A196,'[1]FRV Output'!$F:$F,'[1]FRV Output'!$BC:$BC)</f>
        <v>26.682760826107923</v>
      </c>
      <c r="N196" s="68"/>
      <c r="O196" s="68"/>
      <c r="R196" s="31"/>
      <c r="T196" s="59"/>
      <c r="U196" s="108"/>
      <c r="V196" s="110"/>
    </row>
    <row r="197" spans="1:22" hidden="1" x14ac:dyDescent="0.25">
      <c r="A197">
        <v>1831551514</v>
      </c>
      <c r="B197" s="36">
        <v>0.63039883590184542</v>
      </c>
      <c r="C197" s="63">
        <f>_xlfn.XLOOKUP($A197,'[1]FRV Output'!$F:$F,'[1]FRV Output'!$M:$M)</f>
        <v>33063</v>
      </c>
      <c r="D197" s="63">
        <f>_xlfn.XLOOKUP($A197,'[1]FRV Output'!$F:$F,'[1]FRV Output'!$N:$N)</f>
        <v>33153.583561643842</v>
      </c>
      <c r="E197" s="31">
        <f>_xlfn.XLOOKUP(A197,'[1]FRV Output'!$F:$F,'[1]FRV Output'!$U:$U)</f>
        <v>27705</v>
      </c>
      <c r="F197" s="31">
        <f>_xlfn.XLOOKUP($A197,'[1]FRV Output'!$F:$F,'[1]FRV Output'!$W:$W)</f>
        <v>126</v>
      </c>
      <c r="G197" s="59">
        <f>_xlfn.XLOOKUP($A197,'[1]FRV Output'!$F:$F,'[1]FRV Output'!$AO:$AO)</f>
        <v>21.8900000000001</v>
      </c>
      <c r="H197" s="63">
        <f t="shared" si="3"/>
        <v>33882.352941176468</v>
      </c>
      <c r="I197" s="59">
        <f>_xlfn.XLOOKUP($A197,'[1]FRV Output'!$F:$F,'[1]FRV Output'!$Z:$Z)</f>
        <v>268.9075630252101</v>
      </c>
      <c r="J197" s="162">
        <v>29.25</v>
      </c>
      <c r="K197" s="164">
        <v>1.2463</v>
      </c>
      <c r="L197" s="59">
        <f>_xlfn.XLOOKUP(A197,'[1]Aging Schedule'!$OA:$OA,'[1]Aging Schedule'!$NW:$NW)</f>
        <v>21.8900000000001</v>
      </c>
      <c r="M197" s="59">
        <f>_xlfn.XLOOKUP(A197,'[1]FRV Output'!$F:$F,'[1]FRV Output'!$BC:$BC)</f>
        <v>15.793383230862199</v>
      </c>
      <c r="N197" s="68"/>
      <c r="O197" s="68"/>
      <c r="R197" s="31"/>
      <c r="T197" s="59"/>
      <c r="U197" s="108"/>
      <c r="V197" s="110"/>
    </row>
    <row r="198" spans="1:22" hidden="1" x14ac:dyDescent="0.25">
      <c r="A198">
        <v>1295704849</v>
      </c>
      <c r="B198" s="36">
        <v>0.65243058758417127</v>
      </c>
      <c r="C198" s="63">
        <f>_xlfn.XLOOKUP($A198,'[1]FRV Output'!$F:$F,'[1]FRV Output'!$M:$M)</f>
        <v>29910</v>
      </c>
      <c r="D198" s="63">
        <f>_xlfn.XLOOKUP($A198,'[1]FRV Output'!$F:$F,'[1]FRV Output'!$N:$N)</f>
        <v>29991.945205479456</v>
      </c>
      <c r="E198" s="31">
        <f>_xlfn.XLOOKUP(A198,'[1]FRV Output'!$F:$F,'[1]FRV Output'!$U:$U)</f>
        <v>28645</v>
      </c>
      <c r="F198" s="31">
        <f>_xlfn.XLOOKUP($A198,'[1]FRV Output'!$F:$F,'[1]FRV Output'!$W:$W)</f>
        <v>120</v>
      </c>
      <c r="G198" s="59">
        <f>_xlfn.XLOOKUP($A198,'[1]FRV Output'!$F:$F,'[1]FRV Output'!$AO:$AO)</f>
        <v>35.5</v>
      </c>
      <c r="H198" s="63">
        <f t="shared" si="3"/>
        <v>30509</v>
      </c>
      <c r="I198" s="59">
        <f>_xlfn.XLOOKUP($A198,'[1]FRV Output'!$F:$F,'[1]FRV Output'!$Z:$Z)</f>
        <v>254.24166666666667</v>
      </c>
      <c r="J198" s="162">
        <v>29.25</v>
      </c>
      <c r="K198" s="164">
        <v>1.452</v>
      </c>
      <c r="L198" s="59">
        <f>_xlfn.XLOOKUP(A198,'[1]Aging Schedule'!$OA:$OA,'[1]Aging Schedule'!$NW:$NW)</f>
        <v>36.220000000000027</v>
      </c>
      <c r="M198" s="59">
        <f>_xlfn.XLOOKUP(A198,'[1]FRV Output'!$F:$F,'[1]FRV Output'!$BC:$BC)</f>
        <v>8.542559165995165</v>
      </c>
      <c r="N198" s="68"/>
      <c r="O198" s="68"/>
      <c r="R198" s="31"/>
      <c r="T198" s="59"/>
      <c r="U198" s="108"/>
      <c r="V198" s="110"/>
    </row>
    <row r="199" spans="1:22" hidden="1" x14ac:dyDescent="0.25">
      <c r="A199">
        <v>1083298236</v>
      </c>
      <c r="B199" s="36">
        <v>0.69085948158253752</v>
      </c>
      <c r="C199" s="63">
        <f>_xlfn.XLOOKUP($A199,'[1]FRV Output'!$F:$F,'[1]FRV Output'!$M:$M)</f>
        <v>30835.711159737421</v>
      </c>
      <c r="D199" s="63">
        <f>_xlfn.XLOOKUP($A199,'[1]FRV Output'!$F:$F,'[1]FRV Output'!$N:$N)</f>
        <v>24695.55860933019</v>
      </c>
      <c r="E199" s="31">
        <f>_xlfn.XLOOKUP(A199,'[1]FRV Output'!$F:$F,'[1]FRV Output'!$U:$U)</f>
        <v>27292</v>
      </c>
      <c r="F199" s="31">
        <f>_xlfn.XLOOKUP($A199,'[1]FRV Output'!$F:$F,'[1]FRV Output'!$W:$W)</f>
        <v>90</v>
      </c>
      <c r="G199" s="59">
        <f>_xlfn.XLOOKUP($A199,'[1]FRV Output'!$F:$F,'[1]FRV Output'!$AO:$AO)</f>
        <v>6.7000000000000455</v>
      </c>
      <c r="H199" s="63">
        <f t="shared" si="3"/>
        <v>29716.2</v>
      </c>
      <c r="I199" s="59">
        <f>_xlfn.XLOOKUP($A199,'[1]FRV Output'!$F:$F,'[1]FRV Output'!$Z:$Z)</f>
        <v>330.18</v>
      </c>
      <c r="J199" s="162">
        <v>29.25</v>
      </c>
      <c r="K199" s="164">
        <v>1.2577</v>
      </c>
      <c r="L199" s="59">
        <f>_xlfn.XLOOKUP(A199,'[1]Aging Schedule'!$OA:$OA,'[1]Aging Schedule'!$NW:$NW)</f>
        <v>6.7000000000000455</v>
      </c>
      <c r="M199" s="59">
        <f>_xlfn.XLOOKUP(A199,'[1]FRV Output'!$F:$F,'[1]FRV Output'!$BC:$BC)</f>
        <v>25.194401732151519</v>
      </c>
      <c r="N199" s="68"/>
      <c r="O199" s="68"/>
      <c r="R199" s="31"/>
      <c r="T199" s="59"/>
      <c r="U199" s="108"/>
      <c r="V199" s="110"/>
    </row>
    <row r="200" spans="1:22" hidden="1" x14ac:dyDescent="0.25">
      <c r="A200">
        <v>1538113014</v>
      </c>
      <c r="B200" s="36">
        <v>0.66961797015904245</v>
      </c>
      <c r="C200" s="63">
        <f>_xlfn.XLOOKUP($A200,'[1]FRV Output'!$F:$F,'[1]FRV Output'!$M:$M)</f>
        <v>26141</v>
      </c>
      <c r="D200" s="63">
        <f>_xlfn.XLOOKUP($A200,'[1]FRV Output'!$F:$F,'[1]FRV Output'!$N:$N)</f>
        <v>26212.619178082194</v>
      </c>
      <c r="E200" s="31">
        <f>_xlfn.XLOOKUP(A200,'[1]FRV Output'!$F:$F,'[1]FRV Output'!$U:$U)</f>
        <v>28472</v>
      </c>
      <c r="F200" s="31">
        <f>_xlfn.XLOOKUP($A200,'[1]FRV Output'!$F:$F,'[1]FRV Output'!$W:$W)</f>
        <v>107</v>
      </c>
      <c r="G200" s="59">
        <f>_xlfn.XLOOKUP($A200,'[1]FRV Output'!$F:$F,'[1]FRV Output'!$AO:$AO)</f>
        <v>16.289999999999964</v>
      </c>
      <c r="H200" s="63">
        <f t="shared" si="3"/>
        <v>55077.152477253607</v>
      </c>
      <c r="I200" s="59">
        <f>_xlfn.XLOOKUP($A200,'[1]FRV Output'!$F:$F,'[1]FRV Output'!$Z:$Z)</f>
        <v>514.7397427780711</v>
      </c>
      <c r="J200" s="162">
        <v>29.25</v>
      </c>
      <c r="K200" s="164">
        <v>1.0966</v>
      </c>
      <c r="L200" s="59">
        <f>_xlfn.XLOOKUP(A200,'[1]Aging Schedule'!$OA:$OA,'[1]Aging Schedule'!$NW:$NW)</f>
        <v>16.289999999999964</v>
      </c>
      <c r="M200" s="59">
        <f>_xlfn.XLOOKUP(A200,'[1]FRV Output'!$F:$F,'[1]FRV Output'!$BC:$BC)</f>
        <v>23.635882696206782</v>
      </c>
      <c r="N200" s="68"/>
      <c r="O200" s="68"/>
      <c r="R200" s="31"/>
      <c r="T200" s="59"/>
      <c r="U200" s="108"/>
      <c r="V200" s="110"/>
    </row>
    <row r="201" spans="1:22" hidden="1" x14ac:dyDescent="0.25">
      <c r="A201">
        <v>1336193754</v>
      </c>
      <c r="B201" s="36">
        <v>0.67213626154230099</v>
      </c>
      <c r="C201" s="63">
        <f>_xlfn.XLOOKUP($A201,'[1]FRV Output'!$F:$F,'[1]FRV Output'!$M:$M)</f>
        <v>43200</v>
      </c>
      <c r="D201" s="63">
        <f>_xlfn.XLOOKUP($A201,'[1]FRV Output'!$F:$F,'[1]FRV Output'!$N:$N)</f>
        <v>43318.356164383564</v>
      </c>
      <c r="E201" s="31">
        <f>_xlfn.XLOOKUP(A201,'[1]FRV Output'!$F:$F,'[1]FRV Output'!$U:$U)</f>
        <v>28105</v>
      </c>
      <c r="F201" s="31">
        <f>_xlfn.XLOOKUP($A201,'[1]FRV Output'!$F:$F,'[1]FRV Output'!$W:$W)</f>
        <v>169</v>
      </c>
      <c r="G201" s="59">
        <f>_xlfn.XLOOKUP($A201,'[1]FRV Output'!$F:$F,'[1]FRV Output'!$AO:$AO)</f>
        <v>9.2699999999999818</v>
      </c>
      <c r="H201" s="63">
        <f t="shared" si="3"/>
        <v>98608.842767295588</v>
      </c>
      <c r="I201" s="59">
        <f>_xlfn.XLOOKUP($A201,'[1]FRV Output'!$F:$F,'[1]FRV Output'!$Z:$Z)</f>
        <v>583.48427672955972</v>
      </c>
      <c r="J201" s="162">
        <v>9.4499999999999993</v>
      </c>
      <c r="K201" s="164">
        <v>1.2701</v>
      </c>
      <c r="L201" s="59">
        <f>_xlfn.XLOOKUP(A201,'[1]Aging Schedule'!$OA:$OA,'[1]Aging Schedule'!$NW:$NW)</f>
        <v>9.2699999999999818</v>
      </c>
      <c r="M201" s="59">
        <f>_xlfn.XLOOKUP(A201,'[1]FRV Output'!$F:$F,'[1]FRV Output'!$BC:$BC)</f>
        <v>32.756060660601413</v>
      </c>
      <c r="N201" s="68"/>
      <c r="O201" s="68"/>
      <c r="R201" s="31"/>
      <c r="T201" s="59"/>
      <c r="U201" s="108"/>
      <c r="V201" s="110"/>
    </row>
    <row r="202" spans="1:22" hidden="1" x14ac:dyDescent="0.25">
      <c r="A202">
        <v>1326089616</v>
      </c>
      <c r="B202" s="36">
        <v>0.7234848484848484</v>
      </c>
      <c r="C202" s="63">
        <f>_xlfn.XLOOKUP($A202,'[1]FRV Output'!$F:$F,'[1]FRV Output'!$M:$M)</f>
        <v>23420</v>
      </c>
      <c r="D202" s="63">
        <f>_xlfn.XLOOKUP($A202,'[1]FRV Output'!$F:$F,'[1]FRV Output'!$N:$N)</f>
        <v>23484.164383561645</v>
      </c>
      <c r="E202" s="31">
        <f>_xlfn.XLOOKUP(A202,'[1]FRV Output'!$F:$F,'[1]FRV Output'!$U:$U)</f>
        <v>27215</v>
      </c>
      <c r="F202" s="31">
        <f>_xlfn.XLOOKUP($A202,'[1]FRV Output'!$F:$F,'[1]FRV Output'!$W:$W)</f>
        <v>90</v>
      </c>
      <c r="G202" s="59">
        <f>_xlfn.XLOOKUP($A202,'[1]FRV Output'!$F:$F,'[1]FRV Output'!$AO:$AO)</f>
        <v>11.660000000000082</v>
      </c>
      <c r="H202" s="63">
        <f t="shared" si="3"/>
        <v>30653.852459016391</v>
      </c>
      <c r="I202" s="59">
        <f>_xlfn.XLOOKUP($A202,'[1]FRV Output'!$F:$F,'[1]FRV Output'!$Z:$Z)</f>
        <v>340.59836065573768</v>
      </c>
      <c r="J202" s="162">
        <v>29.25</v>
      </c>
      <c r="K202" s="164">
        <v>1.0307999999999999</v>
      </c>
      <c r="L202" s="59">
        <f>_xlfn.XLOOKUP(A202,'[1]Aging Schedule'!$OA:$OA,'[1]Aging Schedule'!$NW:$NW)</f>
        <v>11.660000000000082</v>
      </c>
      <c r="M202" s="59">
        <f>_xlfn.XLOOKUP(A202,'[1]FRV Output'!$F:$F,'[1]FRV Output'!$BC:$BC)</f>
        <v>21.763732196615614</v>
      </c>
      <c r="N202" s="68"/>
      <c r="O202" s="68"/>
      <c r="R202" s="31"/>
      <c r="T202" s="59"/>
      <c r="U202" s="108"/>
      <c r="V202" s="110"/>
    </row>
    <row r="203" spans="1:22" hidden="1" x14ac:dyDescent="0.25">
      <c r="A203">
        <v>1669425401</v>
      </c>
      <c r="B203" s="36">
        <v>0.62067905976340443</v>
      </c>
      <c r="C203" s="63">
        <f>_xlfn.XLOOKUP($A203,'[1]FRV Output'!$F:$F,'[1]FRV Output'!$M:$M)</f>
        <v>29313</v>
      </c>
      <c r="D203" s="63">
        <f>_xlfn.XLOOKUP($A203,'[1]FRV Output'!$F:$F,'[1]FRV Output'!$N:$N)</f>
        <v>29393.309589041099</v>
      </c>
      <c r="E203" s="31">
        <f>_xlfn.XLOOKUP(A203,'[1]FRV Output'!$F:$F,'[1]FRV Output'!$U:$U)</f>
        <v>27504</v>
      </c>
      <c r="F203" s="31">
        <f>_xlfn.XLOOKUP($A203,'[1]FRV Output'!$F:$F,'[1]FRV Output'!$W:$W)</f>
        <v>100</v>
      </c>
      <c r="G203" s="59">
        <f>_xlfn.XLOOKUP($A203,'[1]FRV Output'!$F:$F,'[1]FRV Output'!$AO:$AO)</f>
        <v>18.940000000000055</v>
      </c>
      <c r="H203" s="63">
        <f t="shared" si="3"/>
        <v>56575.626634079803</v>
      </c>
      <c r="I203" s="59">
        <f>_xlfn.XLOOKUP($A203,'[1]FRV Output'!$F:$F,'[1]FRV Output'!$Z:$Z)</f>
        <v>565.75626634079799</v>
      </c>
      <c r="J203" s="162">
        <v>29.25</v>
      </c>
      <c r="K203" s="164">
        <v>1.1518999999999999</v>
      </c>
      <c r="L203" s="59">
        <f>_xlfn.XLOOKUP(A203,'[1]Aging Schedule'!$OA:$OA,'[1]Aging Schedule'!$NW:$NW)</f>
        <v>18.940000000000055</v>
      </c>
      <c r="M203" s="59">
        <f>_xlfn.XLOOKUP(A203,'[1]FRV Output'!$F:$F,'[1]FRV Output'!$BC:$BC)</f>
        <v>24.42944814825665</v>
      </c>
      <c r="N203" s="68"/>
      <c r="O203" s="68"/>
      <c r="R203" s="31"/>
      <c r="T203" s="59"/>
      <c r="U203" s="108"/>
      <c r="V203" s="110"/>
    </row>
    <row r="204" spans="1:22" hidden="1" x14ac:dyDescent="0.25">
      <c r="A204">
        <v>1861446338</v>
      </c>
      <c r="B204" s="36">
        <v>0.45274870068077006</v>
      </c>
      <c r="C204" s="63">
        <f>_xlfn.XLOOKUP($A204,'[1]FRV Output'!$F:$F,'[1]FRV Output'!$M:$M)</f>
        <v>18494</v>
      </c>
      <c r="D204" s="63">
        <f>_xlfn.XLOOKUP($A204,'[1]FRV Output'!$F:$F,'[1]FRV Output'!$N:$N)</f>
        <v>18544.668493150686</v>
      </c>
      <c r="E204" s="31">
        <f>_xlfn.XLOOKUP(A204,'[1]FRV Output'!$F:$F,'[1]FRV Output'!$U:$U)</f>
        <v>27332</v>
      </c>
      <c r="F204" s="31">
        <f>_xlfn.XLOOKUP($A204,'[1]FRV Output'!$F:$F,'[1]FRV Output'!$W:$W)</f>
        <v>80</v>
      </c>
      <c r="G204" s="59">
        <f>_xlfn.XLOOKUP($A204,'[1]FRV Output'!$F:$F,'[1]FRV Output'!$AO:$AO)</f>
        <v>18.079999999999927</v>
      </c>
      <c r="H204" s="63">
        <f t="shared" si="3"/>
        <v>36629.18</v>
      </c>
      <c r="I204" s="59">
        <f>_xlfn.XLOOKUP($A204,'[1]FRV Output'!$F:$F,'[1]FRV Output'!$Z:$Z)</f>
        <v>457.86475000000002</v>
      </c>
      <c r="J204" s="162">
        <v>29.25</v>
      </c>
      <c r="K204" s="164">
        <v>1.2019</v>
      </c>
      <c r="L204" s="59">
        <f>_xlfn.XLOOKUP(A204,'[1]Aging Schedule'!$OA:$OA,'[1]Aging Schedule'!$NW:$NW)</f>
        <v>18.079999999999927</v>
      </c>
      <c r="M204" s="59">
        <f>_xlfn.XLOOKUP(A204,'[1]FRV Output'!$F:$F,'[1]FRV Output'!$BC:$BC)</f>
        <v>21.189590324615214</v>
      </c>
      <c r="N204" s="68"/>
      <c r="O204" s="68"/>
      <c r="R204" s="31"/>
      <c r="T204" s="59"/>
      <c r="U204" s="108"/>
      <c r="V204" s="110"/>
    </row>
    <row r="205" spans="1:22" hidden="1" x14ac:dyDescent="0.25">
      <c r="A205">
        <v>1407800972</v>
      </c>
      <c r="B205" s="36">
        <v>0.68195276458032084</v>
      </c>
      <c r="C205" s="63">
        <f>_xlfn.XLOOKUP($A205,'[1]FRV Output'!$F:$F,'[1]FRV Output'!$M:$M)</f>
        <v>24787</v>
      </c>
      <c r="D205" s="63">
        <f>_xlfn.XLOOKUP($A205,'[1]FRV Output'!$F:$F,'[1]FRV Output'!$N:$N)</f>
        <v>24854.909589041097</v>
      </c>
      <c r="E205" s="31">
        <f>_xlfn.XLOOKUP(A205,'[1]FRV Output'!$F:$F,'[1]FRV Output'!$U:$U)</f>
        <v>28147</v>
      </c>
      <c r="F205" s="31">
        <f>_xlfn.XLOOKUP($A205,'[1]FRV Output'!$F:$F,'[1]FRV Output'!$W:$W)</f>
        <v>90</v>
      </c>
      <c r="G205" s="59">
        <f>_xlfn.XLOOKUP($A205,'[1]FRV Output'!$F:$F,'[1]FRV Output'!$AO:$AO)</f>
        <v>20.200000000000045</v>
      </c>
      <c r="H205" s="63">
        <f t="shared" si="3"/>
        <v>41711</v>
      </c>
      <c r="I205" s="59">
        <f>_xlfn.XLOOKUP($A205,'[1]FRV Output'!$F:$F,'[1]FRV Output'!$Z:$Z)</f>
        <v>463.45555555555558</v>
      </c>
      <c r="J205" s="162">
        <v>29.25</v>
      </c>
      <c r="K205" s="164">
        <v>1.1417999999999999</v>
      </c>
      <c r="L205" s="59">
        <f>_xlfn.XLOOKUP(A205,'[1]Aging Schedule'!$OA:$OA,'[1]Aging Schedule'!$NW:$NW)</f>
        <v>20.200000000000045</v>
      </c>
      <c r="M205" s="59">
        <f>_xlfn.XLOOKUP(A205,'[1]FRV Output'!$F:$F,'[1]FRV Output'!$BC:$BC)</f>
        <v>20.452793988576296</v>
      </c>
      <c r="N205" s="68"/>
      <c r="O205" s="68"/>
      <c r="R205" s="31"/>
      <c r="T205" s="59"/>
      <c r="U205" s="108"/>
      <c r="V205" s="110"/>
    </row>
    <row r="206" spans="1:22" hidden="1" x14ac:dyDescent="0.25">
      <c r="A206">
        <v>1861446270</v>
      </c>
      <c r="B206" s="36">
        <v>0.63921077356717826</v>
      </c>
      <c r="C206" s="63">
        <f>_xlfn.XLOOKUP($A206,'[1]FRV Output'!$F:$F,'[1]FRV Output'!$M:$M)</f>
        <v>24519</v>
      </c>
      <c r="D206" s="63">
        <f>_xlfn.XLOOKUP($A206,'[1]FRV Output'!$F:$F,'[1]FRV Output'!$N:$N)</f>
        <v>24586.175342465755</v>
      </c>
      <c r="E206" s="31">
        <f>_xlfn.XLOOKUP(A206,'[1]FRV Output'!$F:$F,'[1]FRV Output'!$U:$U)</f>
        <v>28403</v>
      </c>
      <c r="F206" s="31">
        <f>_xlfn.XLOOKUP($A206,'[1]FRV Output'!$F:$F,'[1]FRV Output'!$W:$W)</f>
        <v>100</v>
      </c>
      <c r="G206" s="59">
        <f>_xlfn.XLOOKUP($A206,'[1]FRV Output'!$F:$F,'[1]FRV Output'!$AO:$AO)</f>
        <v>7.9400000000000546</v>
      </c>
      <c r="H206" s="63">
        <f t="shared" si="3"/>
        <v>44926.879444449594</v>
      </c>
      <c r="I206" s="59">
        <f>_xlfn.XLOOKUP($A206,'[1]FRV Output'!$F:$F,'[1]FRV Output'!$Z:$Z)</f>
        <v>449.26879444449594</v>
      </c>
      <c r="J206" s="162">
        <v>29.25</v>
      </c>
      <c r="K206" s="164">
        <v>1.2695000000000001</v>
      </c>
      <c r="L206" s="59">
        <f>_xlfn.XLOOKUP(A206,'[1]Aging Schedule'!$OA:$OA,'[1]Aging Schedule'!$NW:$NW)</f>
        <v>7.9400000000000546</v>
      </c>
      <c r="M206" s="59">
        <f>_xlfn.XLOOKUP(A206,'[1]FRV Output'!$F:$F,'[1]FRV Output'!$BC:$BC)</f>
        <v>25.235854239919924</v>
      </c>
      <c r="N206" s="68"/>
      <c r="O206" s="68"/>
      <c r="R206" s="31"/>
      <c r="T206" s="59"/>
      <c r="U206" s="108"/>
      <c r="V206" s="110"/>
    </row>
    <row r="207" spans="1:22" hidden="1" x14ac:dyDescent="0.25">
      <c r="A207">
        <v>1851941389</v>
      </c>
      <c r="B207" s="36">
        <v>0.61639776094830423</v>
      </c>
      <c r="C207" s="63">
        <f>_xlfn.XLOOKUP($A207,'[1]FRV Output'!$F:$F,'[1]FRV Output'!$M:$M)</f>
        <v>25089</v>
      </c>
      <c r="D207" s="63">
        <f>_xlfn.XLOOKUP($A207,'[1]FRV Output'!$F:$F,'[1]FRV Output'!$N:$N)</f>
        <v>25157.736986301374</v>
      </c>
      <c r="E207" s="31">
        <f>_xlfn.XLOOKUP(A207,'[1]FRV Output'!$F:$F,'[1]FRV Output'!$U:$U)</f>
        <v>27360</v>
      </c>
      <c r="F207" s="31">
        <f>_xlfn.XLOOKUP($A207,'[1]FRV Output'!$F:$F,'[1]FRV Output'!$W:$W)</f>
        <v>120</v>
      </c>
      <c r="G207" s="59">
        <f>_xlfn.XLOOKUP($A207,'[1]FRV Output'!$F:$F,'[1]FRV Output'!$AO:$AO)</f>
        <v>35.5</v>
      </c>
      <c r="H207" s="63">
        <f t="shared" si="3"/>
        <v>35582</v>
      </c>
      <c r="I207" s="59">
        <f>_xlfn.XLOOKUP($A207,'[1]FRV Output'!$F:$F,'[1]FRV Output'!$Z:$Z)</f>
        <v>296.51666666666665</v>
      </c>
      <c r="J207" s="162">
        <v>29.25</v>
      </c>
      <c r="K207" s="164">
        <v>1.22</v>
      </c>
      <c r="L207" s="59">
        <f>_xlfn.XLOOKUP(A207,'[1]Aging Schedule'!$OA:$OA,'[1]Aging Schedule'!$NW:$NW)</f>
        <v>53.430000000000064</v>
      </c>
      <c r="M207" s="59">
        <f>_xlfn.XLOOKUP(A207,'[1]FRV Output'!$F:$F,'[1]FRV Output'!$BC:$BC)</f>
        <v>8.6351250846091858</v>
      </c>
      <c r="N207" s="68"/>
      <c r="O207" s="68"/>
      <c r="R207" s="31"/>
      <c r="T207" s="59"/>
      <c r="U207" s="108"/>
      <c r="V207" s="110"/>
    </row>
    <row r="208" spans="1:22" hidden="1" x14ac:dyDescent="0.25">
      <c r="A208">
        <v>1295101673</v>
      </c>
      <c r="B208" s="36">
        <v>0.55888953536696862</v>
      </c>
      <c r="C208" s="63">
        <f>_xlfn.XLOOKUP($A208,'[1]FRV Output'!$F:$F,'[1]FRV Output'!$M:$M)</f>
        <v>24379</v>
      </c>
      <c r="D208" s="63">
        <f>_xlfn.XLOOKUP($A208,'[1]FRV Output'!$F:$F,'[1]FRV Output'!$N:$N)</f>
        <v>24445.791780821921</v>
      </c>
      <c r="E208" s="31">
        <f>_xlfn.XLOOKUP(A208,'[1]FRV Output'!$F:$F,'[1]FRV Output'!$U:$U)</f>
        <v>28604</v>
      </c>
      <c r="F208" s="31">
        <f>_xlfn.XLOOKUP($A208,'[1]FRV Output'!$F:$F,'[1]FRV Output'!$W:$W)</f>
        <v>118</v>
      </c>
      <c r="G208" s="59">
        <f>_xlfn.XLOOKUP($A208,'[1]FRV Output'!$F:$F,'[1]FRV Output'!$AO:$AO)</f>
        <v>35.5</v>
      </c>
      <c r="H208" s="63">
        <f t="shared" si="3"/>
        <v>37766</v>
      </c>
      <c r="I208" s="59">
        <f>_xlfn.XLOOKUP($A208,'[1]FRV Output'!$F:$F,'[1]FRV Output'!$Z:$Z)</f>
        <v>320.05084745762713</v>
      </c>
      <c r="J208" s="162">
        <v>29.25</v>
      </c>
      <c r="K208" s="164">
        <v>1.0693999999999999</v>
      </c>
      <c r="L208" s="59">
        <f>_xlfn.XLOOKUP(A208,'[1]Aging Schedule'!$OA:$OA,'[1]Aging Schedule'!$NW:$NW)</f>
        <v>53</v>
      </c>
      <c r="M208" s="59">
        <f>_xlfn.XLOOKUP(A208,'[1]FRV Output'!$F:$F,'[1]FRV Output'!$BC:$BC)</f>
        <v>8.542559165995165</v>
      </c>
      <c r="N208" s="68"/>
      <c r="O208" s="68"/>
      <c r="R208" s="31"/>
      <c r="T208" s="59"/>
      <c r="U208" s="108"/>
      <c r="V208" s="110"/>
    </row>
    <row r="209" spans="1:22" hidden="1" x14ac:dyDescent="0.25">
      <c r="A209">
        <v>1760415434</v>
      </c>
      <c r="B209" s="36">
        <v>0.53790312218938707</v>
      </c>
      <c r="C209" s="63">
        <f>_xlfn.XLOOKUP($A209,'[1]FRV Output'!$F:$F,'[1]FRV Output'!$M:$M)</f>
        <v>22016</v>
      </c>
      <c r="D209" s="63">
        <f>_xlfn.XLOOKUP($A209,'[1]FRV Output'!$F:$F,'[1]FRV Output'!$N:$N)</f>
        <v>22076.317808219181</v>
      </c>
      <c r="E209" s="31">
        <f>_xlfn.XLOOKUP(A209,'[1]FRV Output'!$F:$F,'[1]FRV Output'!$U:$U)</f>
        <v>28792</v>
      </c>
      <c r="F209" s="31">
        <f>_xlfn.XLOOKUP($A209,'[1]FRV Output'!$F:$F,'[1]FRV Output'!$W:$W)</f>
        <v>80</v>
      </c>
      <c r="G209" s="59">
        <f>_xlfn.XLOOKUP($A209,'[1]FRV Output'!$F:$F,'[1]FRV Output'!$AO:$AO)</f>
        <v>30</v>
      </c>
      <c r="H209" s="63">
        <f t="shared" si="3"/>
        <v>38004</v>
      </c>
      <c r="I209" s="59">
        <f>_xlfn.XLOOKUP($A209,'[1]FRV Output'!$F:$F,'[1]FRV Output'!$Z:$Z)</f>
        <v>475.05</v>
      </c>
      <c r="J209" s="162">
        <v>29.25</v>
      </c>
      <c r="K209" s="164">
        <v>1.0647</v>
      </c>
      <c r="L209" s="59">
        <f>_xlfn.XLOOKUP(A209,'[1]Aging Schedule'!$OA:$OA,'[1]Aging Schedule'!$NW:$NW)</f>
        <v>30</v>
      </c>
      <c r="M209" s="59">
        <f>_xlfn.XLOOKUP(A209,'[1]FRV Output'!$F:$F,'[1]FRV Output'!$BC:$BC)</f>
        <v>14.997045363142623</v>
      </c>
      <c r="N209" s="68"/>
      <c r="O209" s="68"/>
      <c r="R209" s="31"/>
      <c r="T209" s="59"/>
      <c r="U209" s="108"/>
      <c r="V209" s="110"/>
    </row>
    <row r="210" spans="1:22" hidden="1" x14ac:dyDescent="0.25">
      <c r="A210">
        <v>1629494059</v>
      </c>
      <c r="B210" s="36">
        <v>0.58333978477974768</v>
      </c>
      <c r="C210" s="63">
        <f>_xlfn.XLOOKUP($A210,'[1]FRV Output'!$F:$F,'[1]FRV Output'!$M:$M)</f>
        <v>31091</v>
      </c>
      <c r="D210" s="63">
        <f>_xlfn.XLOOKUP($A210,'[1]FRV Output'!$F:$F,'[1]FRV Output'!$N:$N)</f>
        <v>31176.180821917813</v>
      </c>
      <c r="E210" s="31">
        <f>_xlfn.XLOOKUP(A210,'[1]FRV Output'!$F:$F,'[1]FRV Output'!$U:$U)</f>
        <v>28092</v>
      </c>
      <c r="F210" s="31">
        <f>_xlfn.XLOOKUP($A210,'[1]FRV Output'!$F:$F,'[1]FRV Output'!$W:$W)</f>
        <v>120</v>
      </c>
      <c r="G210" s="59">
        <f>_xlfn.XLOOKUP($A210,'[1]FRV Output'!$F:$F,'[1]FRV Output'!$AO:$AO)</f>
        <v>27.289999999999964</v>
      </c>
      <c r="H210" s="63">
        <f t="shared" si="3"/>
        <v>34287</v>
      </c>
      <c r="I210" s="59">
        <f>_xlfn.XLOOKUP($A210,'[1]FRV Output'!$F:$F,'[1]FRV Output'!$Z:$Z)</f>
        <v>285.72500000000002</v>
      </c>
      <c r="J210" s="162">
        <v>29.25</v>
      </c>
      <c r="K210" s="164">
        <v>1.3819999999999999</v>
      </c>
      <c r="L210" s="59">
        <f>_xlfn.XLOOKUP(A210,'[1]Aging Schedule'!$OA:$OA,'[1]Aging Schedule'!$NW:$NW)</f>
        <v>27.289999999999964</v>
      </c>
      <c r="M210" s="59">
        <f>_xlfn.XLOOKUP(A210,'[1]FRV Output'!$F:$F,'[1]FRV Output'!$BC:$BC)</f>
        <v>12.585838513779201</v>
      </c>
      <c r="N210" s="68"/>
      <c r="O210" s="68"/>
      <c r="R210" s="31"/>
      <c r="T210" s="59"/>
      <c r="U210" s="108"/>
      <c r="V210" s="110"/>
    </row>
    <row r="211" spans="1:22" hidden="1" x14ac:dyDescent="0.25">
      <c r="A211">
        <v>1174149934</v>
      </c>
      <c r="B211" s="36">
        <v>0.58091608989812582</v>
      </c>
      <c r="C211" s="63">
        <f>_xlfn.XLOOKUP($A211,'[1]FRV Output'!$F:$F,'[1]FRV Output'!$M:$M)</f>
        <v>0</v>
      </c>
      <c r="D211" s="63">
        <f>_xlfn.XLOOKUP($A211,'[1]FRV Output'!$F:$F,'[1]FRV Output'!$N:$N)</f>
        <v>0</v>
      </c>
      <c r="E211" s="31">
        <f>_xlfn.XLOOKUP(A211,'[1]FRV Output'!$F:$F,'[1]FRV Output'!$U:$U)</f>
        <v>28358</v>
      </c>
      <c r="F211" s="31">
        <f>_xlfn.XLOOKUP($A211,'[1]FRV Output'!$F:$F,'[1]FRV Output'!$W:$W)</f>
        <v>90</v>
      </c>
      <c r="G211" s="59">
        <f>_xlfn.XLOOKUP($A211,'[1]FRV Output'!$F:$F,'[1]FRV Output'!$AO:$AO)</f>
        <v>16.119999999999891</v>
      </c>
      <c r="H211" s="63">
        <f t="shared" si="3"/>
        <v>37765.47369081217</v>
      </c>
      <c r="I211" s="59">
        <f>_xlfn.XLOOKUP($A211,'[1]FRV Output'!$F:$F,'[1]FRV Output'!$Z:$Z)</f>
        <v>419.61637434235746</v>
      </c>
      <c r="J211" s="162">
        <v>29.25</v>
      </c>
      <c r="K211" s="164">
        <v>1.2703</v>
      </c>
      <c r="L211" s="59">
        <f>_xlfn.XLOOKUP(A211,'[1]Aging Schedule'!$OA:$OA,'[1]Aging Schedule'!$NW:$NW)</f>
        <v>16.119999999999891</v>
      </c>
      <c r="M211" s="59">
        <f>_xlfn.XLOOKUP(A211,'[1]FRV Output'!$F:$F,'[1]FRV Output'!$BC:$BC)</f>
        <v>19.877848904130396</v>
      </c>
      <c r="N211" s="68"/>
      <c r="O211" s="68"/>
      <c r="R211" s="31"/>
      <c r="T211" s="59"/>
      <c r="U211" s="108"/>
      <c r="V211" s="110"/>
    </row>
    <row r="212" spans="1:22" hidden="1" x14ac:dyDescent="0.25">
      <c r="A212">
        <v>1467421024</v>
      </c>
      <c r="B212" s="36">
        <v>0.57745561166313741</v>
      </c>
      <c r="C212" s="63">
        <f>_xlfn.XLOOKUP($A212,'[1]FRV Output'!$F:$F,'[1]FRV Output'!$M:$M)</f>
        <v>27895</v>
      </c>
      <c r="D212" s="63">
        <f>_xlfn.XLOOKUP($A212,'[1]FRV Output'!$F:$F,'[1]FRV Output'!$N:$N)</f>
        <v>27971.424657534248</v>
      </c>
      <c r="E212" s="31">
        <f>_xlfn.XLOOKUP(A212,'[1]FRV Output'!$F:$F,'[1]FRV Output'!$U:$U)</f>
        <v>27615</v>
      </c>
      <c r="F212" s="31">
        <f>_xlfn.XLOOKUP($A212,'[1]FRV Output'!$F:$F,'[1]FRV Output'!$W:$W)</f>
        <v>90</v>
      </c>
      <c r="G212" s="59">
        <f>_xlfn.XLOOKUP($A212,'[1]FRV Output'!$F:$F,'[1]FRV Output'!$AO:$AO)</f>
        <v>17.8900000000001</v>
      </c>
      <c r="H212" s="63">
        <f t="shared" si="3"/>
        <v>33560</v>
      </c>
      <c r="I212" s="59">
        <f>_xlfn.XLOOKUP($A212,'[1]FRV Output'!$F:$F,'[1]FRV Output'!$Z:$Z)</f>
        <v>372.88888888888891</v>
      </c>
      <c r="J212" s="162">
        <v>29.25</v>
      </c>
      <c r="K212" s="164">
        <v>1.3714</v>
      </c>
      <c r="L212" s="59">
        <f>_xlfn.XLOOKUP(A212,'[1]Aging Schedule'!$OA:$OA,'[1]Aging Schedule'!$NW:$NW)</f>
        <v>17.8900000000001</v>
      </c>
      <c r="M212" s="59">
        <f>_xlfn.XLOOKUP(A212,'[1]FRV Output'!$F:$F,'[1]FRV Output'!$BC:$BC)</f>
        <v>18.740137562610744</v>
      </c>
      <c r="N212" s="68"/>
      <c r="O212" s="68"/>
      <c r="R212" s="31"/>
      <c r="T212" s="59"/>
      <c r="U212" s="108"/>
      <c r="V212" s="110"/>
    </row>
    <row r="213" spans="1:22" hidden="1" x14ac:dyDescent="0.25">
      <c r="A213">
        <v>1043865538</v>
      </c>
      <c r="B213" s="36">
        <v>0.57352307028891769</v>
      </c>
      <c r="C213" s="63">
        <f>_xlfn.XLOOKUP($A213,'[1]FRV Output'!$F:$F,'[1]FRV Output'!$M:$M)</f>
        <v>20353</v>
      </c>
      <c r="D213" s="63">
        <f>_xlfn.XLOOKUP($A213,'[1]FRV Output'!$F:$F,'[1]FRV Output'!$N:$N)</f>
        <v>20408.76164383562</v>
      </c>
      <c r="E213" s="31">
        <f>_xlfn.XLOOKUP(A213,'[1]FRV Output'!$F:$F,'[1]FRV Output'!$U:$U)</f>
        <v>27549</v>
      </c>
      <c r="F213" s="31">
        <f>_xlfn.XLOOKUP($A213,'[1]FRV Output'!$F:$F,'[1]FRV Output'!$W:$W)</f>
        <v>92</v>
      </c>
      <c r="G213" s="59">
        <f>_xlfn.XLOOKUP($A213,'[1]FRV Output'!$F:$F,'[1]FRV Output'!$AO:$AO)</f>
        <v>29.220000000000027</v>
      </c>
      <c r="H213" s="63">
        <f t="shared" si="3"/>
        <v>31113.959999999995</v>
      </c>
      <c r="I213" s="59">
        <f>_xlfn.XLOOKUP($A213,'[1]FRV Output'!$F:$F,'[1]FRV Output'!$Z:$Z)</f>
        <v>338.19521739130431</v>
      </c>
      <c r="J213" s="162">
        <v>29.25</v>
      </c>
      <c r="K213" s="164">
        <v>1.1164000000000001</v>
      </c>
      <c r="L213" s="59">
        <f>_xlfn.XLOOKUP(A213,'[1]Aging Schedule'!$OA:$OA,'[1]Aging Schedule'!$NW:$NW)</f>
        <v>29.220000000000027</v>
      </c>
      <c r="M213" s="59">
        <f>_xlfn.XLOOKUP(A213,'[1]FRV Output'!$F:$F,'[1]FRV Output'!$BC:$BC)</f>
        <v>11.861557162288465</v>
      </c>
      <c r="N213" s="68"/>
      <c r="O213" s="68"/>
      <c r="R213" s="31"/>
      <c r="T213" s="59"/>
      <c r="U213" s="108"/>
      <c r="V213" s="110"/>
    </row>
    <row r="214" spans="1:22" hidden="1" x14ac:dyDescent="0.25">
      <c r="A214">
        <v>1215931977</v>
      </c>
      <c r="B214" s="36">
        <v>0.66645932683668541</v>
      </c>
      <c r="C214" s="63">
        <f>_xlfn.XLOOKUP($A214,'[1]FRV Output'!$F:$F,'[1]FRV Output'!$M:$M)</f>
        <v>24633</v>
      </c>
      <c r="D214" s="63">
        <f>_xlfn.XLOOKUP($A214,'[1]FRV Output'!$F:$F,'[1]FRV Output'!$N:$N)</f>
        <v>24700.487671232881</v>
      </c>
      <c r="E214" s="31">
        <f>_xlfn.XLOOKUP(A214,'[1]FRV Output'!$F:$F,'[1]FRV Output'!$U:$U)</f>
        <v>28002</v>
      </c>
      <c r="F214" s="31">
        <f>_xlfn.XLOOKUP($A214,'[1]FRV Output'!$F:$F,'[1]FRV Output'!$W:$W)</f>
        <v>76</v>
      </c>
      <c r="G214" s="59">
        <f>_xlfn.XLOOKUP($A214,'[1]FRV Output'!$F:$F,'[1]FRV Output'!$AO:$AO)</f>
        <v>1</v>
      </c>
      <c r="H214" s="63">
        <f t="shared" si="3"/>
        <v>42196</v>
      </c>
      <c r="I214" s="59">
        <f>_xlfn.XLOOKUP($A214,'[1]FRV Output'!$F:$F,'[1]FRV Output'!$Z:$Z)</f>
        <v>555.21052631578948</v>
      </c>
      <c r="J214" s="162">
        <v>29.25</v>
      </c>
      <c r="K214" s="164">
        <v>1.1361000000000001</v>
      </c>
      <c r="L214" s="59">
        <f>_xlfn.XLOOKUP(A214,'[1]Aging Schedule'!$OA:$OA,'[1]Aging Schedule'!$NW:$NW)</f>
        <v>1</v>
      </c>
      <c r="M214" s="59">
        <f>_xlfn.XLOOKUP(A214,'[1]FRV Output'!$F:$F,'[1]FRV Output'!$BC:$BC)</f>
        <v>33.575441568387269</v>
      </c>
      <c r="N214" s="68"/>
      <c r="O214" s="68"/>
      <c r="R214" s="31"/>
      <c r="T214" s="59"/>
      <c r="U214" s="108"/>
      <c r="V214" s="110"/>
    </row>
    <row r="215" spans="1:22" hidden="1" x14ac:dyDescent="0.25">
      <c r="A215">
        <v>1508864323</v>
      </c>
      <c r="B215" s="36">
        <v>0.68205690993180224</v>
      </c>
      <c r="C215" s="63">
        <f>_xlfn.XLOOKUP($A215,'[1]FRV Output'!$F:$F,'[1]FRV Output'!$M:$M)</f>
        <v>37690</v>
      </c>
      <c r="D215" s="63">
        <f>_xlfn.XLOOKUP($A215,'[1]FRV Output'!$F:$F,'[1]FRV Output'!$N:$N)</f>
        <v>37793.260273972606</v>
      </c>
      <c r="E215" s="31">
        <f>_xlfn.XLOOKUP(A215,'[1]FRV Output'!$F:$F,'[1]FRV Output'!$U:$U)</f>
        <v>28601</v>
      </c>
      <c r="F215" s="31">
        <f>_xlfn.XLOOKUP($A215,'[1]FRV Output'!$F:$F,'[1]FRV Output'!$W:$W)</f>
        <v>120</v>
      </c>
      <c r="G215" s="59">
        <f>_xlfn.XLOOKUP($A215,'[1]FRV Output'!$F:$F,'[1]FRV Output'!$AO:$AO)</f>
        <v>10.650000000000091</v>
      </c>
      <c r="H215" s="63">
        <f t="shared" si="3"/>
        <v>91244</v>
      </c>
      <c r="I215" s="59">
        <f>_xlfn.XLOOKUP($A215,'[1]FRV Output'!$F:$F,'[1]FRV Output'!$Z:$Z)</f>
        <v>760.36666666666667</v>
      </c>
      <c r="J215" s="162">
        <v>29.25</v>
      </c>
      <c r="K215" s="164">
        <v>1.1768000000000001</v>
      </c>
      <c r="L215" s="59">
        <f>_xlfn.XLOOKUP(A215,'[1]Aging Schedule'!$OA:$OA,'[1]Aging Schedule'!$NW:$NW)</f>
        <v>10.650000000000091</v>
      </c>
      <c r="M215" s="59">
        <f>_xlfn.XLOOKUP(A215,'[1]FRV Output'!$F:$F,'[1]FRV Output'!$BC:$BC)</f>
        <v>36.560503463783427</v>
      </c>
      <c r="N215" s="68"/>
      <c r="O215" s="68"/>
      <c r="R215" s="31"/>
      <c r="T215" s="59"/>
      <c r="U215" s="108"/>
      <c r="V215" s="110"/>
    </row>
    <row r="216" spans="1:22" hidden="1" x14ac:dyDescent="0.25">
      <c r="A216">
        <v>1427052067</v>
      </c>
      <c r="B216" s="36">
        <v>0.73792300147130951</v>
      </c>
      <c r="C216" s="63">
        <f>_xlfn.XLOOKUP($A216,'[1]FRV Output'!$F:$F,'[1]FRV Output'!$M:$M)</f>
        <v>30906</v>
      </c>
      <c r="D216" s="63">
        <f>_xlfn.XLOOKUP($A216,'[1]FRV Output'!$F:$F,'[1]FRV Output'!$N:$N)</f>
        <v>30990.673972602744</v>
      </c>
      <c r="E216" s="31">
        <f>_xlfn.XLOOKUP(A216,'[1]FRV Output'!$F:$F,'[1]FRV Output'!$U:$U)</f>
        <v>28601</v>
      </c>
      <c r="F216" s="31">
        <f>_xlfn.XLOOKUP($A216,'[1]FRV Output'!$F:$F,'[1]FRV Output'!$W:$W)</f>
        <v>104</v>
      </c>
      <c r="G216" s="59">
        <f>_xlfn.XLOOKUP($A216,'[1]FRV Output'!$F:$F,'[1]FRV Output'!$AO:$AO)</f>
        <v>2.6199999999998909</v>
      </c>
      <c r="H216" s="63">
        <f t="shared" si="3"/>
        <v>48981.286775235152</v>
      </c>
      <c r="I216" s="59">
        <f>_xlfn.XLOOKUP($A216,'[1]FRV Output'!$F:$F,'[1]FRV Output'!$Z:$Z)</f>
        <v>470.97391130033799</v>
      </c>
      <c r="J216" s="162">
        <v>29.25</v>
      </c>
      <c r="K216" s="164">
        <v>1.2427999999999999</v>
      </c>
      <c r="L216" s="59">
        <f>_xlfn.XLOOKUP(A216,'[1]Aging Schedule'!$OA:$OA,'[1]Aging Schedule'!$NW:$NW)</f>
        <v>2.6199999999998909</v>
      </c>
      <c r="M216" s="59">
        <f>_xlfn.XLOOKUP(A216,'[1]FRV Output'!$F:$F,'[1]FRV Output'!$BC:$BC)</f>
        <v>29.381223293970113</v>
      </c>
      <c r="N216" s="68"/>
      <c r="O216" s="68"/>
      <c r="R216" s="31"/>
      <c r="T216" s="59"/>
      <c r="U216" s="108"/>
      <c r="V216" s="110"/>
    </row>
    <row r="217" spans="1:22" hidden="1" x14ac:dyDescent="0.25">
      <c r="A217">
        <v>1912902230</v>
      </c>
      <c r="B217" s="36">
        <v>0.60921043074017578</v>
      </c>
      <c r="C217" s="63">
        <f>_xlfn.XLOOKUP($A217,'[1]FRV Output'!$F:$F,'[1]FRV Output'!$M:$M)</f>
        <v>31959</v>
      </c>
      <c r="D217" s="63">
        <f>_xlfn.XLOOKUP($A217,'[1]FRV Output'!$F:$F,'[1]FRV Output'!$N:$N)</f>
        <v>32046.558904109592</v>
      </c>
      <c r="E217" s="31">
        <f>_xlfn.XLOOKUP(A217,'[1]FRV Output'!$F:$F,'[1]FRV Output'!$U:$U)</f>
        <v>27105</v>
      </c>
      <c r="F217" s="31">
        <f>_xlfn.XLOOKUP($A217,'[1]FRV Output'!$F:$F,'[1]FRV Output'!$W:$W)</f>
        <v>117</v>
      </c>
      <c r="G217" s="59">
        <f>_xlfn.XLOOKUP($A217,'[1]FRV Output'!$F:$F,'[1]FRV Output'!$AO:$AO)</f>
        <v>7.9300000000000637</v>
      </c>
      <c r="H217" s="63">
        <f t="shared" si="3"/>
        <v>68159</v>
      </c>
      <c r="I217" s="59">
        <f>_xlfn.XLOOKUP($A217,'[1]FRV Output'!$F:$F,'[1]FRV Output'!$Z:$Z)</f>
        <v>582.55555555555554</v>
      </c>
      <c r="J217" s="162">
        <v>29.25</v>
      </c>
      <c r="K217" s="164">
        <v>1.2302</v>
      </c>
      <c r="L217" s="59">
        <f>_xlfn.XLOOKUP(A217,'[1]Aging Schedule'!$OA:$OA,'[1]Aging Schedule'!$NW:$NW)</f>
        <v>7.9300000000000637</v>
      </c>
      <c r="M217" s="59">
        <f>_xlfn.XLOOKUP(A217,'[1]FRV Output'!$F:$F,'[1]FRV Output'!$BC:$BC)</f>
        <v>32.962544333406456</v>
      </c>
      <c r="N217" s="68"/>
      <c r="O217" s="68"/>
      <c r="R217" s="31"/>
      <c r="T217" s="59"/>
      <c r="U217" s="108"/>
      <c r="V217" s="110"/>
    </row>
    <row r="218" spans="1:22" hidden="1" x14ac:dyDescent="0.25">
      <c r="A218">
        <v>1447254149</v>
      </c>
      <c r="B218" s="36">
        <v>0.67656979761286973</v>
      </c>
      <c r="C218" s="63">
        <f>_xlfn.XLOOKUP($A218,'[1]FRV Output'!$F:$F,'[1]FRV Output'!$M:$M)</f>
        <v>33907</v>
      </c>
      <c r="D218" s="63">
        <f>_xlfn.XLOOKUP($A218,'[1]FRV Output'!$F:$F,'[1]FRV Output'!$N:$N)</f>
        <v>33999.89589041096</v>
      </c>
      <c r="E218" s="31">
        <f>_xlfn.XLOOKUP(A218,'[1]FRV Output'!$F:$F,'[1]FRV Output'!$U:$U)</f>
        <v>28145</v>
      </c>
      <c r="F218" s="31">
        <f>_xlfn.XLOOKUP($A218,'[1]FRV Output'!$F:$F,'[1]FRV Output'!$W:$W)</f>
        <v>115</v>
      </c>
      <c r="G218" s="59">
        <f>_xlfn.XLOOKUP($A218,'[1]FRV Output'!$F:$F,'[1]FRV Output'!$AO:$AO)</f>
        <v>1</v>
      </c>
      <c r="H218" s="63">
        <f t="shared" si="3"/>
        <v>58613.329361741897</v>
      </c>
      <c r="I218" s="59">
        <f>_xlfn.XLOOKUP($A218,'[1]FRV Output'!$F:$F,'[1]FRV Output'!$Z:$Z)</f>
        <v>509.68112488471212</v>
      </c>
      <c r="J218" s="162">
        <v>0</v>
      </c>
      <c r="K218" s="164">
        <v>1.3353999999999999</v>
      </c>
      <c r="L218" s="59">
        <f>_xlfn.XLOOKUP(A218,'[1]Aging Schedule'!$OA:$OA,'[1]Aging Schedule'!$NW:$NW)</f>
        <v>1</v>
      </c>
      <c r="M218" s="59">
        <f>_xlfn.XLOOKUP(A218,'[1]FRV Output'!$F:$F,'[1]FRV Output'!$BC:$BC)</f>
        <v>33.156749958562948</v>
      </c>
      <c r="N218" s="68"/>
      <c r="O218" s="68"/>
      <c r="R218" s="31"/>
      <c r="T218" s="59"/>
      <c r="U218" s="108"/>
      <c r="V218" s="110"/>
    </row>
    <row r="219" spans="1:22" hidden="1" x14ac:dyDescent="0.25">
      <c r="A219">
        <v>1497058416</v>
      </c>
      <c r="B219" s="36">
        <v>0.63149889380530966</v>
      </c>
      <c r="C219" s="63">
        <f>_xlfn.XLOOKUP($A219,'[1]FRV Output'!$F:$F,'[1]FRV Output'!$M:$M)</f>
        <v>32002</v>
      </c>
      <c r="D219" s="63">
        <f>_xlfn.XLOOKUP($A219,'[1]FRV Output'!$F:$F,'[1]FRV Output'!$N:$N)</f>
        <v>32089.676712328772</v>
      </c>
      <c r="E219" s="31">
        <f>_xlfn.XLOOKUP(A219,'[1]FRV Output'!$F:$F,'[1]FRV Output'!$U:$U)</f>
        <v>28754</v>
      </c>
      <c r="F219" s="31">
        <f>_xlfn.XLOOKUP($A219,'[1]FRV Output'!$F:$F,'[1]FRV Output'!$W:$W)</f>
        <v>100</v>
      </c>
      <c r="G219" s="59">
        <f>_xlfn.XLOOKUP($A219,'[1]FRV Output'!$F:$F,'[1]FRV Output'!$AO:$AO)</f>
        <v>20.269999999999982</v>
      </c>
      <c r="H219" s="63">
        <f t="shared" si="3"/>
        <v>30000</v>
      </c>
      <c r="I219" s="59">
        <f>_xlfn.XLOOKUP($A219,'[1]FRV Output'!$F:$F,'[1]FRV Output'!$Z:$Z)</f>
        <v>300</v>
      </c>
      <c r="J219" s="162">
        <v>29.25</v>
      </c>
      <c r="K219" s="164">
        <v>1.4879</v>
      </c>
      <c r="L219" s="59">
        <f>_xlfn.XLOOKUP(A219,'[1]Aging Schedule'!$OA:$OA,'[1]Aging Schedule'!$NW:$NW)</f>
        <v>20.269999999999982</v>
      </c>
      <c r="M219" s="59">
        <f>_xlfn.XLOOKUP(A219,'[1]FRV Output'!$F:$F,'[1]FRV Output'!$BC:$BC)</f>
        <v>15.123185864164745</v>
      </c>
      <c r="N219" s="68"/>
      <c r="O219" s="68"/>
      <c r="R219" s="31"/>
      <c r="T219" s="59"/>
      <c r="U219" s="108"/>
      <c r="V219" s="110"/>
    </row>
    <row r="220" spans="1:22" hidden="1" x14ac:dyDescent="0.25">
      <c r="A220">
        <v>1407325103</v>
      </c>
      <c r="B220" s="36">
        <v>0.67236024844720499</v>
      </c>
      <c r="C220" s="63">
        <f>_xlfn.XLOOKUP($A220,'[1]FRV Output'!$F:$F,'[1]FRV Output'!$M:$M)</f>
        <v>20367</v>
      </c>
      <c r="D220" s="63">
        <f>_xlfn.XLOOKUP($A220,'[1]FRV Output'!$F:$F,'[1]FRV Output'!$N:$N)</f>
        <v>20422.800000000003</v>
      </c>
      <c r="E220" s="31">
        <f>_xlfn.XLOOKUP(A220,'[1]FRV Output'!$F:$F,'[1]FRV Output'!$U:$U)</f>
        <v>28159</v>
      </c>
      <c r="F220" s="31">
        <f>_xlfn.XLOOKUP($A220,'[1]FRV Output'!$F:$F,'[1]FRV Output'!$W:$W)</f>
        <v>70</v>
      </c>
      <c r="G220" s="59">
        <f>_xlfn.XLOOKUP($A220,'[1]FRV Output'!$F:$F,'[1]FRV Output'!$AO:$AO)</f>
        <v>34.75</v>
      </c>
      <c r="H220" s="63">
        <f t="shared" si="3"/>
        <v>36301</v>
      </c>
      <c r="I220" s="59">
        <f>_xlfn.XLOOKUP($A220,'[1]FRV Output'!$F:$F,'[1]FRV Output'!$Z:$Z)</f>
        <v>518.58571428571429</v>
      </c>
      <c r="J220" s="162">
        <v>29.25</v>
      </c>
      <c r="K220" s="164">
        <v>1.3009999999999999</v>
      </c>
      <c r="L220" s="59">
        <f>_xlfn.XLOOKUP(A220,'[1]Aging Schedule'!$OA:$OA,'[1]Aging Schedule'!$NW:$NW)</f>
        <v>34.75</v>
      </c>
      <c r="M220" s="59">
        <f>_xlfn.XLOOKUP(A220,'[1]FRV Output'!$F:$F,'[1]FRV Output'!$BC:$BC)</f>
        <v>14.024425263451528</v>
      </c>
      <c r="N220" s="68"/>
      <c r="O220" s="68"/>
      <c r="R220" s="31"/>
      <c r="T220" s="59"/>
      <c r="U220" s="108"/>
      <c r="V220" s="110"/>
    </row>
    <row r="221" spans="1:22" hidden="1" x14ac:dyDescent="0.25">
      <c r="A221">
        <v>1164725198</v>
      </c>
      <c r="B221" s="36">
        <v>0.6505140421263792</v>
      </c>
      <c r="C221" s="63">
        <f>_xlfn.XLOOKUP($A221,'[1]FRV Output'!$F:$F,'[1]FRV Output'!$M:$M)</f>
        <v>33090</v>
      </c>
      <c r="D221" s="63">
        <f>_xlfn.XLOOKUP($A221,'[1]FRV Output'!$F:$F,'[1]FRV Output'!$N:$N)</f>
        <v>33180.65753424658</v>
      </c>
      <c r="E221" s="31">
        <f>_xlfn.XLOOKUP(A221,'[1]FRV Output'!$F:$F,'[1]FRV Output'!$U:$U)</f>
        <v>28801</v>
      </c>
      <c r="F221" s="31">
        <f>_xlfn.XLOOKUP($A221,'[1]FRV Output'!$F:$F,'[1]FRV Output'!$W:$W)</f>
        <v>120</v>
      </c>
      <c r="G221" s="59">
        <f>_xlfn.XLOOKUP($A221,'[1]FRV Output'!$F:$F,'[1]FRV Output'!$AO:$AO)</f>
        <v>22.829999999999927</v>
      </c>
      <c r="H221" s="63">
        <f t="shared" si="3"/>
        <v>32560.999999999996</v>
      </c>
      <c r="I221" s="59">
        <f>_xlfn.XLOOKUP($A221,'[1]FRV Output'!$F:$F,'[1]FRV Output'!$Z:$Z)</f>
        <v>271.34166666666664</v>
      </c>
      <c r="J221" s="162">
        <v>29.25</v>
      </c>
      <c r="K221" s="164">
        <v>1.4904999999999999</v>
      </c>
      <c r="L221" s="59">
        <f>_xlfn.XLOOKUP(A221,'[1]Aging Schedule'!$OA:$OA,'[1]Aging Schedule'!$NW:$NW)</f>
        <v>22.829999999999927</v>
      </c>
      <c r="M221" s="59">
        <f>_xlfn.XLOOKUP(A221,'[1]FRV Output'!$F:$F,'[1]FRV Output'!$BC:$BC)</f>
        <v>14.970719980660744</v>
      </c>
      <c r="N221" s="68"/>
      <c r="O221" s="68"/>
      <c r="R221" s="31"/>
      <c r="T221" s="59"/>
      <c r="U221" s="108"/>
      <c r="V221" s="110"/>
    </row>
    <row r="222" spans="1:22" hidden="1" x14ac:dyDescent="0.25">
      <c r="A222">
        <v>1528544145</v>
      </c>
      <c r="B222" s="36">
        <v>0.59952333990795525</v>
      </c>
      <c r="C222" s="63">
        <f>_xlfn.XLOOKUP($A222,'[1]FRV Output'!$F:$F,'[1]FRV Output'!$M:$M)</f>
        <v>30851</v>
      </c>
      <c r="D222" s="63">
        <f>_xlfn.XLOOKUP($A222,'[1]FRV Output'!$F:$F,'[1]FRV Output'!$N:$N)</f>
        <v>30935.523287671236</v>
      </c>
      <c r="E222" s="31">
        <f>_xlfn.XLOOKUP(A222,'[1]FRV Output'!$F:$F,'[1]FRV Output'!$U:$U)</f>
        <v>28374</v>
      </c>
      <c r="F222" s="31">
        <f>_xlfn.XLOOKUP($A222,'[1]FRV Output'!$F:$F,'[1]FRV Output'!$W:$W)</f>
        <v>120</v>
      </c>
      <c r="G222" s="59">
        <f>_xlfn.XLOOKUP($A222,'[1]FRV Output'!$F:$F,'[1]FRV Output'!$AO:$AO)</f>
        <v>15.579999999999927</v>
      </c>
      <c r="H222" s="63">
        <f t="shared" si="3"/>
        <v>48000</v>
      </c>
      <c r="I222" s="59">
        <f>_xlfn.XLOOKUP($A222,'[1]FRV Output'!$F:$F,'[1]FRV Output'!$Z:$Z)</f>
        <v>400</v>
      </c>
      <c r="J222" s="162">
        <v>29.25</v>
      </c>
      <c r="K222" s="164">
        <v>1.3898999999999999</v>
      </c>
      <c r="L222" s="59">
        <f>_xlfn.XLOOKUP(A222,'[1]Aging Schedule'!$OA:$OA,'[1]Aging Schedule'!$NW:$NW)</f>
        <v>15.579999999999927</v>
      </c>
      <c r="M222" s="59">
        <f>_xlfn.XLOOKUP(A222,'[1]FRV Output'!$F:$F,'[1]FRV Output'!$BC:$BC)</f>
        <v>17.416141154552761</v>
      </c>
      <c r="N222" s="68"/>
      <c r="O222" s="68"/>
      <c r="R222" s="31"/>
      <c r="T222" s="59"/>
      <c r="U222" s="108"/>
      <c r="V222" s="110"/>
    </row>
    <row r="223" spans="1:22" hidden="1" x14ac:dyDescent="0.25">
      <c r="A223">
        <v>1922747088</v>
      </c>
      <c r="B223" s="36">
        <v>0.70797922568460814</v>
      </c>
      <c r="C223" s="63">
        <f>_xlfn.XLOOKUP($A223,'[1]FRV Output'!$F:$F,'[1]FRV Output'!$M:$M)</f>
        <v>26543</v>
      </c>
      <c r="D223" s="63">
        <f>_xlfn.XLOOKUP($A223,'[1]FRV Output'!$F:$F,'[1]FRV Output'!$N:$N)</f>
        <v>26615.72054794521</v>
      </c>
      <c r="E223" s="31">
        <f>_xlfn.XLOOKUP(A223,'[1]FRV Output'!$F:$F,'[1]FRV Output'!$U:$U)</f>
        <v>28677</v>
      </c>
      <c r="F223" s="31">
        <f>_xlfn.XLOOKUP($A223,'[1]FRV Output'!$F:$F,'[1]FRV Output'!$W:$W)</f>
        <v>94</v>
      </c>
      <c r="G223" s="59">
        <f>_xlfn.XLOOKUP($A223,'[1]FRV Output'!$F:$F,'[1]FRV Output'!$AO:$AO)</f>
        <v>23.400000000000091</v>
      </c>
      <c r="H223" s="63">
        <f t="shared" si="3"/>
        <v>32776.426097271651</v>
      </c>
      <c r="I223" s="59">
        <f>_xlfn.XLOOKUP($A223,'[1]FRV Output'!$F:$F,'[1]FRV Output'!$Z:$Z)</f>
        <v>348.68538401352822</v>
      </c>
      <c r="J223" s="162">
        <v>29.25</v>
      </c>
      <c r="K223" s="164">
        <v>1.4744999999999999</v>
      </c>
      <c r="L223" s="59">
        <f>_xlfn.XLOOKUP(A223,'[1]Aging Schedule'!$OA:$OA,'[1]Aging Schedule'!$NW:$NW)</f>
        <v>23.400000000000091</v>
      </c>
      <c r="M223" s="59">
        <f>_xlfn.XLOOKUP(A223,'[1]FRV Output'!$F:$F,'[1]FRV Output'!$BC:$BC)</f>
        <v>14.740141601531072</v>
      </c>
      <c r="N223" s="68"/>
      <c r="O223" s="68"/>
      <c r="R223" s="31"/>
      <c r="T223" s="59"/>
      <c r="U223" s="108"/>
      <c r="V223" s="110"/>
    </row>
    <row r="224" spans="1:22" hidden="1" x14ac:dyDescent="0.25">
      <c r="A224">
        <v>1023671765</v>
      </c>
      <c r="B224" s="36">
        <v>0.64811149595909623</v>
      </c>
      <c r="C224" s="63">
        <f>_xlfn.XLOOKUP($A224,'[1]FRV Output'!$F:$F,'[1]FRV Output'!$M:$M)</f>
        <v>42598</v>
      </c>
      <c r="D224" s="63">
        <f>_xlfn.XLOOKUP($A224,'[1]FRV Output'!$F:$F,'[1]FRV Output'!$N:$N)</f>
        <v>42714.706849315073</v>
      </c>
      <c r="E224" s="31">
        <f>_xlfn.XLOOKUP(A224,'[1]FRV Output'!$F:$F,'[1]FRV Output'!$U:$U)</f>
        <v>27203</v>
      </c>
      <c r="F224" s="31">
        <f>_xlfn.XLOOKUP($A224,'[1]FRV Output'!$F:$F,'[1]FRV Output'!$W:$W)</f>
        <v>238</v>
      </c>
      <c r="G224" s="59">
        <f>_xlfn.XLOOKUP($A224,'[1]FRV Output'!$F:$F,'[1]FRV Output'!$AO:$AO)</f>
        <v>35.5</v>
      </c>
      <c r="H224" s="63">
        <f t="shared" si="3"/>
        <v>66437</v>
      </c>
      <c r="I224" s="59">
        <f>_xlfn.XLOOKUP($A224,'[1]FRV Output'!$F:$F,'[1]FRV Output'!$Z:$Z)</f>
        <v>279.14705882352939</v>
      </c>
      <c r="J224" s="162">
        <v>9.4499999999999993</v>
      </c>
      <c r="K224" s="164">
        <v>1.3808</v>
      </c>
      <c r="L224" s="59">
        <f>_xlfn.XLOOKUP(A224,'[1]Aging Schedule'!$OA:$OA,'[1]Aging Schedule'!$NW:$NW)</f>
        <v>44.980000000000018</v>
      </c>
      <c r="M224" s="59">
        <f>_xlfn.XLOOKUP(A224,'[1]FRV Output'!$F:$F,'[1]FRV Output'!$BC:$BC)</f>
        <v>8.6351250846091858</v>
      </c>
      <c r="N224" s="68"/>
      <c r="O224" s="68"/>
      <c r="R224" s="31"/>
      <c r="T224" s="59"/>
      <c r="U224" s="108"/>
      <c r="V224" s="110"/>
    </row>
    <row r="225" spans="1:22" hidden="1" x14ac:dyDescent="0.25">
      <c r="A225">
        <v>1245737840</v>
      </c>
      <c r="B225" s="36">
        <v>0.62007675217127844</v>
      </c>
      <c r="C225" s="63">
        <f>_xlfn.XLOOKUP($A225,'[1]FRV Output'!$F:$F,'[1]FRV Output'!$M:$M)</f>
        <v>29732</v>
      </c>
      <c r="D225" s="63">
        <f>_xlfn.XLOOKUP($A225,'[1]FRV Output'!$F:$F,'[1]FRV Output'!$N:$N)</f>
        <v>29813.45753424658</v>
      </c>
      <c r="E225" s="31">
        <f>_xlfn.XLOOKUP(A225,'[1]FRV Output'!$F:$F,'[1]FRV Output'!$U:$U)</f>
        <v>28401</v>
      </c>
      <c r="F225" s="31">
        <f>_xlfn.XLOOKUP($A225,'[1]FRV Output'!$F:$F,'[1]FRV Output'!$W:$W)</f>
        <v>120</v>
      </c>
      <c r="G225" s="59">
        <f>_xlfn.XLOOKUP($A225,'[1]FRV Output'!$F:$F,'[1]FRV Output'!$AO:$AO)</f>
        <v>1.8499999999999091</v>
      </c>
      <c r="H225" s="63">
        <f t="shared" si="3"/>
        <v>51465</v>
      </c>
      <c r="I225" s="59">
        <f>_xlfn.XLOOKUP($A225,'[1]FRV Output'!$F:$F,'[1]FRV Output'!$Z:$Z)</f>
        <v>428.875</v>
      </c>
      <c r="J225" s="162">
        <v>29.25</v>
      </c>
      <c r="K225" s="164">
        <v>1.2363</v>
      </c>
      <c r="L225" s="59">
        <f>_xlfn.XLOOKUP(A225,'[1]Aging Schedule'!$OA:$OA,'[1]Aging Schedule'!$NW:$NW)</f>
        <v>1.8499999999999091</v>
      </c>
      <c r="M225" s="59">
        <f>_xlfn.XLOOKUP(A225,'[1]FRV Output'!$F:$F,'[1]FRV Output'!$BC:$BC)</f>
        <v>26.979643396451699</v>
      </c>
      <c r="N225" s="68"/>
      <c r="O225" s="68"/>
      <c r="R225" s="31"/>
      <c r="T225" s="59"/>
      <c r="U225" s="108"/>
      <c r="V225" s="110"/>
    </row>
    <row r="226" spans="1:22" hidden="1" x14ac:dyDescent="0.25">
      <c r="A226">
        <v>1720033475</v>
      </c>
      <c r="B226" s="36">
        <v>0.68409621108519025</v>
      </c>
      <c r="C226" s="63">
        <f>_xlfn.XLOOKUP($A226,'[1]FRV Output'!$F:$F,'[1]FRV Output'!$M:$M)</f>
        <v>30493</v>
      </c>
      <c r="D226" s="63">
        <f>_xlfn.XLOOKUP($A226,'[1]FRV Output'!$F:$F,'[1]FRV Output'!$N:$N)</f>
        <v>30576.542465753428</v>
      </c>
      <c r="E226" s="31">
        <f>_xlfn.XLOOKUP(A226,'[1]FRV Output'!$F:$F,'[1]FRV Output'!$U:$U)</f>
        <v>28329</v>
      </c>
      <c r="F226" s="31">
        <f>_xlfn.XLOOKUP($A226,'[1]FRV Output'!$F:$F,'[1]FRV Output'!$W:$W)</f>
        <v>212</v>
      </c>
      <c r="G226" s="59">
        <f>_xlfn.XLOOKUP($A226,'[1]FRV Output'!$F:$F,'[1]FRV Output'!$AO:$AO)</f>
        <v>35.269999999999982</v>
      </c>
      <c r="H226" s="63">
        <f t="shared" si="3"/>
        <v>63826.184634229132</v>
      </c>
      <c r="I226" s="59">
        <f>_xlfn.XLOOKUP($A226,'[1]FRV Output'!$F:$F,'[1]FRV Output'!$Z:$Z)</f>
        <v>301.06690865202421</v>
      </c>
      <c r="J226" s="162">
        <v>29.25</v>
      </c>
      <c r="K226" s="164">
        <v>1.1839999999999999</v>
      </c>
      <c r="L226" s="59">
        <f>_xlfn.XLOOKUP(A226,'[1]Aging Schedule'!$OA:$OA,'[1]Aging Schedule'!$NW:$NW)</f>
        <v>35.269999999999982</v>
      </c>
      <c r="M226" s="59">
        <f>_xlfn.XLOOKUP(A226,'[1]FRV Output'!$F:$F,'[1]FRV Output'!$BC:$BC)</f>
        <v>8.6351250846091876</v>
      </c>
      <c r="N226" s="68"/>
      <c r="O226" s="68"/>
      <c r="R226" s="31"/>
      <c r="T226" s="59"/>
      <c r="U226" s="108"/>
      <c r="V226" s="110"/>
    </row>
    <row r="227" spans="1:22" hidden="1" x14ac:dyDescent="0.25">
      <c r="A227">
        <v>1477641694</v>
      </c>
      <c r="B227" s="36">
        <v>0.6535582899911202</v>
      </c>
      <c r="C227" s="63">
        <f>_xlfn.XLOOKUP($A227,'[1]FRV Output'!$F:$F,'[1]FRV Output'!$M:$M)</f>
        <v>39732</v>
      </c>
      <c r="D227" s="63">
        <f>_xlfn.XLOOKUP($A227,'[1]FRV Output'!$F:$F,'[1]FRV Output'!$N:$N)</f>
        <v>39840.85479452055</v>
      </c>
      <c r="E227" s="31">
        <f>_xlfn.XLOOKUP(A227,'[1]FRV Output'!$F:$F,'[1]FRV Output'!$U:$U)</f>
        <v>27260</v>
      </c>
      <c r="F227" s="31">
        <f>_xlfn.XLOOKUP($A227,'[1]FRV Output'!$F:$F,'[1]FRV Output'!$W:$W)</f>
        <v>125</v>
      </c>
      <c r="G227" s="59">
        <f>_xlfn.XLOOKUP($A227,'[1]FRV Output'!$F:$F,'[1]FRV Output'!$AO:$AO)</f>
        <v>12.420000000000073</v>
      </c>
      <c r="H227" s="63">
        <f t="shared" si="3"/>
        <v>50000</v>
      </c>
      <c r="I227" s="59">
        <f>_xlfn.XLOOKUP($A227,'[1]FRV Output'!$F:$F,'[1]FRV Output'!$Z:$Z)</f>
        <v>400</v>
      </c>
      <c r="J227" s="162">
        <v>0</v>
      </c>
      <c r="K227" s="164">
        <v>0.9214</v>
      </c>
      <c r="L227" s="59">
        <f>_xlfn.XLOOKUP(A227,'[1]Aging Schedule'!$OA:$OA,'[1]Aging Schedule'!$NW:$NW)</f>
        <v>12.420000000000073</v>
      </c>
      <c r="M227" s="59">
        <f>_xlfn.XLOOKUP(A227,'[1]FRV Output'!$F:$F,'[1]FRV Output'!$BC:$BC)</f>
        <v>20.798426729084834</v>
      </c>
      <c r="N227" s="68"/>
      <c r="O227" s="68"/>
      <c r="R227" s="31"/>
      <c r="T227" s="59"/>
      <c r="U227" s="108"/>
      <c r="V227" s="110"/>
    </row>
    <row r="228" spans="1:22" hidden="1" x14ac:dyDescent="0.25">
      <c r="A228">
        <v>1548230188</v>
      </c>
      <c r="B228" s="36">
        <v>0.73550604145881826</v>
      </c>
      <c r="C228" s="63">
        <f>_xlfn.XLOOKUP($A228,'[1]FRV Output'!$F:$F,'[1]FRV Output'!$M:$M)</f>
        <v>22182</v>
      </c>
      <c r="D228" s="63">
        <f>_xlfn.XLOOKUP($A228,'[1]FRV Output'!$F:$F,'[1]FRV Output'!$N:$N)</f>
        <v>22242.772602739729</v>
      </c>
      <c r="E228" s="31">
        <f>_xlfn.XLOOKUP(A228,'[1]FRV Output'!$F:$F,'[1]FRV Output'!$U:$U)</f>
        <v>27407</v>
      </c>
      <c r="F228" s="31">
        <f>_xlfn.XLOOKUP($A228,'[1]FRV Output'!$F:$F,'[1]FRV Output'!$W:$W)</f>
        <v>88</v>
      </c>
      <c r="G228" s="59">
        <f>_xlfn.XLOOKUP($A228,'[1]FRV Output'!$F:$F,'[1]FRV Output'!$AO:$AO)</f>
        <v>24</v>
      </c>
      <c r="H228" s="63">
        <f t="shared" si="3"/>
        <v>33000</v>
      </c>
      <c r="I228" s="59">
        <f>_xlfn.XLOOKUP($A228,'[1]FRV Output'!$F:$F,'[1]FRV Output'!$Z:$Z)</f>
        <v>375</v>
      </c>
      <c r="J228" s="162">
        <v>0</v>
      </c>
      <c r="K228" s="164">
        <v>0.88360000000000005</v>
      </c>
      <c r="L228" s="59">
        <f>_xlfn.XLOOKUP(A228,'[1]Aging Schedule'!$OA:$OA,'[1]Aging Schedule'!$NW:$NW)</f>
        <v>24</v>
      </c>
      <c r="M228" s="59">
        <f>_xlfn.XLOOKUP(A228,'[1]FRV Output'!$F:$F,'[1]FRV Output'!$BC:$BC)</f>
        <v>14.952939947622884</v>
      </c>
      <c r="N228" s="68"/>
      <c r="O228" s="68"/>
      <c r="R228" s="31"/>
      <c r="T228" s="59"/>
      <c r="U228" s="108"/>
      <c r="V228" s="110"/>
    </row>
    <row r="229" spans="1:22" hidden="1" x14ac:dyDescent="0.25">
      <c r="A229">
        <v>1366529406</v>
      </c>
      <c r="B229" s="36">
        <v>0.62903304534582904</v>
      </c>
      <c r="C229" s="63">
        <f>_xlfn.XLOOKUP($A229,'[1]FRV Output'!$F:$F,'[1]FRV Output'!$M:$M)</f>
        <v>28432</v>
      </c>
      <c r="D229" s="63">
        <f>_xlfn.XLOOKUP($A229,'[1]FRV Output'!$F:$F,'[1]FRV Output'!$N:$N)</f>
        <v>28509.89589041096</v>
      </c>
      <c r="E229" s="31">
        <f>_xlfn.XLOOKUP(A229,'[1]FRV Output'!$F:$F,'[1]FRV Output'!$U:$U)</f>
        <v>27608</v>
      </c>
      <c r="F229" s="31">
        <f>_xlfn.XLOOKUP($A229,'[1]FRV Output'!$F:$F,'[1]FRV Output'!$W:$W)</f>
        <v>71</v>
      </c>
      <c r="G229" s="59">
        <f>_xlfn.XLOOKUP($A229,'[1]FRV Output'!$F:$F,'[1]FRV Output'!$AO:$AO)</f>
        <v>32.779999999999973</v>
      </c>
      <c r="H229" s="63">
        <f t="shared" si="3"/>
        <v>49014.517985611506</v>
      </c>
      <c r="I229" s="59">
        <f>_xlfn.XLOOKUP($A229,'[1]FRV Output'!$F:$F,'[1]FRV Output'!$Z:$Z)</f>
        <v>690.34532374100718</v>
      </c>
      <c r="J229" s="162">
        <v>0</v>
      </c>
      <c r="K229" s="164">
        <v>0</v>
      </c>
      <c r="L229" s="59">
        <f>_xlfn.XLOOKUP(A229,'[1]Aging Schedule'!$OA:$OA,'[1]Aging Schedule'!$NW:$NW)</f>
        <v>32.779999999999973</v>
      </c>
      <c r="M229" s="59">
        <f>_xlfn.XLOOKUP(A229,'[1]FRV Output'!$F:$F,'[1]FRV Output'!$BC:$BC)</f>
        <v>15.264260736033785</v>
      </c>
      <c r="N229" s="68"/>
      <c r="O229" s="68"/>
      <c r="R229" s="31"/>
      <c r="T229" s="59"/>
      <c r="U229" s="108"/>
      <c r="V229" s="110"/>
    </row>
    <row r="230" spans="1:22" hidden="1" x14ac:dyDescent="0.25">
      <c r="A230">
        <v>1699336776</v>
      </c>
      <c r="B230" s="36">
        <v>0.59818811617372758</v>
      </c>
      <c r="C230" s="63">
        <f>_xlfn.XLOOKUP($A230,'[1]FRV Output'!$F:$F,'[1]FRV Output'!$M:$M)</f>
        <v>12210</v>
      </c>
      <c r="D230" s="63">
        <f>_xlfn.XLOOKUP($A230,'[1]FRV Output'!$F:$F,'[1]FRV Output'!$N:$N)</f>
        <v>12243.452054794521</v>
      </c>
      <c r="E230" s="31">
        <f>_xlfn.XLOOKUP(A230,'[1]FRV Output'!$F:$F,'[1]FRV Output'!$U:$U)</f>
        <v>28056</v>
      </c>
      <c r="F230" s="31">
        <f>_xlfn.XLOOKUP($A230,'[1]FRV Output'!$F:$F,'[1]FRV Output'!$W:$W)</f>
        <v>50</v>
      </c>
      <c r="G230" s="59">
        <f>_xlfn.XLOOKUP($A230,'[1]FRV Output'!$F:$F,'[1]FRV Output'!$AO:$AO)</f>
        <v>35.5</v>
      </c>
      <c r="H230" s="63">
        <f t="shared" si="3"/>
        <v>16250</v>
      </c>
      <c r="I230" s="59">
        <f>_xlfn.XLOOKUP($A230,'[1]FRV Output'!$F:$F,'[1]FRV Output'!$Z:$Z)</f>
        <v>325</v>
      </c>
      <c r="J230" s="162">
        <v>29.25</v>
      </c>
      <c r="K230" s="164">
        <v>1.2387999999999999</v>
      </c>
      <c r="L230" s="59">
        <f>_xlfn.XLOOKUP(A230,'[1]Aging Schedule'!$OA:$OA,'[1]Aging Schedule'!$NW:$NW)</f>
        <v>54.599999999999909</v>
      </c>
      <c r="M230" s="59">
        <f>_xlfn.XLOOKUP(A230,'[1]FRV Output'!$F:$F,'[1]FRV Output'!$BC:$BC)</f>
        <v>8.635125084609184</v>
      </c>
      <c r="N230" s="68"/>
      <c r="O230" s="68"/>
      <c r="R230" s="31"/>
      <c r="T230" s="59"/>
      <c r="U230" s="108"/>
      <c r="V230" s="110"/>
    </row>
    <row r="231" spans="1:22" hidden="1" x14ac:dyDescent="0.25">
      <c r="A231">
        <v>1790317840</v>
      </c>
      <c r="B231" s="36">
        <v>0.66996141087265593</v>
      </c>
      <c r="C231" s="63">
        <f>_xlfn.XLOOKUP($A231,'[1]FRV Output'!$F:$F,'[1]FRV Output'!$M:$M)</f>
        <v>23900</v>
      </c>
      <c r="D231" s="63">
        <f>_xlfn.XLOOKUP($A231,'[1]FRV Output'!$F:$F,'[1]FRV Output'!$N:$N)</f>
        <v>23965.479452054798</v>
      </c>
      <c r="E231" s="31">
        <f>_xlfn.XLOOKUP(A231,'[1]FRV Output'!$F:$F,'[1]FRV Output'!$U:$U)</f>
        <v>28273</v>
      </c>
      <c r="F231" s="31">
        <f>_xlfn.XLOOKUP($A231,'[1]FRV Output'!$F:$F,'[1]FRV Output'!$W:$W)</f>
        <v>100</v>
      </c>
      <c r="G231" s="59">
        <f>_xlfn.XLOOKUP($A231,'[1]FRV Output'!$F:$F,'[1]FRV Output'!$AO:$AO)</f>
        <v>6</v>
      </c>
      <c r="H231" s="63">
        <f t="shared" si="3"/>
        <v>39382</v>
      </c>
      <c r="I231" s="59">
        <f>_xlfn.XLOOKUP($A231,'[1]FRV Output'!$F:$F,'[1]FRV Output'!$Z:$Z)</f>
        <v>393.82</v>
      </c>
      <c r="J231" s="162">
        <v>29.25</v>
      </c>
      <c r="K231" s="164">
        <v>1.4121999999999999</v>
      </c>
      <c r="L231" s="59">
        <f>_xlfn.XLOOKUP(A231,'[1]Aging Schedule'!$OA:$OA,'[1]Aging Schedule'!$NW:$NW)</f>
        <v>6</v>
      </c>
      <c r="M231" s="59">
        <f>_xlfn.XLOOKUP(A231,'[1]FRV Output'!$F:$F,'[1]FRV Output'!$BC:$BC)</f>
        <v>25.244516240934729</v>
      </c>
      <c r="N231" s="68"/>
      <c r="O231" s="68"/>
      <c r="R231" s="31"/>
      <c r="T231" s="59"/>
      <c r="U231" s="108"/>
      <c r="V231" s="110"/>
    </row>
    <row r="232" spans="1:22" hidden="1" x14ac:dyDescent="0.25">
      <c r="A232">
        <v>1831197714</v>
      </c>
      <c r="B232" s="36">
        <v>0.65036833157937346</v>
      </c>
      <c r="C232" s="63">
        <f>_xlfn.XLOOKUP($A232,'[1]FRV Output'!$F:$F,'[1]FRV Output'!$M:$M)</f>
        <v>31242</v>
      </c>
      <c r="D232" s="63">
        <f>_xlfn.XLOOKUP($A232,'[1]FRV Output'!$F:$F,'[1]FRV Output'!$N:$N)</f>
        <v>31327.594520547947</v>
      </c>
      <c r="E232" s="31">
        <f>_xlfn.XLOOKUP(A232,'[1]FRV Output'!$F:$F,'[1]FRV Output'!$U:$U)</f>
        <v>28711</v>
      </c>
      <c r="F232" s="31">
        <f>_xlfn.XLOOKUP($A232,'[1]FRV Output'!$F:$F,'[1]FRV Output'!$W:$W)</f>
        <v>97</v>
      </c>
      <c r="G232" s="59">
        <f>_xlfn.XLOOKUP($A232,'[1]FRV Output'!$F:$F,'[1]FRV Output'!$AO:$AO)</f>
        <v>18.259999999999991</v>
      </c>
      <c r="H232" s="63">
        <f t="shared" si="3"/>
        <v>38800</v>
      </c>
      <c r="I232" s="59">
        <f>_xlfn.XLOOKUP($A232,'[1]FRV Output'!$F:$F,'[1]FRV Output'!$Z:$Z)</f>
        <v>400</v>
      </c>
      <c r="J232" s="162">
        <v>29.25</v>
      </c>
      <c r="K232" s="164">
        <v>1.2481</v>
      </c>
      <c r="L232" s="59">
        <f>_xlfn.XLOOKUP(A232,'[1]Aging Schedule'!$OA:$OA,'[1]Aging Schedule'!$NW:$NW)</f>
        <v>18.259999999999991</v>
      </c>
      <c r="M232" s="59">
        <f>_xlfn.XLOOKUP(A232,'[1]FRV Output'!$F:$F,'[1]FRV Output'!$BC:$BC)</f>
        <v>17.500338378644134</v>
      </c>
      <c r="N232" s="68"/>
      <c r="O232" s="68"/>
      <c r="R232" s="31"/>
      <c r="T232" s="59"/>
      <c r="U232" s="108"/>
      <c r="V232" s="110"/>
    </row>
    <row r="233" spans="1:22" hidden="1" x14ac:dyDescent="0.25">
      <c r="A233">
        <v>1871063214</v>
      </c>
      <c r="B233" s="36">
        <v>0.67698795180722893</v>
      </c>
      <c r="C233" s="63">
        <f>_xlfn.XLOOKUP($A233,'[1]FRV Output'!$F:$F,'[1]FRV Output'!$M:$M)</f>
        <v>29082</v>
      </c>
      <c r="D233" s="63">
        <f>_xlfn.XLOOKUP($A233,'[1]FRV Output'!$F:$F,'[1]FRV Output'!$N:$N)</f>
        <v>29161.676712328772</v>
      </c>
      <c r="E233" s="31">
        <f>_xlfn.XLOOKUP(A233,'[1]FRV Output'!$F:$F,'[1]FRV Output'!$U:$U)</f>
        <v>28779</v>
      </c>
      <c r="F233" s="31">
        <f>_xlfn.XLOOKUP($A233,'[1]FRV Output'!$F:$F,'[1]FRV Output'!$W:$W)</f>
        <v>106</v>
      </c>
      <c r="G233" s="59">
        <f>_xlfn.XLOOKUP($A233,'[1]FRV Output'!$F:$F,'[1]FRV Output'!$AO:$AO)</f>
        <v>26.039999999999964</v>
      </c>
      <c r="H233" s="63">
        <f t="shared" si="3"/>
        <v>45063</v>
      </c>
      <c r="I233" s="59">
        <f>_xlfn.XLOOKUP($A233,'[1]FRV Output'!$F:$F,'[1]FRV Output'!$Z:$Z)</f>
        <v>425.12264150943395</v>
      </c>
      <c r="J233" s="162">
        <v>29.25</v>
      </c>
      <c r="K233" s="164">
        <v>0.99739999999999995</v>
      </c>
      <c r="L233" s="59">
        <f>_xlfn.XLOOKUP(A233,'[1]Aging Schedule'!$OA:$OA,'[1]Aging Schedule'!$NW:$NW)</f>
        <v>26.039999999999964</v>
      </c>
      <c r="M233" s="59">
        <f>_xlfn.XLOOKUP(A233,'[1]FRV Output'!$F:$F,'[1]FRV Output'!$BC:$BC)</f>
        <v>15.440389776246315</v>
      </c>
      <c r="N233" s="68"/>
      <c r="O233" s="68"/>
      <c r="R233" s="31"/>
      <c r="T233" s="59"/>
      <c r="U233" s="108"/>
      <c r="V233" s="110"/>
    </row>
    <row r="234" spans="1:22" hidden="1" x14ac:dyDescent="0.25">
      <c r="A234">
        <v>1952396509</v>
      </c>
      <c r="B234" s="36">
        <v>0.65635875509595309</v>
      </c>
      <c r="C234" s="63">
        <f>_xlfn.XLOOKUP($A234,'[1]FRV Output'!$F:$F,'[1]FRV Output'!$M:$M)</f>
        <v>22699</v>
      </c>
      <c r="D234" s="63">
        <f>_xlfn.XLOOKUP($A234,'[1]FRV Output'!$F:$F,'[1]FRV Output'!$N:$N)</f>
        <v>22761.189041095891</v>
      </c>
      <c r="E234" s="31">
        <f>_xlfn.XLOOKUP(A234,'[1]FRV Output'!$F:$F,'[1]FRV Output'!$U:$U)</f>
        <v>28713</v>
      </c>
      <c r="F234" s="31">
        <f>_xlfn.XLOOKUP($A234,'[1]FRV Output'!$F:$F,'[1]FRV Output'!$W:$W)</f>
        <v>120</v>
      </c>
      <c r="G234" s="59">
        <f>_xlfn.XLOOKUP($A234,'[1]FRV Output'!$F:$F,'[1]FRV Output'!$AO:$AO)</f>
        <v>35.5</v>
      </c>
      <c r="H234" s="63">
        <f t="shared" si="3"/>
        <v>33782</v>
      </c>
      <c r="I234" s="59">
        <f>_xlfn.XLOOKUP($A234,'[1]FRV Output'!$F:$F,'[1]FRV Output'!$Z:$Z)</f>
        <v>281.51666666666665</v>
      </c>
      <c r="J234" s="162">
        <v>29.25</v>
      </c>
      <c r="K234" s="164">
        <v>1.0835999999999999</v>
      </c>
      <c r="L234" s="59">
        <f>_xlfn.XLOOKUP(A234,'[1]Aging Schedule'!$OA:$OA,'[1]Aging Schedule'!$NW:$NW)</f>
        <v>44.619999999999891</v>
      </c>
      <c r="M234" s="59">
        <f>_xlfn.XLOOKUP(A234,'[1]FRV Output'!$F:$F,'[1]FRV Output'!$BC:$BC)</f>
        <v>8.4499932473811441</v>
      </c>
      <c r="N234" s="68"/>
      <c r="O234" s="68"/>
      <c r="R234" s="31"/>
      <c r="T234" s="59"/>
      <c r="U234" s="108"/>
      <c r="V234" s="110"/>
    </row>
    <row r="235" spans="1:22" hidden="1" x14ac:dyDescent="0.25">
      <c r="A235">
        <v>1396754875</v>
      </c>
      <c r="B235" s="36">
        <v>0.73724884080370945</v>
      </c>
      <c r="C235" s="63">
        <f>_xlfn.XLOOKUP($A235,'[1]FRV Output'!$F:$F,'[1]FRV Output'!$M:$M)</f>
        <v>19307</v>
      </c>
      <c r="D235" s="63">
        <f>_xlfn.XLOOKUP($A235,'[1]FRV Output'!$F:$F,'[1]FRV Output'!$N:$N)</f>
        <v>19359.89589041096</v>
      </c>
      <c r="E235" s="31">
        <f>_xlfn.XLOOKUP(A235,'[1]FRV Output'!$F:$F,'[1]FRV Output'!$U:$U)</f>
        <v>27239</v>
      </c>
      <c r="F235" s="31">
        <f>_xlfn.XLOOKUP($A235,'[1]FRV Output'!$F:$F,'[1]FRV Output'!$W:$W)</f>
        <v>60</v>
      </c>
      <c r="G235" s="59">
        <f>_xlfn.XLOOKUP($A235,'[1]FRV Output'!$F:$F,'[1]FRV Output'!$AO:$AO)</f>
        <v>1</v>
      </c>
      <c r="H235" s="63">
        <f t="shared" si="3"/>
        <v>26461.653468674376</v>
      </c>
      <c r="I235" s="59">
        <f>_xlfn.XLOOKUP($A235,'[1]FRV Output'!$F:$F,'[1]FRV Output'!$Z:$Z)</f>
        <v>441.0275578112396</v>
      </c>
      <c r="J235" s="162">
        <v>29.25</v>
      </c>
      <c r="K235" s="164">
        <v>1.1889000000000001</v>
      </c>
      <c r="L235" s="59">
        <f>_xlfn.XLOOKUP(A235,'[1]Aging Schedule'!$OA:$OA,'[1]Aging Schedule'!$NW:$NW)</f>
        <v>1</v>
      </c>
      <c r="M235" s="59">
        <f>_xlfn.XLOOKUP(A235,'[1]FRV Output'!$F:$F,'[1]FRV Output'!$BC:$BC)</f>
        <v>27.522884045143186</v>
      </c>
      <c r="N235" s="68"/>
      <c r="O235" s="68"/>
      <c r="R235" s="31"/>
      <c r="T235" s="59"/>
      <c r="U235" s="108"/>
      <c r="V235" s="110"/>
    </row>
    <row r="236" spans="1:22" hidden="1" x14ac:dyDescent="0.25">
      <c r="A236">
        <v>1922611102</v>
      </c>
      <c r="B236" s="36">
        <v>0.70918684047175673</v>
      </c>
      <c r="C236" s="63">
        <f>_xlfn.XLOOKUP($A236,'[1]FRV Output'!$F:$F,'[1]FRV Output'!$M:$M)</f>
        <v>34963</v>
      </c>
      <c r="D236" s="63">
        <f>_xlfn.XLOOKUP($A236,'[1]FRV Output'!$F:$F,'[1]FRV Output'!$N:$N)</f>
        <v>35058.789041095893</v>
      </c>
      <c r="E236" s="31">
        <f>_xlfn.XLOOKUP(A236,'[1]FRV Output'!$F:$F,'[1]FRV Output'!$U:$U)</f>
        <v>27804</v>
      </c>
      <c r="F236" s="31">
        <f>_xlfn.XLOOKUP($A236,'[1]FRV Output'!$F:$F,'[1]FRV Output'!$W:$W)</f>
        <v>141</v>
      </c>
      <c r="G236" s="59">
        <f>_xlfn.XLOOKUP($A236,'[1]FRV Output'!$F:$F,'[1]FRV Output'!$AO:$AO)</f>
        <v>32.6400000000001</v>
      </c>
      <c r="H236" s="63">
        <f t="shared" si="3"/>
        <v>43170</v>
      </c>
      <c r="I236" s="59">
        <f>_xlfn.XLOOKUP($A236,'[1]FRV Output'!$F:$F,'[1]FRV Output'!$Z:$Z)</f>
        <v>306.17021276595744</v>
      </c>
      <c r="J236" s="162">
        <v>29.25</v>
      </c>
      <c r="K236" s="164">
        <v>1.2775000000000001</v>
      </c>
      <c r="L236" s="59">
        <f>_xlfn.XLOOKUP(A236,'[1]Aging Schedule'!$OA:$OA,'[1]Aging Schedule'!$NW:$NW)</f>
        <v>32.6400000000001</v>
      </c>
      <c r="M236" s="59">
        <f>_xlfn.XLOOKUP(A236,'[1]FRV Output'!$F:$F,'[1]FRV Output'!$BC:$BC)</f>
        <v>9.3734171593876177</v>
      </c>
      <c r="N236" s="68"/>
      <c r="O236" s="68"/>
      <c r="R236" s="31"/>
      <c r="T236" s="59"/>
      <c r="U236" s="108"/>
      <c r="V236" s="110"/>
    </row>
    <row r="237" spans="1:22" hidden="1" x14ac:dyDescent="0.25">
      <c r="A237">
        <v>1851348379</v>
      </c>
      <c r="B237" s="36">
        <v>0.5278396436525612</v>
      </c>
      <c r="C237" s="63">
        <f>_xlfn.XLOOKUP($A237,'[1]FRV Output'!$F:$F,'[1]FRV Output'!$M:$M)</f>
        <v>34991</v>
      </c>
      <c r="D237" s="63">
        <f>_xlfn.XLOOKUP($A237,'[1]FRV Output'!$F:$F,'[1]FRV Output'!$N:$N)</f>
        <v>35086.865753424659</v>
      </c>
      <c r="E237" s="31">
        <f>_xlfn.XLOOKUP(A237,'[1]FRV Output'!$F:$F,'[1]FRV Output'!$U:$U)</f>
        <v>28560</v>
      </c>
      <c r="F237" s="31">
        <f>_xlfn.XLOOKUP($A237,'[1]FRV Output'!$F:$F,'[1]FRV Output'!$W:$W)</f>
        <v>116</v>
      </c>
      <c r="G237" s="59">
        <f>_xlfn.XLOOKUP($A237,'[1]FRV Output'!$F:$F,'[1]FRV Output'!$AO:$AO)</f>
        <v>7.4000000000000909</v>
      </c>
      <c r="H237" s="63">
        <f t="shared" si="3"/>
        <v>37760</v>
      </c>
      <c r="I237" s="59">
        <f>_xlfn.XLOOKUP($A237,'[1]FRV Output'!$F:$F,'[1]FRV Output'!$Z:$Z)</f>
        <v>325.51724137931035</v>
      </c>
      <c r="J237" s="162">
        <v>29.25</v>
      </c>
      <c r="K237" s="164">
        <v>1.0496000000000001</v>
      </c>
      <c r="L237" s="59">
        <f>_xlfn.XLOOKUP(A237,'[1]Aging Schedule'!$OA:$OA,'[1]Aging Schedule'!$NW:$NW)</f>
        <v>7.4000000000000909</v>
      </c>
      <c r="M237" s="59">
        <f>_xlfn.XLOOKUP(A237,'[1]FRV Output'!$F:$F,'[1]FRV Output'!$BC:$BC)</f>
        <v>24.142055154149908</v>
      </c>
      <c r="N237" s="68"/>
      <c r="O237" s="68"/>
      <c r="R237" s="31"/>
      <c r="T237" s="59"/>
      <c r="U237" s="108"/>
      <c r="V237" s="110"/>
    </row>
    <row r="238" spans="1:22" hidden="1" x14ac:dyDescent="0.25">
      <c r="A238">
        <v>1477146959</v>
      </c>
      <c r="B238" s="36">
        <v>0.62016527028577983</v>
      </c>
      <c r="C238" s="63">
        <f>_xlfn.XLOOKUP($A238,'[1]FRV Output'!$F:$F,'[1]FRV Output'!$M:$M)</f>
        <v>45555.476190476191</v>
      </c>
      <c r="D238" s="63">
        <f>_xlfn.XLOOKUP($A238,'[1]FRV Output'!$F:$F,'[1]FRV Output'!$N:$N)</f>
        <v>61074.374672946098</v>
      </c>
      <c r="E238" s="31">
        <f>_xlfn.XLOOKUP(A238,'[1]FRV Output'!$F:$F,'[1]FRV Output'!$U:$U)</f>
        <v>27105</v>
      </c>
      <c r="F238" s="31">
        <f>_xlfn.XLOOKUP($A238,'[1]FRV Output'!$F:$F,'[1]FRV Output'!$W:$W)</f>
        <v>152</v>
      </c>
      <c r="G238" s="59">
        <f>_xlfn.XLOOKUP($A238,'[1]FRV Output'!$F:$F,'[1]FRV Output'!$AO:$AO)</f>
        <v>19.579999999999927</v>
      </c>
      <c r="H238" s="63">
        <f t="shared" si="3"/>
        <v>56072.799999999996</v>
      </c>
      <c r="I238" s="59">
        <f>_xlfn.XLOOKUP($A238,'[1]FRV Output'!$F:$F,'[1]FRV Output'!$Z:$Z)</f>
        <v>368.9</v>
      </c>
      <c r="J238" s="162">
        <v>9.4499999999999993</v>
      </c>
      <c r="K238" s="164">
        <v>1.4593</v>
      </c>
      <c r="L238" s="59">
        <f>_xlfn.XLOOKUP(A238,'[1]Aging Schedule'!$OA:$OA,'[1]Aging Schedule'!$NW:$NW)</f>
        <v>19.579999999999927</v>
      </c>
      <c r="M238" s="59">
        <f>_xlfn.XLOOKUP(A238,'[1]FRV Output'!$F:$F,'[1]FRV Output'!$BC:$BC)</f>
        <v>13.920769422212135</v>
      </c>
      <c r="N238" s="68"/>
      <c r="O238" s="68"/>
      <c r="R238" s="31"/>
      <c r="T238" s="59"/>
      <c r="U238" s="108"/>
      <c r="V238" s="110"/>
    </row>
    <row r="239" spans="1:22" hidden="1" x14ac:dyDescent="0.25">
      <c r="A239">
        <v>1093754459</v>
      </c>
      <c r="B239" s="36">
        <v>0.6295718326343509</v>
      </c>
      <c r="C239" s="63">
        <f>_xlfn.XLOOKUP($A239,'[1]FRV Output'!$F:$F,'[1]FRV Output'!$M:$M)</f>
        <v>17274</v>
      </c>
      <c r="D239" s="63">
        <f>_xlfn.XLOOKUP($A239,'[1]FRV Output'!$F:$F,'[1]FRV Output'!$N:$N)</f>
        <v>17321.326027397263</v>
      </c>
      <c r="E239" s="31">
        <f>_xlfn.XLOOKUP(A239,'[1]FRV Output'!$F:$F,'[1]FRV Output'!$U:$U)</f>
        <v>28139</v>
      </c>
      <c r="F239" s="31">
        <f>_xlfn.XLOOKUP($A239,'[1]FRV Output'!$F:$F,'[1]FRV Output'!$W:$W)</f>
        <v>60</v>
      </c>
      <c r="G239" s="59">
        <f>_xlfn.XLOOKUP($A239,'[1]FRV Output'!$F:$F,'[1]FRV Output'!$AO:$AO)</f>
        <v>21.480000000000018</v>
      </c>
      <c r="H239" s="63">
        <f t="shared" si="3"/>
        <v>22246.05224063342</v>
      </c>
      <c r="I239" s="59">
        <f>_xlfn.XLOOKUP($A239,'[1]FRV Output'!$F:$F,'[1]FRV Output'!$Z:$Z)</f>
        <v>370.76753734389035</v>
      </c>
      <c r="J239" s="162">
        <v>29.25</v>
      </c>
      <c r="K239" s="164">
        <v>1.2465999999999999</v>
      </c>
      <c r="L239" s="59">
        <f>_xlfn.XLOOKUP(A239,'[1]Aging Schedule'!$OA:$OA,'[1]Aging Schedule'!$NW:$NW)</f>
        <v>21.480000000000018</v>
      </c>
      <c r="M239" s="59">
        <f>_xlfn.XLOOKUP(A239,'[1]FRV Output'!$F:$F,'[1]FRV Output'!$BC:$BC)</f>
        <v>16.066371490128976</v>
      </c>
      <c r="N239" s="68"/>
      <c r="O239" s="68"/>
      <c r="R239" s="31"/>
      <c r="T239" s="59"/>
      <c r="U239" s="108"/>
      <c r="V239" s="110"/>
    </row>
    <row r="240" spans="1:22" hidden="1" x14ac:dyDescent="0.25">
      <c r="A240">
        <v>1548770423</v>
      </c>
      <c r="B240" s="36">
        <v>0.55434326479227869</v>
      </c>
      <c r="C240" s="63">
        <f>_xlfn.XLOOKUP($A240,'[1]FRV Output'!$F:$F,'[1]FRV Output'!$M:$M)</f>
        <v>21071</v>
      </c>
      <c r="D240" s="63">
        <f>_xlfn.XLOOKUP($A240,'[1]FRV Output'!$F:$F,'[1]FRV Output'!$N:$N)</f>
        <v>21128.728767123288</v>
      </c>
      <c r="E240" s="31">
        <f>_xlfn.XLOOKUP(A240,'[1]FRV Output'!$F:$F,'[1]FRV Output'!$U:$U)</f>
        <v>28461</v>
      </c>
      <c r="F240" s="31">
        <f>_xlfn.XLOOKUP($A240,'[1]FRV Output'!$F:$F,'[1]FRV Output'!$W:$W)</f>
        <v>99</v>
      </c>
      <c r="G240" s="59">
        <f>_xlfn.XLOOKUP($A240,'[1]FRV Output'!$F:$F,'[1]FRV Output'!$AO:$AO)</f>
        <v>24.079999999999927</v>
      </c>
      <c r="H240" s="63">
        <f t="shared" si="3"/>
        <v>38820.450025726779</v>
      </c>
      <c r="I240" s="59">
        <f>_xlfn.XLOOKUP($A240,'[1]FRV Output'!$F:$F,'[1]FRV Output'!$Z:$Z)</f>
        <v>392.12575783562403</v>
      </c>
      <c r="J240" s="162">
        <v>29.25</v>
      </c>
      <c r="K240" s="164">
        <v>1.0861000000000001</v>
      </c>
      <c r="L240" s="59">
        <f>_xlfn.XLOOKUP(A240,'[1]Aging Schedule'!$OA:$OA,'[1]Aging Schedule'!$NW:$NW)</f>
        <v>24.079999999999927</v>
      </c>
      <c r="M240" s="59">
        <f>_xlfn.XLOOKUP(A240,'[1]FRV Output'!$F:$F,'[1]FRV Output'!$BC:$BC)</f>
        <v>15.034931429298627</v>
      </c>
      <c r="N240" s="68"/>
      <c r="O240" s="68"/>
      <c r="R240" s="31"/>
      <c r="T240" s="59"/>
      <c r="U240" s="108"/>
      <c r="V240" s="110"/>
    </row>
    <row r="241" spans="1:22" hidden="1" x14ac:dyDescent="0.25">
      <c r="A241">
        <v>1497996920</v>
      </c>
      <c r="B241" s="36">
        <v>0.6781844022028779</v>
      </c>
      <c r="C241" s="63">
        <f>_xlfn.XLOOKUP($A241,'[1]FRV Output'!$F:$F,'[1]FRV Output'!$M:$M)</f>
        <v>43335</v>
      </c>
      <c r="D241" s="63">
        <f>_xlfn.XLOOKUP($A241,'[1]FRV Output'!$F:$F,'[1]FRV Output'!$N:$N)</f>
        <v>43453.726027397264</v>
      </c>
      <c r="E241" s="31">
        <f>_xlfn.XLOOKUP(A241,'[1]FRV Output'!$F:$F,'[1]FRV Output'!$U:$U)</f>
        <v>27565</v>
      </c>
      <c r="F241" s="31">
        <f>_xlfn.XLOOKUP($A241,'[1]FRV Output'!$F:$F,'[1]FRV Output'!$W:$W)</f>
        <v>160</v>
      </c>
      <c r="G241" s="59">
        <f>_xlfn.XLOOKUP($A241,'[1]FRV Output'!$F:$F,'[1]FRV Output'!$AO:$AO)</f>
        <v>29.8599999999999</v>
      </c>
      <c r="H241" s="63">
        <f t="shared" si="3"/>
        <v>39569.291316453717</v>
      </c>
      <c r="I241" s="59">
        <f>_xlfn.XLOOKUP($A241,'[1]FRV Output'!$F:$F,'[1]FRV Output'!$Z:$Z)</f>
        <v>247.30807072783574</v>
      </c>
      <c r="J241" s="162">
        <v>9.4499999999999993</v>
      </c>
      <c r="K241" s="164">
        <v>1.3291999999999999</v>
      </c>
      <c r="L241" s="59">
        <f>_xlfn.XLOOKUP(A241,'[1]Aging Schedule'!$OA:$OA,'[1]Aging Schedule'!$NW:$NW)</f>
        <v>29.8599999999999</v>
      </c>
      <c r="M241" s="59">
        <f>_xlfn.XLOOKUP(A241,'[1]FRV Output'!$F:$F,'[1]FRV Output'!$BC:$BC)</f>
        <v>11.595154826108017</v>
      </c>
      <c r="N241" s="68"/>
      <c r="O241" s="68"/>
      <c r="R241" s="31"/>
      <c r="T241" s="59"/>
      <c r="U241" s="108"/>
      <c r="V241" s="110"/>
    </row>
    <row r="242" spans="1:22" hidden="1" x14ac:dyDescent="0.25">
      <c r="A242">
        <v>1578715504</v>
      </c>
      <c r="B242" s="36">
        <v>0.74766998517263294</v>
      </c>
      <c r="C242" s="63">
        <f>_xlfn.XLOOKUP($A242,'[1]FRV Output'!$F:$F,'[1]FRV Output'!$M:$M)</f>
        <v>34534</v>
      </c>
      <c r="D242" s="63">
        <f>_xlfn.XLOOKUP($A242,'[1]FRV Output'!$F:$F,'[1]FRV Output'!$N:$N)</f>
        <v>34628.613698630143</v>
      </c>
      <c r="E242" s="31">
        <f>_xlfn.XLOOKUP(A242,'[1]FRV Output'!$F:$F,'[1]FRV Output'!$U:$U)</f>
        <v>28731</v>
      </c>
      <c r="F242" s="31">
        <f>_xlfn.XLOOKUP($A242,'[1]FRV Output'!$F:$F,'[1]FRV Output'!$W:$W)</f>
        <v>130</v>
      </c>
      <c r="G242" s="59">
        <f>_xlfn.XLOOKUP($A242,'[1]FRV Output'!$F:$F,'[1]FRV Output'!$AO:$AO)</f>
        <v>13.660000000000082</v>
      </c>
      <c r="H242" s="63">
        <f t="shared" si="3"/>
        <v>50470</v>
      </c>
      <c r="I242" s="59">
        <f>_xlfn.XLOOKUP($A242,'[1]FRV Output'!$F:$F,'[1]FRV Output'!$Z:$Z)</f>
        <v>388.23076923076923</v>
      </c>
      <c r="J242" s="162">
        <v>29.25</v>
      </c>
      <c r="K242" s="164">
        <v>1.5186999999999999</v>
      </c>
      <c r="L242" s="59">
        <f>_xlfn.XLOOKUP(A242,'[1]Aging Schedule'!$OA:$OA,'[1]Aging Schedule'!$NW:$NW)</f>
        <v>13.660000000000082</v>
      </c>
      <c r="M242" s="59">
        <f>_xlfn.XLOOKUP(A242,'[1]FRV Output'!$F:$F,'[1]FRV Output'!$BC:$BC)</f>
        <v>20.203783588718807</v>
      </c>
      <c r="N242" s="68"/>
      <c r="O242" s="68"/>
      <c r="R242" s="31"/>
      <c r="T242" s="59"/>
      <c r="U242" s="108"/>
      <c r="V242" s="110"/>
    </row>
    <row r="243" spans="1:22" hidden="1" x14ac:dyDescent="0.25">
      <c r="A243">
        <v>1609124155</v>
      </c>
      <c r="B243" s="36">
        <v>0.58408431342599665</v>
      </c>
      <c r="C243" s="63">
        <f>_xlfn.XLOOKUP($A243,'[1]FRV Output'!$F:$F,'[1]FRV Output'!$M:$M)</f>
        <v>24359</v>
      </c>
      <c r="D243" s="63">
        <f>_xlfn.XLOOKUP($A243,'[1]FRV Output'!$F:$F,'[1]FRV Output'!$N:$N)</f>
        <v>24425.736986301374</v>
      </c>
      <c r="E243" s="31">
        <f>_xlfn.XLOOKUP(A243,'[1]FRV Output'!$F:$F,'[1]FRV Output'!$U:$U)</f>
        <v>27546</v>
      </c>
      <c r="F243" s="31">
        <f>_xlfn.XLOOKUP($A243,'[1]FRV Output'!$F:$F,'[1]FRV Output'!$W:$W)</f>
        <v>96</v>
      </c>
      <c r="G243" s="59">
        <f>_xlfn.XLOOKUP($A243,'[1]FRV Output'!$F:$F,'[1]FRV Output'!$AO:$AO)</f>
        <v>4.7799999999999727</v>
      </c>
      <c r="H243" s="63">
        <f t="shared" si="3"/>
        <v>53500</v>
      </c>
      <c r="I243" s="59">
        <f>_xlfn.XLOOKUP($A243,'[1]FRV Output'!$F:$F,'[1]FRV Output'!$Z:$Z)</f>
        <v>557.29166666666663</v>
      </c>
      <c r="J243" s="162">
        <v>29.25</v>
      </c>
      <c r="K243" s="164">
        <v>1.1797</v>
      </c>
      <c r="L243" s="59">
        <f>_xlfn.XLOOKUP(A243,'[1]Aging Schedule'!$OA:$OA,'[1]Aging Schedule'!$NW:$NW)</f>
        <v>4.7799999999999727</v>
      </c>
      <c r="M243" s="59">
        <f>_xlfn.XLOOKUP(A243,'[1]FRV Output'!$F:$F,'[1]FRV Output'!$BC:$BC)</f>
        <v>34.046902122683342</v>
      </c>
      <c r="N243" s="68"/>
      <c r="O243" s="68"/>
      <c r="R243" s="31"/>
      <c r="T243" s="59"/>
      <c r="U243" s="108"/>
      <c r="V243" s="110"/>
    </row>
    <row r="244" spans="1:22" hidden="1" x14ac:dyDescent="0.25">
      <c r="A244">
        <v>1780693663</v>
      </c>
      <c r="B244" s="36">
        <v>0.62985595809690098</v>
      </c>
      <c r="C244" s="63">
        <f>_xlfn.XLOOKUP($A244,'[1]FRV Output'!$F:$F,'[1]FRV Output'!$M:$M)</f>
        <v>11982</v>
      </c>
      <c r="D244" s="63">
        <f>_xlfn.XLOOKUP($A244,'[1]FRV Output'!$F:$F,'[1]FRV Output'!$N:$N)</f>
        <v>12014.827397260275</v>
      </c>
      <c r="E244" s="31">
        <f>_xlfn.XLOOKUP(A244,'[1]FRV Output'!$F:$F,'[1]FRV Output'!$U:$U)</f>
        <v>28388</v>
      </c>
      <c r="F244" s="31">
        <f>_xlfn.XLOOKUP($A244,'[1]FRV Output'!$F:$F,'[1]FRV Output'!$W:$W)</f>
        <v>50</v>
      </c>
      <c r="G244" s="59">
        <f>_xlfn.XLOOKUP($A244,'[1]FRV Output'!$F:$F,'[1]FRV Output'!$AO:$AO)</f>
        <v>34.920000000000073</v>
      </c>
      <c r="H244" s="63">
        <f t="shared" si="3"/>
        <v>32959.430236062282</v>
      </c>
      <c r="I244" s="59">
        <f>_xlfn.XLOOKUP($A244,'[1]FRV Output'!$F:$F,'[1]FRV Output'!$Z:$Z)</f>
        <v>659.18860472124561</v>
      </c>
      <c r="J244" s="162">
        <v>0</v>
      </c>
      <c r="K244" s="164">
        <v>0.94020000000000004</v>
      </c>
      <c r="L244" s="59">
        <f>_xlfn.XLOOKUP(A244,'[1]Aging Schedule'!$OA:$OA,'[1]Aging Schedule'!$NW:$NW)</f>
        <v>34.920000000000073</v>
      </c>
      <c r="M244" s="59">
        <f>_xlfn.XLOOKUP(A244,'[1]FRV Output'!$F:$F,'[1]FRV Output'!$BC:$BC)</f>
        <v>17.245815800252377</v>
      </c>
      <c r="N244" s="68"/>
      <c r="O244" s="68"/>
      <c r="R244" s="31"/>
      <c r="T244" s="59"/>
      <c r="U244" s="108"/>
      <c r="V244" s="110"/>
    </row>
    <row r="245" spans="1:22" hidden="1" x14ac:dyDescent="0.25">
      <c r="A245">
        <v>1407966864</v>
      </c>
      <c r="B245" s="36">
        <v>0.73595387840670856</v>
      </c>
      <c r="C245" s="63">
        <f>_xlfn.XLOOKUP($A245,'[1]FRV Output'!$F:$F,'[1]FRV Output'!$M:$M)</f>
        <v>24722</v>
      </c>
      <c r="D245" s="63">
        <f>_xlfn.XLOOKUP($A245,'[1]FRV Output'!$F:$F,'[1]FRV Output'!$N:$N)</f>
        <v>24789.731506849319</v>
      </c>
      <c r="E245" s="31">
        <f>_xlfn.XLOOKUP(A245,'[1]FRV Output'!$F:$F,'[1]FRV Output'!$U:$U)</f>
        <v>27320</v>
      </c>
      <c r="F245" s="31">
        <f>_xlfn.XLOOKUP($A245,'[1]FRV Output'!$F:$F,'[1]FRV Output'!$W:$W)</f>
        <v>82</v>
      </c>
      <c r="G245" s="59">
        <f>_xlfn.XLOOKUP($A245,'[1]FRV Output'!$F:$F,'[1]FRV Output'!$AO:$AO)</f>
        <v>17.809999999999945</v>
      </c>
      <c r="H245" s="63">
        <f t="shared" si="3"/>
        <v>32800</v>
      </c>
      <c r="I245" s="59">
        <f>_xlfn.XLOOKUP($A245,'[1]FRV Output'!$F:$F,'[1]FRV Output'!$Z:$Z)</f>
        <v>400</v>
      </c>
      <c r="J245" s="162">
        <v>29.25</v>
      </c>
      <c r="K245" s="164">
        <v>0.94520000000000004</v>
      </c>
      <c r="L245" s="59">
        <f>_xlfn.XLOOKUP(A245,'[1]Aging Schedule'!$OA:$OA,'[1]Aging Schedule'!$NW:$NW)</f>
        <v>17.809999999999945</v>
      </c>
      <c r="M245" s="59">
        <f>_xlfn.XLOOKUP(A245,'[1]FRV Output'!$F:$F,'[1]FRV Output'!$BC:$BC)</f>
        <v>18.777697744399703</v>
      </c>
      <c r="N245" s="68"/>
      <c r="O245" s="68"/>
      <c r="R245" s="31"/>
      <c r="T245" s="59"/>
      <c r="U245" s="108"/>
      <c r="V245" s="110"/>
    </row>
    <row r="246" spans="1:22" hidden="1" x14ac:dyDescent="0.25">
      <c r="A246">
        <v>1144646274</v>
      </c>
      <c r="B246" s="36">
        <v>0.55629877369007807</v>
      </c>
      <c r="C246" s="63">
        <f>_xlfn.XLOOKUP($A246,'[1]FRV Output'!$F:$F,'[1]FRV Output'!$M:$M)</f>
        <v>22827</v>
      </c>
      <c r="D246" s="63">
        <f>_xlfn.XLOOKUP($A246,'[1]FRV Output'!$F:$F,'[1]FRV Output'!$N:$N)</f>
        <v>22889.5397260274</v>
      </c>
      <c r="E246" s="31">
        <f>_xlfn.XLOOKUP(A246,'[1]FRV Output'!$F:$F,'[1]FRV Output'!$U:$U)</f>
        <v>27705</v>
      </c>
      <c r="F246" s="31">
        <f>_xlfn.XLOOKUP($A246,'[1]FRV Output'!$F:$F,'[1]FRV Output'!$W:$W)</f>
        <v>96</v>
      </c>
      <c r="G246" s="59">
        <f>_xlfn.XLOOKUP($A246,'[1]FRV Output'!$F:$F,'[1]FRV Output'!$AO:$AO)</f>
        <v>16.650000000000091</v>
      </c>
      <c r="H246" s="63">
        <f t="shared" si="3"/>
        <v>28728</v>
      </c>
      <c r="I246" s="59">
        <f>_xlfn.XLOOKUP($A246,'[1]FRV Output'!$F:$F,'[1]FRV Output'!$Z:$Z)</f>
        <v>299.25</v>
      </c>
      <c r="J246" s="162">
        <v>29.25</v>
      </c>
      <c r="K246" s="164">
        <v>1.2399</v>
      </c>
      <c r="L246" s="59">
        <f>_xlfn.XLOOKUP(A246,'[1]Aging Schedule'!$OA:$OA,'[1]Aging Schedule'!$NW:$NW)</f>
        <v>16.650000000000091</v>
      </c>
      <c r="M246" s="59">
        <f>_xlfn.XLOOKUP(A246,'[1]FRV Output'!$F:$F,'[1]FRV Output'!$BC:$BC)</f>
        <v>19.306624357131401</v>
      </c>
      <c r="N246" s="68"/>
      <c r="O246" s="68"/>
      <c r="R246" s="31"/>
      <c r="T246" s="59"/>
      <c r="U246" s="108"/>
      <c r="V246" s="110"/>
    </row>
    <row r="247" spans="1:22" hidden="1" x14ac:dyDescent="0.25">
      <c r="A247">
        <v>1467007856</v>
      </c>
      <c r="B247" s="36">
        <v>0.60216007092770207</v>
      </c>
      <c r="C247" s="63">
        <f>_xlfn.XLOOKUP($A247,'[1]FRV Output'!$F:$F,'[1]FRV Output'!$M:$M)</f>
        <v>33816</v>
      </c>
      <c r="D247" s="63">
        <f>_xlfn.XLOOKUP($A247,'[1]FRV Output'!$F:$F,'[1]FRV Output'!$N:$N)</f>
        <v>33908.646575342471</v>
      </c>
      <c r="E247" s="31">
        <f>_xlfn.XLOOKUP(A247,'[1]FRV Output'!$F:$F,'[1]FRV Output'!$U:$U)</f>
        <v>28374</v>
      </c>
      <c r="F247" s="31">
        <f>_xlfn.XLOOKUP($A247,'[1]FRV Output'!$F:$F,'[1]FRV Output'!$W:$W)</f>
        <v>144</v>
      </c>
      <c r="G247" s="59">
        <f>_xlfn.XLOOKUP($A247,'[1]FRV Output'!$F:$F,'[1]FRV Output'!$AO:$AO)</f>
        <v>29.730000000000018</v>
      </c>
      <c r="H247" s="63">
        <f t="shared" si="3"/>
        <v>47984</v>
      </c>
      <c r="I247" s="59">
        <f>_xlfn.XLOOKUP($A247,'[1]FRV Output'!$F:$F,'[1]FRV Output'!$Z:$Z)</f>
        <v>333.22222222222223</v>
      </c>
      <c r="J247" s="162">
        <v>29.25</v>
      </c>
      <c r="K247" s="164">
        <v>1.1162000000000001</v>
      </c>
      <c r="L247" s="59">
        <f>_xlfn.XLOOKUP(A247,'[1]Aging Schedule'!$OA:$OA,'[1]Aging Schedule'!$NW:$NW)</f>
        <v>29.730000000000018</v>
      </c>
      <c r="M247" s="59">
        <f>_xlfn.XLOOKUP(A247,'[1]FRV Output'!$F:$F,'[1]FRV Output'!$BC:$BC)</f>
        <v>11.645105264141815</v>
      </c>
      <c r="N247" s="68"/>
      <c r="O247" s="68"/>
      <c r="R247" s="31"/>
      <c r="T247" s="59"/>
      <c r="U247" s="108"/>
      <c r="V247" s="110"/>
    </row>
    <row r="248" spans="1:22" hidden="1" x14ac:dyDescent="0.25">
      <c r="A248">
        <v>1841390002</v>
      </c>
      <c r="B248" s="36">
        <v>0.68191182529872274</v>
      </c>
      <c r="C248" s="63">
        <f>_xlfn.XLOOKUP($A248,'[1]FRV Output'!$F:$F,'[1]FRV Output'!$M:$M)</f>
        <v>28834</v>
      </c>
      <c r="D248" s="63">
        <f>_xlfn.XLOOKUP($A248,'[1]FRV Output'!$F:$F,'[1]FRV Output'!$N:$N)</f>
        <v>28912.997260273976</v>
      </c>
      <c r="E248" s="31">
        <f>_xlfn.XLOOKUP(A248,'[1]FRV Output'!$F:$F,'[1]FRV Output'!$U:$U)</f>
        <v>28327</v>
      </c>
      <c r="F248" s="31">
        <f>_xlfn.XLOOKUP($A248,'[1]FRV Output'!$F:$F,'[1]FRV Output'!$W:$W)</f>
        <v>90</v>
      </c>
      <c r="G248" s="59">
        <f>_xlfn.XLOOKUP($A248,'[1]FRV Output'!$F:$F,'[1]FRV Output'!$AO:$AO)</f>
        <v>25.039999999999964</v>
      </c>
      <c r="H248" s="63">
        <f t="shared" si="3"/>
        <v>32654.941767172215</v>
      </c>
      <c r="I248" s="59">
        <f>_xlfn.XLOOKUP($A248,'[1]FRV Output'!$F:$F,'[1]FRV Output'!$Z:$Z)</f>
        <v>362.8326863019135</v>
      </c>
      <c r="J248" s="162">
        <v>29.25</v>
      </c>
      <c r="K248" s="164">
        <v>1.3977999999999999</v>
      </c>
      <c r="L248" s="59">
        <f>_xlfn.XLOOKUP(A248,'[1]Aging Schedule'!$OA:$OA,'[1]Aging Schedule'!$NW:$NW)</f>
        <v>25.039999999999964</v>
      </c>
      <c r="M248" s="59">
        <f>_xlfn.XLOOKUP(A248,'[1]FRV Output'!$F:$F,'[1]FRV Output'!$BC:$BC)</f>
        <v>13.077286190195876</v>
      </c>
      <c r="N248" s="68"/>
      <c r="O248" s="68"/>
      <c r="R248" s="31"/>
      <c r="T248" s="59"/>
      <c r="U248" s="108"/>
      <c r="V248" s="110"/>
    </row>
    <row r="249" spans="1:22" hidden="1" x14ac:dyDescent="0.25">
      <c r="A249">
        <v>1922456664</v>
      </c>
      <c r="B249" s="36">
        <v>0.64411395056556353</v>
      </c>
      <c r="C249" s="63">
        <f>_xlfn.XLOOKUP($A249,'[1]FRV Output'!$F:$F,'[1]FRV Output'!$M:$M)</f>
        <v>20731</v>
      </c>
      <c r="D249" s="63">
        <f>_xlfn.XLOOKUP($A249,'[1]FRV Output'!$F:$F,'[1]FRV Output'!$N:$N)</f>
        <v>20787.797260273976</v>
      </c>
      <c r="E249" s="31">
        <f>_xlfn.XLOOKUP(A249,'[1]FRV Output'!$F:$F,'[1]FRV Output'!$U:$U)</f>
        <v>28134</v>
      </c>
      <c r="F249" s="31">
        <f>_xlfn.XLOOKUP($A249,'[1]FRV Output'!$F:$F,'[1]FRV Output'!$W:$W)</f>
        <v>106</v>
      </c>
      <c r="G249" s="59">
        <f>_xlfn.XLOOKUP($A249,'[1]FRV Output'!$F:$F,'[1]FRV Output'!$AO:$AO)</f>
        <v>21.6400000000001</v>
      </c>
      <c r="H249" s="63">
        <f t="shared" si="3"/>
        <v>39750</v>
      </c>
      <c r="I249" s="59">
        <f>_xlfn.XLOOKUP($A249,'[1]FRV Output'!$F:$F,'[1]FRV Output'!$Z:$Z)</f>
        <v>375</v>
      </c>
      <c r="J249" s="162">
        <v>29.25</v>
      </c>
      <c r="K249" s="164">
        <v>1.3664000000000001</v>
      </c>
      <c r="L249" s="59">
        <f>_xlfn.XLOOKUP(A249,'[1]Aging Schedule'!$OA:$OA,'[1]Aging Schedule'!$NW:$NW)</f>
        <v>21.6400000000001</v>
      </c>
      <c r="M249" s="59">
        <f>_xlfn.XLOOKUP(A249,'[1]FRV Output'!$F:$F,'[1]FRV Output'!$BC:$BC)</f>
        <v>15.063922800362654</v>
      </c>
      <c r="N249" s="68"/>
      <c r="O249" s="68"/>
      <c r="R249" s="31"/>
      <c r="T249" s="59"/>
      <c r="U249" s="108"/>
      <c r="V249" s="110"/>
    </row>
    <row r="250" spans="1:22" hidden="1" x14ac:dyDescent="0.25">
      <c r="A250">
        <v>1073034138</v>
      </c>
      <c r="B250" s="36">
        <v>0.62728469074426085</v>
      </c>
      <c r="C250" s="63">
        <f>_xlfn.XLOOKUP($A250,'[1]FRV Output'!$F:$F,'[1]FRV Output'!$M:$M)</f>
        <v>32862</v>
      </c>
      <c r="D250" s="63">
        <f>_xlfn.XLOOKUP($A250,'[1]FRV Output'!$F:$F,'[1]FRV Output'!$N:$N)</f>
        <v>32952.032876712336</v>
      </c>
      <c r="E250" s="31">
        <f>_xlfn.XLOOKUP(A250,'[1]FRV Output'!$F:$F,'[1]FRV Output'!$U:$U)</f>
        <v>28715</v>
      </c>
      <c r="F250" s="31">
        <f>_xlfn.XLOOKUP($A250,'[1]FRV Output'!$F:$F,'[1]FRV Output'!$W:$W)</f>
        <v>118</v>
      </c>
      <c r="G250" s="59">
        <f>_xlfn.XLOOKUP($A250,'[1]FRV Output'!$F:$F,'[1]FRV Output'!$AO:$AO)</f>
        <v>2.0399999999999636</v>
      </c>
      <c r="H250" s="63">
        <f t="shared" si="3"/>
        <v>65000</v>
      </c>
      <c r="I250" s="59">
        <f>_xlfn.XLOOKUP($A250,'[1]FRV Output'!$F:$F,'[1]FRV Output'!$Z:$Z)</f>
        <v>550.84745762711862</v>
      </c>
      <c r="J250" s="162">
        <v>0</v>
      </c>
      <c r="K250" s="164">
        <v>1.1217999999999999</v>
      </c>
      <c r="L250" s="59">
        <f>_xlfn.XLOOKUP(A250,'[1]Aging Schedule'!$OA:$OA,'[1]Aging Schedule'!$NW:$NW)</f>
        <v>2.0399999999999636</v>
      </c>
      <c r="M250" s="59">
        <f>_xlfn.XLOOKUP(A250,'[1]FRV Output'!$F:$F,'[1]FRV Output'!$BC:$BC)</f>
        <v>34.265910137259382</v>
      </c>
      <c r="N250" s="68"/>
      <c r="O250" s="68"/>
      <c r="R250" s="31"/>
      <c r="T250" s="59"/>
      <c r="U250" s="108"/>
      <c r="V250" s="110"/>
    </row>
    <row r="251" spans="1:22" hidden="1" x14ac:dyDescent="0.25">
      <c r="A251">
        <v>1861003485</v>
      </c>
      <c r="B251" s="36">
        <v>0.63449899125756559</v>
      </c>
      <c r="C251" s="63">
        <f>_xlfn.XLOOKUP($A251,'[1]FRV Output'!$F:$F,'[1]FRV Output'!$M:$M)</f>
        <v>28969</v>
      </c>
      <c r="D251" s="63">
        <f>_xlfn.XLOOKUP($A251,'[1]FRV Output'!$F:$F,'[1]FRV Output'!$N:$N)</f>
        <v>29048.367123287673</v>
      </c>
      <c r="E251" s="31">
        <f>_xlfn.XLOOKUP(A251,'[1]FRV Output'!$F:$F,'[1]FRV Output'!$U:$U)</f>
        <v>27962</v>
      </c>
      <c r="F251" s="31">
        <f>_xlfn.XLOOKUP($A251,'[1]FRV Output'!$F:$F,'[1]FRV Output'!$W:$W)</f>
        <v>114</v>
      </c>
      <c r="G251" s="59">
        <f>_xlfn.XLOOKUP($A251,'[1]FRV Output'!$F:$F,'[1]FRV Output'!$AO:$AO)</f>
        <v>33.1400000000001</v>
      </c>
      <c r="H251" s="63">
        <f t="shared" si="3"/>
        <v>40405</v>
      </c>
      <c r="I251" s="59">
        <f>_xlfn.XLOOKUP($A251,'[1]FRV Output'!$F:$F,'[1]FRV Output'!$Z:$Z)</f>
        <v>354.42982456140351</v>
      </c>
      <c r="J251" s="162">
        <v>29.25</v>
      </c>
      <c r="K251" s="164">
        <v>1.2245999999999999</v>
      </c>
      <c r="L251" s="59">
        <f>_xlfn.XLOOKUP(A251,'[1]Aging Schedule'!$OA:$OA,'[1]Aging Schedule'!$NW:$NW)</f>
        <v>33.1400000000001</v>
      </c>
      <c r="M251" s="59">
        <f>_xlfn.XLOOKUP(A251,'[1]FRV Output'!$F:$F,'[1]FRV Output'!$BC:$BC)</f>
        <v>9.7299456739196319</v>
      </c>
      <c r="N251" s="68"/>
      <c r="O251" s="68"/>
      <c r="R251" s="31"/>
      <c r="T251" s="59"/>
      <c r="U251" s="108"/>
      <c r="V251" s="110"/>
    </row>
    <row r="252" spans="1:22" hidden="1" x14ac:dyDescent="0.25">
      <c r="A252">
        <v>1720085293</v>
      </c>
      <c r="B252" s="36">
        <v>0.66420396928871506</v>
      </c>
      <c r="C252" s="63">
        <f>_xlfn.XLOOKUP($A252,'[1]FRV Output'!$F:$F,'[1]FRV Output'!$M:$M)</f>
        <v>23100</v>
      </c>
      <c r="D252" s="63">
        <f>_xlfn.XLOOKUP($A252,'[1]FRV Output'!$F:$F,'[1]FRV Output'!$N:$N)</f>
        <v>23163.28767123288</v>
      </c>
      <c r="E252" s="31">
        <f>_xlfn.XLOOKUP(A252,'[1]FRV Output'!$F:$F,'[1]FRV Output'!$U:$U)</f>
        <v>28450</v>
      </c>
      <c r="F252" s="31">
        <f>_xlfn.XLOOKUP($A252,'[1]FRV Output'!$F:$F,'[1]FRV Output'!$W:$W)</f>
        <v>127</v>
      </c>
      <c r="G252" s="59">
        <f>_xlfn.XLOOKUP($A252,'[1]FRV Output'!$F:$F,'[1]FRV Output'!$AO:$AO)</f>
        <v>34.079999999999927</v>
      </c>
      <c r="H252" s="63">
        <f t="shared" si="3"/>
        <v>44849.588697017272</v>
      </c>
      <c r="I252" s="59">
        <f>_xlfn.XLOOKUP($A252,'[1]FRV Output'!$F:$F,'[1]FRV Output'!$Z:$Z)</f>
        <v>353.1463676930494</v>
      </c>
      <c r="J252" s="162">
        <v>29.25</v>
      </c>
      <c r="K252" s="164">
        <v>1.1859999999999999</v>
      </c>
      <c r="L252" s="59">
        <f>_xlfn.XLOOKUP(A252,'[1]Aging Schedule'!$OA:$OA,'[1]Aging Schedule'!$NW:$NW)</f>
        <v>34.079999999999927</v>
      </c>
      <c r="M252" s="59">
        <f>_xlfn.XLOOKUP(A252,'[1]FRV Output'!$F:$F,'[1]FRV Output'!$BC:$BC)</f>
        <v>9.6325324504210315</v>
      </c>
      <c r="N252" s="68"/>
      <c r="O252" s="68"/>
      <c r="R252" s="31"/>
      <c r="T252" s="59"/>
      <c r="U252" s="108"/>
      <c r="V252" s="110"/>
    </row>
    <row r="253" spans="1:22" hidden="1" x14ac:dyDescent="0.25">
      <c r="A253">
        <v>1801428768</v>
      </c>
      <c r="B253" s="36">
        <v>0.67854677793813134</v>
      </c>
      <c r="C253" s="63">
        <f>_xlfn.XLOOKUP($A253,'[1]FRV Output'!$F:$F,'[1]FRV Output'!$M:$M)</f>
        <v>25208</v>
      </c>
      <c r="D253" s="63">
        <f>_xlfn.XLOOKUP($A253,'[1]FRV Output'!$F:$F,'[1]FRV Output'!$N:$N)</f>
        <v>25277.063013698633</v>
      </c>
      <c r="E253" s="31">
        <f>_xlfn.XLOOKUP(A253,'[1]FRV Output'!$F:$F,'[1]FRV Output'!$U:$U)</f>
        <v>27302</v>
      </c>
      <c r="F253" s="31">
        <f>_xlfn.XLOOKUP($A253,'[1]FRV Output'!$F:$F,'[1]FRV Output'!$W:$W)</f>
        <v>117</v>
      </c>
      <c r="G253" s="59">
        <f>_xlfn.XLOOKUP($A253,'[1]FRV Output'!$F:$F,'[1]FRV Output'!$AO:$AO)</f>
        <v>23.119999999999891</v>
      </c>
      <c r="H253" s="63">
        <f t="shared" si="3"/>
        <v>67036</v>
      </c>
      <c r="I253" s="59">
        <f>_xlfn.XLOOKUP($A253,'[1]FRV Output'!$F:$F,'[1]FRV Output'!$Z:$Z)</f>
        <v>572.95726495726501</v>
      </c>
      <c r="J253" s="162">
        <v>29.25</v>
      </c>
      <c r="K253" s="164">
        <v>1.3216000000000001</v>
      </c>
      <c r="L253" s="59">
        <f>_xlfn.XLOOKUP(A253,'[1]Aging Schedule'!$OA:$OA,'[1]Aging Schedule'!$NW:$NW)</f>
        <v>23.119999999999891</v>
      </c>
      <c r="M253" s="59">
        <f>_xlfn.XLOOKUP(A253,'[1]FRV Output'!$F:$F,'[1]FRV Output'!$BC:$BC)</f>
        <v>22.703395349346227</v>
      </c>
      <c r="N253" s="68"/>
      <c r="O253" s="68"/>
      <c r="R253" s="31"/>
      <c r="T253" s="59"/>
      <c r="U253" s="108"/>
      <c r="V253" s="110"/>
    </row>
    <row r="254" spans="1:22" hidden="1" x14ac:dyDescent="0.25">
      <c r="A254">
        <v>1548696834</v>
      </c>
      <c r="B254" s="36">
        <v>0.63254871695928994</v>
      </c>
      <c r="C254" s="63">
        <f>_xlfn.XLOOKUP($A254,'[1]FRV Output'!$F:$F,'[1]FRV Output'!$M:$M)</f>
        <v>14231</v>
      </c>
      <c r="D254" s="63">
        <f>_xlfn.XLOOKUP($A254,'[1]FRV Output'!$F:$F,'[1]FRV Output'!$N:$N)</f>
        <v>14269.989041095892</v>
      </c>
      <c r="E254" s="31">
        <f>_xlfn.XLOOKUP(A254,'[1]FRV Output'!$F:$F,'[1]FRV Output'!$U:$U)</f>
        <v>28374</v>
      </c>
      <c r="F254" s="31">
        <f>_xlfn.XLOOKUP($A254,'[1]FRV Output'!$F:$F,'[1]FRV Output'!$W:$W)</f>
        <v>60</v>
      </c>
      <c r="G254" s="59">
        <f>_xlfn.XLOOKUP($A254,'[1]FRV Output'!$F:$F,'[1]FRV Output'!$AO:$AO)</f>
        <v>20.339999999999918</v>
      </c>
      <c r="H254" s="63">
        <f t="shared" si="3"/>
        <v>34857.427555781251</v>
      </c>
      <c r="I254" s="59">
        <f>_xlfn.XLOOKUP($A254,'[1]FRV Output'!$F:$F,'[1]FRV Output'!$Z:$Z)</f>
        <v>580.95712592968755</v>
      </c>
      <c r="J254" s="162">
        <v>0</v>
      </c>
      <c r="K254" s="164">
        <v>1.1540999999999999</v>
      </c>
      <c r="L254" s="59">
        <f>_xlfn.XLOOKUP(A254,'[1]Aging Schedule'!$OA:$OA,'[1]Aging Schedule'!$NW:$NW)</f>
        <v>20.339999999999918</v>
      </c>
      <c r="M254" s="59">
        <f>_xlfn.XLOOKUP(A254,'[1]FRV Output'!$F:$F,'[1]FRV Output'!$BC:$BC)</f>
        <v>24.943836676137959</v>
      </c>
      <c r="N254" s="68"/>
      <c r="O254" s="68"/>
      <c r="R254" s="31"/>
      <c r="T254" s="59"/>
      <c r="U254" s="108"/>
      <c r="V254" s="110"/>
    </row>
    <row r="255" spans="1:22" hidden="1" x14ac:dyDescent="0.25">
      <c r="A255">
        <v>1396161527</v>
      </c>
      <c r="B255" s="36">
        <v>0.57507967639127233</v>
      </c>
      <c r="C255" s="63">
        <f>_xlfn.XLOOKUP($A255,'[1]FRV Output'!$F:$F,'[1]FRV Output'!$M:$M)</f>
        <v>29392</v>
      </c>
      <c r="D255" s="63">
        <f>_xlfn.XLOOKUP($A255,'[1]FRV Output'!$F:$F,'[1]FRV Output'!$N:$N)</f>
        <v>29472.526027397264</v>
      </c>
      <c r="E255" s="31">
        <f>_xlfn.XLOOKUP(A255,'[1]FRV Output'!$F:$F,'[1]FRV Output'!$U:$U)</f>
        <v>27605</v>
      </c>
      <c r="F255" s="31">
        <f>_xlfn.XLOOKUP($A255,'[1]FRV Output'!$F:$F,'[1]FRV Output'!$W:$W)</f>
        <v>157</v>
      </c>
      <c r="G255" s="59">
        <f>_xlfn.XLOOKUP($A255,'[1]FRV Output'!$F:$F,'[1]FRV Output'!$AO:$AO)</f>
        <v>15.670000000000073</v>
      </c>
      <c r="H255" s="63">
        <f t="shared" si="3"/>
        <v>68791</v>
      </c>
      <c r="I255" s="59">
        <f>_xlfn.XLOOKUP($A255,'[1]FRV Output'!$F:$F,'[1]FRV Output'!$Z:$Z)</f>
        <v>438.15923566878979</v>
      </c>
      <c r="J255" s="162">
        <v>29.25</v>
      </c>
      <c r="K255" s="164">
        <v>1.1324000000000001</v>
      </c>
      <c r="L255" s="59">
        <f>_xlfn.XLOOKUP(A255,'[1]Aging Schedule'!$OA:$OA,'[1]Aging Schedule'!$NW:$NW)</f>
        <v>15.670000000000073</v>
      </c>
      <c r="M255" s="59">
        <f>_xlfn.XLOOKUP(A255,'[1]FRV Output'!$F:$F,'[1]FRV Output'!$BC:$BC)</f>
        <v>21.318924712008549</v>
      </c>
      <c r="N255" s="68"/>
      <c r="O255" s="68"/>
      <c r="R255" s="31"/>
      <c r="T255" s="59"/>
      <c r="U255" s="108"/>
      <c r="V255" s="110"/>
    </row>
    <row r="256" spans="1:22" hidden="1" x14ac:dyDescent="0.25">
      <c r="A256">
        <v>1043703945</v>
      </c>
      <c r="B256" s="36">
        <v>0.61678186786690248</v>
      </c>
      <c r="C256" s="63">
        <f>_xlfn.XLOOKUP($A256,'[1]FRV Output'!$F:$F,'[1]FRV Output'!$M:$M)</f>
        <v>24903</v>
      </c>
      <c r="D256" s="63">
        <f>_xlfn.XLOOKUP($A256,'[1]FRV Output'!$F:$F,'[1]FRV Output'!$N:$N)</f>
        <v>24971.227397260278</v>
      </c>
      <c r="E256" s="31">
        <f>_xlfn.XLOOKUP(A256,'[1]FRV Output'!$F:$F,'[1]FRV Output'!$U:$U)</f>
        <v>28052</v>
      </c>
      <c r="F256" s="31">
        <f>_xlfn.XLOOKUP($A256,'[1]FRV Output'!$F:$F,'[1]FRV Output'!$W:$W)</f>
        <v>118</v>
      </c>
      <c r="G256" s="59">
        <f>_xlfn.XLOOKUP($A256,'[1]FRV Output'!$F:$F,'[1]FRV Output'!$AO:$AO)</f>
        <v>4.3099999999999454</v>
      </c>
      <c r="H256" s="63">
        <f t="shared" si="3"/>
        <v>35196</v>
      </c>
      <c r="I256" s="59">
        <f>_xlfn.XLOOKUP($A256,'[1]FRV Output'!$F:$F,'[1]FRV Output'!$Z:$Z)</f>
        <v>298.27118644067798</v>
      </c>
      <c r="J256" s="162">
        <v>29.25</v>
      </c>
      <c r="K256" s="164">
        <v>1.2994000000000001</v>
      </c>
      <c r="L256" s="59">
        <f>_xlfn.XLOOKUP(A256,'[1]Aging Schedule'!$OA:$OA,'[1]Aging Schedule'!$NW:$NW)</f>
        <v>4.3099999999999454</v>
      </c>
      <c r="M256" s="59">
        <f>_xlfn.XLOOKUP(A256,'[1]FRV Output'!$F:$F,'[1]FRV Output'!$BC:$BC)</f>
        <v>26.548827304834841</v>
      </c>
      <c r="N256" s="68"/>
      <c r="O256" s="68"/>
      <c r="R256" s="31"/>
      <c r="T256" s="59"/>
      <c r="U256" s="108"/>
      <c r="V256" s="110"/>
    </row>
    <row r="257" spans="1:22" hidden="1" x14ac:dyDescent="0.25">
      <c r="A257">
        <v>1275823155</v>
      </c>
      <c r="B257" s="36">
        <v>0.61876789778985242</v>
      </c>
      <c r="C257" s="63">
        <f>_xlfn.XLOOKUP($A257,'[1]FRV Output'!$F:$F,'[1]FRV Output'!$M:$M)</f>
        <v>36137</v>
      </c>
      <c r="D257" s="63">
        <f>_xlfn.XLOOKUP($A257,'[1]FRV Output'!$F:$F,'[1]FRV Output'!$N:$N)</f>
        <v>36236.005479452062</v>
      </c>
      <c r="E257" s="31">
        <f>_xlfn.XLOOKUP(A257,'[1]FRV Output'!$F:$F,'[1]FRV Output'!$U:$U)</f>
        <v>27253</v>
      </c>
      <c r="F257" s="31">
        <f>_xlfn.XLOOKUP($A257,'[1]FRV Output'!$F:$F,'[1]FRV Output'!$W:$W)</f>
        <v>120</v>
      </c>
      <c r="G257" s="59">
        <f>_xlfn.XLOOKUP($A257,'[1]FRV Output'!$F:$F,'[1]FRV Output'!$AO:$AO)</f>
        <v>8</v>
      </c>
      <c r="H257" s="63">
        <f t="shared" si="3"/>
        <v>60812.957746478874</v>
      </c>
      <c r="I257" s="59">
        <f>_xlfn.XLOOKUP($A257,'[1]FRV Output'!$F:$F,'[1]FRV Output'!$Z:$Z)</f>
        <v>506.77464788732397</v>
      </c>
      <c r="J257" s="162">
        <v>29.25</v>
      </c>
      <c r="K257" s="164">
        <v>1.3594999999999999</v>
      </c>
      <c r="L257" s="59">
        <f>_xlfn.XLOOKUP(A257,'[1]Aging Schedule'!$OA:$OA,'[1]Aging Schedule'!$NW:$NW)</f>
        <v>8</v>
      </c>
      <c r="M257" s="59">
        <f>_xlfn.XLOOKUP(A257,'[1]FRV Output'!$F:$F,'[1]FRV Output'!$BC:$BC)</f>
        <v>29.125973937957802</v>
      </c>
      <c r="N257" s="68"/>
      <c r="O257" s="68"/>
      <c r="R257" s="31"/>
      <c r="T257" s="59"/>
      <c r="U257" s="108"/>
      <c r="V257" s="110"/>
    </row>
    <row r="258" spans="1:22" hidden="1" x14ac:dyDescent="0.25">
      <c r="A258">
        <v>1134660103</v>
      </c>
      <c r="B258" s="36">
        <v>0.68245552842692714</v>
      </c>
      <c r="C258" s="63">
        <f>_xlfn.XLOOKUP($A258,'[1]FRV Output'!$F:$F,'[1]FRV Output'!$M:$M)</f>
        <v>34991</v>
      </c>
      <c r="D258" s="63">
        <f>_xlfn.XLOOKUP($A258,'[1]FRV Output'!$F:$F,'[1]FRV Output'!$N:$N)</f>
        <v>35086.865753424659</v>
      </c>
      <c r="E258" s="31">
        <f>_xlfn.XLOOKUP(A258,'[1]FRV Output'!$F:$F,'[1]FRV Output'!$U:$U)</f>
        <v>28304</v>
      </c>
      <c r="F258" s="31">
        <f>_xlfn.XLOOKUP($A258,'[1]FRV Output'!$F:$F,'[1]FRV Output'!$W:$W)</f>
        <v>170</v>
      </c>
      <c r="G258" s="59">
        <f>_xlfn.XLOOKUP($A258,'[1]FRV Output'!$F:$F,'[1]FRV Output'!$AO:$AO)</f>
        <v>10.160000000000082</v>
      </c>
      <c r="H258" s="63">
        <f t="shared" si="3"/>
        <v>67705</v>
      </c>
      <c r="I258" s="59">
        <f>_xlfn.XLOOKUP($A258,'[1]FRV Output'!$F:$F,'[1]FRV Output'!$Z:$Z)</f>
        <v>398.26470588235293</v>
      </c>
      <c r="J258" s="162">
        <v>29.25</v>
      </c>
      <c r="K258" s="164">
        <v>1.5018</v>
      </c>
      <c r="L258" s="59">
        <f>_xlfn.XLOOKUP(A258,'[1]Aging Schedule'!$OA:$OA,'[1]Aging Schedule'!$NW:$NW)</f>
        <v>10.160000000000082</v>
      </c>
      <c r="M258" s="59">
        <f>_xlfn.XLOOKUP(A258,'[1]FRV Output'!$F:$F,'[1]FRV Output'!$BC:$BC)</f>
        <v>23.358733373569706</v>
      </c>
      <c r="N258" s="68"/>
      <c r="O258" s="68"/>
      <c r="R258" s="31"/>
      <c r="T258" s="59"/>
      <c r="U258" s="108"/>
      <c r="V258" s="110"/>
    </row>
    <row r="259" spans="1:22" hidden="1" x14ac:dyDescent="0.25">
      <c r="A259">
        <v>1336565779</v>
      </c>
      <c r="B259" s="36">
        <v>0.63262111606793459</v>
      </c>
      <c r="C259" s="63">
        <f>_xlfn.XLOOKUP($A259,'[1]FRV Output'!$F:$F,'[1]FRV Output'!$M:$M)</f>
        <v>37525</v>
      </c>
      <c r="D259" s="63">
        <f>_xlfn.XLOOKUP($A259,'[1]FRV Output'!$F:$F,'[1]FRV Output'!$N:$N)</f>
        <v>37627.808219178085</v>
      </c>
      <c r="E259" s="31">
        <f>_xlfn.XLOOKUP(A259,'[1]FRV Output'!$F:$F,'[1]FRV Output'!$U:$U)</f>
        <v>28112</v>
      </c>
      <c r="F259" s="31">
        <f>_xlfn.XLOOKUP($A259,'[1]FRV Output'!$F:$F,'[1]FRV Output'!$W:$W)</f>
        <v>147</v>
      </c>
      <c r="G259" s="59">
        <f>_xlfn.XLOOKUP($A259,'[1]FRV Output'!$F:$F,'[1]FRV Output'!$AO:$AO)</f>
        <v>22.25</v>
      </c>
      <c r="H259" s="63">
        <f t="shared" ref="H259:H322" si="4">+I259*F259</f>
        <v>53160.000000000007</v>
      </c>
      <c r="I259" s="59">
        <f>_xlfn.XLOOKUP($A259,'[1]FRV Output'!$F:$F,'[1]FRV Output'!$Z:$Z)</f>
        <v>361.63265306122452</v>
      </c>
      <c r="J259" s="162">
        <v>29.25</v>
      </c>
      <c r="K259" s="164">
        <v>1.1519999999999999</v>
      </c>
      <c r="L259" s="59">
        <f>_xlfn.XLOOKUP(A259,'[1]Aging Schedule'!$OA:$OA,'[1]Aging Schedule'!$NW:$NW)</f>
        <v>22.25</v>
      </c>
      <c r="M259" s="59">
        <f>_xlfn.XLOOKUP(A259,'[1]FRV Output'!$F:$F,'[1]FRV Output'!$BC:$BC)</f>
        <v>15.806808882957272</v>
      </c>
      <c r="N259" s="68"/>
      <c r="O259" s="68"/>
      <c r="R259" s="31"/>
      <c r="T259" s="59"/>
      <c r="U259" s="108"/>
      <c r="V259" s="110"/>
    </row>
    <row r="260" spans="1:22" hidden="1" x14ac:dyDescent="0.25">
      <c r="A260">
        <v>1770582363</v>
      </c>
      <c r="B260" s="36">
        <v>0.60729633781763825</v>
      </c>
      <c r="C260" s="63">
        <f>_xlfn.XLOOKUP($A260,'[1]FRV Output'!$F:$F,'[1]FRV Output'!$M:$M)</f>
        <v>0</v>
      </c>
      <c r="D260" s="63">
        <f>_xlfn.XLOOKUP($A260,'[1]FRV Output'!$F:$F,'[1]FRV Output'!$N:$N)</f>
        <v>0</v>
      </c>
      <c r="E260" s="31">
        <f>_xlfn.XLOOKUP(A260,'[1]FRV Output'!$F:$F,'[1]FRV Output'!$U:$U)</f>
        <v>27502</v>
      </c>
      <c r="F260" s="31">
        <f>_xlfn.XLOOKUP($A260,'[1]FRV Output'!$F:$F,'[1]FRV Output'!$W:$W)</f>
        <v>107</v>
      </c>
      <c r="G260" s="59">
        <f>_xlfn.XLOOKUP($A260,'[1]FRV Output'!$F:$F,'[1]FRV Output'!$AO:$AO)</f>
        <v>6.8699999999998909</v>
      </c>
      <c r="H260" s="63">
        <f t="shared" si="4"/>
        <v>45475</v>
      </c>
      <c r="I260" s="59">
        <f>_xlfn.XLOOKUP($A260,'[1]FRV Output'!$F:$F,'[1]FRV Output'!$Z:$Z)</f>
        <v>425</v>
      </c>
      <c r="J260" s="162">
        <v>29.25</v>
      </c>
      <c r="K260" s="164">
        <v>0.92120000000000002</v>
      </c>
      <c r="L260" s="59">
        <f>_xlfn.XLOOKUP(A260,'[1]Aging Schedule'!$OA:$OA,'[1]Aging Schedule'!$NW:$NW)</f>
        <v>6.8699999999998909</v>
      </c>
      <c r="M260" s="59">
        <f>_xlfn.XLOOKUP(A260,'[1]FRV Output'!$F:$F,'[1]FRV Output'!$BC:$BC)</f>
        <v>25.080292617969395</v>
      </c>
      <c r="N260" s="68"/>
      <c r="O260" s="68"/>
      <c r="R260" s="31"/>
      <c r="T260" s="59"/>
      <c r="U260" s="108"/>
      <c r="V260" s="110"/>
    </row>
    <row r="261" spans="1:22" hidden="1" x14ac:dyDescent="0.25">
      <c r="A261">
        <v>1932889078</v>
      </c>
      <c r="B261" s="36">
        <v>0.65004474090946063</v>
      </c>
      <c r="C261" s="63">
        <f>_xlfn.XLOOKUP($A261,'[1]FRV Output'!$F:$F,'[1]FRV Output'!$M:$M)</f>
        <v>14579</v>
      </c>
      <c r="D261" s="63">
        <f>_xlfn.XLOOKUP($A261,'[1]FRV Output'!$F:$F,'[1]FRV Output'!$N:$N)</f>
        <v>14618.942465753425</v>
      </c>
      <c r="E261" s="31">
        <f>_xlfn.XLOOKUP(A261,'[1]FRV Output'!$F:$F,'[1]FRV Output'!$U:$U)</f>
        <v>28806</v>
      </c>
      <c r="F261" s="31">
        <f>_xlfn.XLOOKUP($A261,'[1]FRV Output'!$F:$F,'[1]FRV Output'!$W:$W)</f>
        <v>100</v>
      </c>
      <c r="G261" s="59">
        <f>_xlfn.XLOOKUP($A261,'[1]FRV Output'!$F:$F,'[1]FRV Output'!$AO:$AO)</f>
        <v>7.3399999999999181</v>
      </c>
      <c r="H261" s="63">
        <f t="shared" si="4"/>
        <v>42500</v>
      </c>
      <c r="I261" s="59">
        <f>_xlfn.XLOOKUP($A261,'[1]FRV Output'!$F:$F,'[1]FRV Output'!$Z:$Z)</f>
        <v>425</v>
      </c>
      <c r="J261" s="162">
        <v>29.25</v>
      </c>
      <c r="K261" s="164">
        <v>1.2435</v>
      </c>
      <c r="L261" s="59">
        <f>_xlfn.XLOOKUP(A261,'[1]Aging Schedule'!$OA:$OA,'[1]Aging Schedule'!$NW:$NW)</f>
        <v>7.3399999999999181</v>
      </c>
      <c r="M261" s="59">
        <f>_xlfn.XLOOKUP(A261,'[1]FRV Output'!$F:$F,'[1]FRV Output'!$BC:$BC)</f>
        <v>24.512125728444847</v>
      </c>
      <c r="N261" s="68"/>
      <c r="O261" s="68"/>
      <c r="R261" s="31"/>
      <c r="T261" s="59"/>
      <c r="U261" s="108"/>
      <c r="V261" s="110"/>
    </row>
    <row r="262" spans="1:22" hidden="1" x14ac:dyDescent="0.25">
      <c r="A262">
        <v>1306293170</v>
      </c>
      <c r="B262" s="36">
        <v>0.60851405622489962</v>
      </c>
      <c r="C262" s="63">
        <f>_xlfn.XLOOKUP($A262,'[1]FRV Output'!$F:$F,'[1]FRV Output'!$M:$M)</f>
        <v>35814</v>
      </c>
      <c r="D262" s="63">
        <f>_xlfn.XLOOKUP($A262,'[1]FRV Output'!$F:$F,'[1]FRV Output'!$N:$N)</f>
        <v>35912.120547945211</v>
      </c>
      <c r="E262" s="31">
        <f>_xlfn.XLOOKUP(A262,'[1]FRV Output'!$F:$F,'[1]FRV Output'!$U:$U)</f>
        <v>27889</v>
      </c>
      <c r="F262" s="31">
        <f>_xlfn.XLOOKUP($A262,'[1]FRV Output'!$F:$F,'[1]FRV Output'!$W:$W)</f>
        <v>128</v>
      </c>
      <c r="G262" s="59">
        <f>_xlfn.XLOOKUP($A262,'[1]FRV Output'!$F:$F,'[1]FRV Output'!$AO:$AO)</f>
        <v>35.5</v>
      </c>
      <c r="H262" s="63">
        <f t="shared" si="4"/>
        <v>41600</v>
      </c>
      <c r="I262" s="59">
        <f>_xlfn.XLOOKUP($A262,'[1]FRV Output'!$F:$F,'[1]FRV Output'!$Z:$Z)</f>
        <v>325</v>
      </c>
      <c r="J262" s="162">
        <v>29.25</v>
      </c>
      <c r="K262" s="164">
        <v>1.292</v>
      </c>
      <c r="L262" s="59">
        <f>_xlfn.XLOOKUP(A262,'[1]Aging Schedule'!$OA:$OA,'[1]Aging Schedule'!$NW:$NW)</f>
        <v>42.170000000000073</v>
      </c>
      <c r="M262" s="59">
        <f>_xlfn.XLOOKUP(A262,'[1]FRV Output'!$F:$F,'[1]FRV Output'!$BC:$BC)</f>
        <v>8.4499932473811441</v>
      </c>
      <c r="N262" s="68"/>
      <c r="O262" s="68"/>
      <c r="R262" s="31"/>
      <c r="T262" s="59"/>
      <c r="U262" s="108"/>
      <c r="V262" s="110"/>
    </row>
    <row r="263" spans="1:22" hidden="1" x14ac:dyDescent="0.25">
      <c r="A263">
        <v>1518968890</v>
      </c>
      <c r="B263" s="36">
        <v>0.69984476303533927</v>
      </c>
      <c r="C263" s="63">
        <f>_xlfn.XLOOKUP($A263,'[1]FRV Output'!$F:$F,'[1]FRV Output'!$M:$M)</f>
        <v>12558</v>
      </c>
      <c r="D263" s="63">
        <f>_xlfn.XLOOKUP($A263,'[1]FRV Output'!$F:$F,'[1]FRV Output'!$N:$N)</f>
        <v>12592.405479452056</v>
      </c>
      <c r="E263" s="31">
        <f>_xlfn.XLOOKUP(A263,'[1]FRV Output'!$F:$F,'[1]FRV Output'!$U:$U)</f>
        <v>27235</v>
      </c>
      <c r="F263" s="31">
        <f>_xlfn.XLOOKUP($A263,'[1]FRV Output'!$F:$F,'[1]FRV Output'!$W:$W)</f>
        <v>60</v>
      </c>
      <c r="G263" s="59">
        <f>_xlfn.XLOOKUP($A263,'[1]FRV Output'!$F:$F,'[1]FRV Output'!$AO:$AO)</f>
        <v>13.950000000000045</v>
      </c>
      <c r="H263" s="63">
        <f t="shared" si="4"/>
        <v>24000</v>
      </c>
      <c r="I263" s="59">
        <f>_xlfn.XLOOKUP($A263,'[1]FRV Output'!$F:$F,'[1]FRV Output'!$Z:$Z)</f>
        <v>400</v>
      </c>
      <c r="J263" s="162">
        <v>0</v>
      </c>
      <c r="K263" s="164">
        <v>1.0327</v>
      </c>
      <c r="L263" s="59">
        <f>_xlfn.XLOOKUP(A263,'[1]Aging Schedule'!$OA:$OA,'[1]Aging Schedule'!$NW:$NW)</f>
        <v>13.950000000000045</v>
      </c>
      <c r="M263" s="59">
        <f>_xlfn.XLOOKUP(A263,'[1]FRV Output'!$F:$F,'[1]FRV Output'!$BC:$BC)</f>
        <v>20.589976515713108</v>
      </c>
      <c r="N263" s="68"/>
      <c r="O263" s="68"/>
      <c r="R263" s="31"/>
      <c r="T263" s="59"/>
      <c r="U263" s="108"/>
      <c r="V263" s="110"/>
    </row>
    <row r="264" spans="1:22" hidden="1" x14ac:dyDescent="0.25">
      <c r="A264">
        <v>1033513320</v>
      </c>
      <c r="B264" s="36">
        <v>0.5804727303098639</v>
      </c>
      <c r="C264" s="63">
        <f>_xlfn.XLOOKUP($A264,'[1]FRV Output'!$F:$F,'[1]FRV Output'!$M:$M)</f>
        <v>30667</v>
      </c>
      <c r="D264" s="63">
        <f>_xlfn.XLOOKUP($A264,'[1]FRV Output'!$F:$F,'[1]FRV Output'!$N:$N)</f>
        <v>30751.019178082195</v>
      </c>
      <c r="E264" s="31">
        <f>_xlfn.XLOOKUP(A264,'[1]FRV Output'!$F:$F,'[1]FRV Output'!$U:$U)</f>
        <v>28379</v>
      </c>
      <c r="F264" s="31">
        <f>_xlfn.XLOOKUP($A264,'[1]FRV Output'!$F:$F,'[1]FRV Output'!$W:$W)</f>
        <v>120</v>
      </c>
      <c r="G264" s="59">
        <f>_xlfn.XLOOKUP($A264,'[1]FRV Output'!$F:$F,'[1]FRV Output'!$AO:$AO)</f>
        <v>25.720000000000027</v>
      </c>
      <c r="H264" s="63">
        <f t="shared" si="4"/>
        <v>34530</v>
      </c>
      <c r="I264" s="59">
        <f>_xlfn.XLOOKUP($A264,'[1]FRV Output'!$F:$F,'[1]FRV Output'!$Z:$Z)</f>
        <v>287.75</v>
      </c>
      <c r="J264" s="162">
        <v>29.25</v>
      </c>
      <c r="K264" s="164">
        <v>1.1497999999999999</v>
      </c>
      <c r="L264" s="59">
        <f>_xlfn.XLOOKUP(A264,'[1]Aging Schedule'!$OA:$OA,'[1]Aging Schedule'!$NW:$NW)</f>
        <v>25.720000000000027</v>
      </c>
      <c r="M264" s="59">
        <f>_xlfn.XLOOKUP(A264,'[1]FRV Output'!$F:$F,'[1]FRV Output'!$BC:$BC)</f>
        <v>14.191189854149865</v>
      </c>
      <c r="N264" s="68"/>
      <c r="O264" s="68"/>
      <c r="R264" s="31"/>
      <c r="T264" s="59"/>
      <c r="U264" s="108"/>
      <c r="V264" s="110"/>
    </row>
    <row r="265" spans="1:22" hidden="1" x14ac:dyDescent="0.25">
      <c r="A265">
        <v>1770149270</v>
      </c>
      <c r="B265" s="36">
        <v>0.60952630201517932</v>
      </c>
      <c r="C265" s="63">
        <f>_xlfn.XLOOKUP($A265,'[1]FRV Output'!$F:$F,'[1]FRV Output'!$M:$M)</f>
        <v>29859</v>
      </c>
      <c r="D265" s="63">
        <f>_xlfn.XLOOKUP($A265,'[1]FRV Output'!$F:$F,'[1]FRV Output'!$N:$N)</f>
        <v>29940.805479452058</v>
      </c>
      <c r="E265" s="31">
        <f>_xlfn.XLOOKUP(A265,'[1]FRV Output'!$F:$F,'[1]FRV Output'!$U:$U)</f>
        <v>27704</v>
      </c>
      <c r="F265" s="31">
        <f>_xlfn.XLOOKUP($A265,'[1]FRV Output'!$F:$F,'[1]FRV Output'!$W:$W)</f>
        <v>111</v>
      </c>
      <c r="G265" s="59">
        <f>_xlfn.XLOOKUP($A265,'[1]FRV Output'!$F:$F,'[1]FRV Output'!$AO:$AO)</f>
        <v>6.7899999999999636</v>
      </c>
      <c r="H265" s="63">
        <f t="shared" si="4"/>
        <v>34618</v>
      </c>
      <c r="I265" s="59">
        <f>_xlfn.XLOOKUP($A265,'[1]FRV Output'!$F:$F,'[1]FRV Output'!$Z:$Z)</f>
        <v>311.87387387387389</v>
      </c>
      <c r="J265" s="162">
        <v>29.25</v>
      </c>
      <c r="K265" s="164">
        <v>1.2355</v>
      </c>
      <c r="L265" s="59">
        <f>_xlfn.XLOOKUP(A265,'[1]Aging Schedule'!$OA:$OA,'[1]Aging Schedule'!$NW:$NW)</f>
        <v>6.7899999999999636</v>
      </c>
      <c r="M265" s="59">
        <f>_xlfn.XLOOKUP(A265,'[1]FRV Output'!$F:$F,'[1]FRV Output'!$BC:$BC)</f>
        <v>25.485183214665597</v>
      </c>
      <c r="N265" s="68"/>
      <c r="O265" s="68"/>
      <c r="R265" s="31"/>
      <c r="T265" s="59"/>
      <c r="U265" s="108"/>
      <c r="V265" s="110"/>
    </row>
    <row r="266" spans="1:22" hidden="1" x14ac:dyDescent="0.25">
      <c r="A266">
        <v>1104471531</v>
      </c>
      <c r="B266" s="36">
        <v>0.6687892456000708</v>
      </c>
      <c r="C266" s="63">
        <f>_xlfn.XLOOKUP($A266,'[1]FRV Output'!$F:$F,'[1]FRV Output'!$M:$M)</f>
        <v>29201</v>
      </c>
      <c r="D266" s="63">
        <f>_xlfn.XLOOKUP($A266,'[1]FRV Output'!$F:$F,'[1]FRV Output'!$N:$N)</f>
        <v>29281.002739726031</v>
      </c>
      <c r="E266" s="31">
        <f>_xlfn.XLOOKUP(A266,'[1]FRV Output'!$F:$F,'[1]FRV Output'!$U:$U)</f>
        <v>27573</v>
      </c>
      <c r="F266" s="31">
        <f>_xlfn.XLOOKUP($A266,'[1]FRV Output'!$F:$F,'[1]FRV Output'!$W:$W)</f>
        <v>140</v>
      </c>
      <c r="G266" s="59">
        <f>_xlfn.XLOOKUP($A266,'[1]FRV Output'!$F:$F,'[1]FRV Output'!$AO:$AO)</f>
        <v>35.5</v>
      </c>
      <c r="H266" s="63">
        <f t="shared" si="4"/>
        <v>45816.226901763221</v>
      </c>
      <c r="I266" s="59">
        <f>_xlfn.XLOOKUP($A266,'[1]FRV Output'!$F:$F,'[1]FRV Output'!$Z:$Z)</f>
        <v>327.25876358402303</v>
      </c>
      <c r="J266" s="162">
        <v>29.25</v>
      </c>
      <c r="K266" s="164">
        <v>1.1921999999999999</v>
      </c>
      <c r="L266" s="59">
        <f>_xlfn.XLOOKUP(A266,'[1]Aging Schedule'!$OA:$OA,'[1]Aging Schedule'!$NW:$NW)</f>
        <v>38.210000000000036</v>
      </c>
      <c r="M266" s="59">
        <f>_xlfn.XLOOKUP(A266,'[1]FRV Output'!$F:$F,'[1]FRV Output'!$BC:$BC)</f>
        <v>8.6904520668968193</v>
      </c>
      <c r="N266" s="68"/>
      <c r="O266" s="68"/>
      <c r="R266" s="31"/>
      <c r="T266" s="59"/>
      <c r="U266" s="108"/>
      <c r="V266" s="110"/>
    </row>
    <row r="267" spans="1:22" hidden="1" x14ac:dyDescent="0.25">
      <c r="A267">
        <v>1568454262</v>
      </c>
      <c r="B267" s="36">
        <v>0.58735421230240958</v>
      </c>
      <c r="C267" s="63">
        <f>_xlfn.XLOOKUP($A267,'[1]FRV Output'!$F:$F,'[1]FRV Output'!$M:$M)</f>
        <v>28827</v>
      </c>
      <c r="D267" s="63">
        <f>_xlfn.XLOOKUP($A267,'[1]FRV Output'!$F:$F,'[1]FRV Output'!$N:$N)</f>
        <v>28905.978082191785</v>
      </c>
      <c r="E267" s="31">
        <f>_xlfn.XLOOKUP(A267,'[1]FRV Output'!$F:$F,'[1]FRV Output'!$U:$U)</f>
        <v>27106</v>
      </c>
      <c r="F267" s="31">
        <f>_xlfn.XLOOKUP($A267,'[1]FRV Output'!$F:$F,'[1]FRV Output'!$W:$W)</f>
        <v>100</v>
      </c>
      <c r="G267" s="59">
        <f>_xlfn.XLOOKUP($A267,'[1]FRV Output'!$F:$F,'[1]FRV Output'!$AO:$AO)</f>
        <v>6.2400000000000091</v>
      </c>
      <c r="H267" s="63">
        <f t="shared" si="4"/>
        <v>42500</v>
      </c>
      <c r="I267" s="59">
        <f>_xlfn.XLOOKUP($A267,'[1]FRV Output'!$F:$F,'[1]FRV Output'!$Z:$Z)</f>
        <v>425</v>
      </c>
      <c r="J267" s="162">
        <v>0</v>
      </c>
      <c r="K267" s="164">
        <v>1.1828000000000001</v>
      </c>
      <c r="L267" s="59">
        <f>_xlfn.XLOOKUP(A267,'[1]Aging Schedule'!$OA:$OA,'[1]Aging Schedule'!$NW:$NW)</f>
        <v>6.2400000000000091</v>
      </c>
      <c r="M267" s="59">
        <f>_xlfn.XLOOKUP(A267,'[1]FRV Output'!$F:$F,'[1]FRV Output'!$BC:$BC)</f>
        <v>25.626031859709883</v>
      </c>
      <c r="N267" s="68"/>
      <c r="O267" s="68"/>
      <c r="R267" s="31"/>
      <c r="T267" s="59"/>
      <c r="U267" s="108"/>
      <c r="V267" s="110"/>
    </row>
    <row r="268" spans="1:22" hidden="1" x14ac:dyDescent="0.25">
      <c r="A268">
        <v>1811920267</v>
      </c>
      <c r="B268" s="36">
        <v>0.64743814396859878</v>
      </c>
      <c r="C268" s="63">
        <f>_xlfn.XLOOKUP($A268,'[1]FRV Output'!$F:$F,'[1]FRV Output'!$M:$M)</f>
        <v>32278</v>
      </c>
      <c r="D268" s="63">
        <f>_xlfn.XLOOKUP($A268,'[1]FRV Output'!$F:$F,'[1]FRV Output'!$N:$N)</f>
        <v>32366.432876712333</v>
      </c>
      <c r="E268" s="31">
        <f>_xlfn.XLOOKUP(A268,'[1]FRV Output'!$F:$F,'[1]FRV Output'!$U:$U)</f>
        <v>27330</v>
      </c>
      <c r="F268" s="31">
        <f>_xlfn.XLOOKUP($A268,'[1]FRV Output'!$F:$F,'[1]FRV Output'!$W:$W)</f>
        <v>131</v>
      </c>
      <c r="G268" s="59">
        <f>_xlfn.XLOOKUP($A268,'[1]FRV Output'!$F:$F,'[1]FRV Output'!$AO:$AO)</f>
        <v>24.599999999999909</v>
      </c>
      <c r="H268" s="63">
        <f t="shared" si="4"/>
        <v>55168</v>
      </c>
      <c r="I268" s="59">
        <f>_xlfn.XLOOKUP($A268,'[1]FRV Output'!$F:$F,'[1]FRV Output'!$Z:$Z)</f>
        <v>421.12977099236639</v>
      </c>
      <c r="J268" s="162">
        <v>29.25</v>
      </c>
      <c r="K268" s="164">
        <v>1.3204</v>
      </c>
      <c r="L268" s="59">
        <f>_xlfn.XLOOKUP(A268,'[1]Aging Schedule'!$OA:$OA,'[1]Aging Schedule'!$NW:$NW)</f>
        <v>24.599999999999909</v>
      </c>
      <c r="M268" s="59">
        <f>_xlfn.XLOOKUP(A268,'[1]FRV Output'!$F:$F,'[1]FRV Output'!$BC:$BC)</f>
        <v>16.091853667048365</v>
      </c>
      <c r="N268" s="68"/>
      <c r="O268" s="68"/>
      <c r="R268" s="31"/>
      <c r="T268" s="59"/>
      <c r="U268" s="108"/>
      <c r="V268" s="110"/>
    </row>
    <row r="269" spans="1:22" hidden="1" x14ac:dyDescent="0.25">
      <c r="A269">
        <v>1669023685</v>
      </c>
      <c r="B269" s="36">
        <v>0.71209554831704669</v>
      </c>
      <c r="C269" s="63">
        <f>_xlfn.XLOOKUP($A269,'[1]FRV Output'!$F:$F,'[1]FRV Output'!$M:$M)</f>
        <v>23253</v>
      </c>
      <c r="D269" s="63">
        <f>_xlfn.XLOOKUP($A269,'[1]FRV Output'!$F:$F,'[1]FRV Output'!$N:$N)</f>
        <v>23316.706849315069</v>
      </c>
      <c r="E269" s="31">
        <f>_xlfn.XLOOKUP(A269,'[1]FRV Output'!$F:$F,'[1]FRV Output'!$U:$U)</f>
        <v>28270</v>
      </c>
      <c r="F269" s="31">
        <f>_xlfn.XLOOKUP($A269,'[1]FRV Output'!$F:$F,'[1]FRV Output'!$W:$W)</f>
        <v>124</v>
      </c>
      <c r="G269" s="59">
        <f>_xlfn.XLOOKUP($A269,'[1]FRV Output'!$F:$F,'[1]FRV Output'!$AO:$AO)</f>
        <v>4</v>
      </c>
      <c r="H269" s="63">
        <f t="shared" si="4"/>
        <v>52700</v>
      </c>
      <c r="I269" s="59">
        <f>_xlfn.XLOOKUP($A269,'[1]FRV Output'!$F:$F,'[1]FRV Output'!$Z:$Z)</f>
        <v>425</v>
      </c>
      <c r="J269" s="162">
        <v>29.25</v>
      </c>
      <c r="K269" s="164">
        <v>1.2908999999999999</v>
      </c>
      <c r="L269" s="59">
        <f>_xlfn.XLOOKUP(A269,'[1]Aging Schedule'!$OA:$OA,'[1]Aging Schedule'!$NW:$NW)</f>
        <v>4</v>
      </c>
      <c r="M269" s="59">
        <f>_xlfn.XLOOKUP(A269,'[1]FRV Output'!$F:$F,'[1]FRV Output'!$BC:$BC)</f>
        <v>26.999379591055597</v>
      </c>
      <c r="N269" s="68"/>
      <c r="O269" s="68"/>
      <c r="R269" s="31"/>
      <c r="T269" s="59"/>
      <c r="U269" s="108"/>
      <c r="V269" s="110"/>
    </row>
    <row r="270" spans="1:22" hidden="1" x14ac:dyDescent="0.25">
      <c r="A270">
        <v>1053380626</v>
      </c>
      <c r="B270" s="36">
        <v>0.65862737495153167</v>
      </c>
      <c r="C270" s="63">
        <f>_xlfn.XLOOKUP($A270,'[1]FRV Output'!$F:$F,'[1]FRV Output'!$M:$M)</f>
        <v>36288</v>
      </c>
      <c r="D270" s="63">
        <f>_xlfn.XLOOKUP($A270,'[1]FRV Output'!$F:$F,'[1]FRV Output'!$N:$N)</f>
        <v>36387.419178082193</v>
      </c>
      <c r="E270" s="31">
        <f>_xlfn.XLOOKUP(A270,'[1]FRV Output'!$F:$F,'[1]FRV Output'!$U:$U)</f>
        <v>28262</v>
      </c>
      <c r="F270" s="31">
        <f>_xlfn.XLOOKUP($A270,'[1]FRV Output'!$F:$F,'[1]FRV Output'!$W:$W)</f>
        <v>120</v>
      </c>
      <c r="G270" s="59">
        <f>_xlfn.XLOOKUP($A270,'[1]FRV Output'!$F:$F,'[1]FRV Output'!$AO:$AO)</f>
        <v>23.150000000000091</v>
      </c>
      <c r="H270" s="63">
        <f t="shared" si="4"/>
        <v>36154.28571428571</v>
      </c>
      <c r="I270" s="59">
        <f>_xlfn.XLOOKUP($A270,'[1]FRV Output'!$F:$F,'[1]FRV Output'!$Z:$Z)</f>
        <v>301.28571428571428</v>
      </c>
      <c r="J270" s="162">
        <v>29.25</v>
      </c>
      <c r="K270" s="164">
        <v>1.2626999999999999</v>
      </c>
      <c r="L270" s="59">
        <f>_xlfn.XLOOKUP(A270,'[1]Aging Schedule'!$OA:$OA,'[1]Aging Schedule'!$NW:$NW)</f>
        <v>23.150000000000091</v>
      </c>
      <c r="M270" s="59">
        <f>_xlfn.XLOOKUP(A270,'[1]FRV Output'!$F:$F,'[1]FRV Output'!$BC:$BC)</f>
        <v>15.493543667405278</v>
      </c>
      <c r="N270" s="68"/>
      <c r="O270" s="68"/>
      <c r="R270" s="31"/>
      <c r="T270" s="59"/>
      <c r="U270" s="108"/>
      <c r="V270" s="110"/>
    </row>
    <row r="271" spans="1:22" hidden="1" x14ac:dyDescent="0.25">
      <c r="A271">
        <v>1346241627</v>
      </c>
      <c r="B271" s="36">
        <v>0.73718020332923706</v>
      </c>
      <c r="C271" s="63">
        <f>_xlfn.XLOOKUP($A271,'[1]FRV Output'!$F:$F,'[1]FRV Output'!$M:$M)</f>
        <v>14614</v>
      </c>
      <c r="D271" s="63">
        <f>_xlfn.XLOOKUP($A271,'[1]FRV Output'!$F:$F,'[1]FRV Output'!$N:$N)</f>
        <v>14654.038356164385</v>
      </c>
      <c r="E271" s="31">
        <f>_xlfn.XLOOKUP(A271,'[1]FRV Output'!$F:$F,'[1]FRV Output'!$U:$U)</f>
        <v>28352</v>
      </c>
      <c r="F271" s="31">
        <f>_xlfn.XLOOKUP($A271,'[1]FRV Output'!$F:$F,'[1]FRV Output'!$W:$W)</f>
        <v>58</v>
      </c>
      <c r="G271" s="59">
        <f>_xlfn.XLOOKUP($A271,'[1]FRV Output'!$F:$F,'[1]FRV Output'!$AO:$AO)</f>
        <v>7</v>
      </c>
      <c r="H271" s="63">
        <f t="shared" si="4"/>
        <v>24650</v>
      </c>
      <c r="I271" s="59">
        <f>_xlfn.XLOOKUP($A271,'[1]FRV Output'!$F:$F,'[1]FRV Output'!$Z:$Z)</f>
        <v>425</v>
      </c>
      <c r="J271" s="162">
        <v>0</v>
      </c>
      <c r="K271" s="164">
        <v>1.1731</v>
      </c>
      <c r="L271" s="59">
        <f>_xlfn.XLOOKUP(A271,'[1]Aging Schedule'!$OA:$OA,'[1]Aging Schedule'!$NW:$NW)</f>
        <v>7</v>
      </c>
      <c r="M271" s="59">
        <f>_xlfn.XLOOKUP(A271,'[1]FRV Output'!$F:$F,'[1]FRV Output'!$BC:$BC)</f>
        <v>25.224169327155515</v>
      </c>
      <c r="N271" s="68"/>
      <c r="O271" s="68"/>
      <c r="R271" s="31"/>
      <c r="T271" s="59"/>
      <c r="U271" s="108"/>
      <c r="V271" s="110"/>
    </row>
    <row r="272" spans="1:22" hidden="1" x14ac:dyDescent="0.25">
      <c r="A272">
        <v>1740278126</v>
      </c>
      <c r="B272" s="36">
        <v>0.61162771892940893</v>
      </c>
      <c r="C272" s="63">
        <f>_xlfn.XLOOKUP($A272,'[1]FRV Output'!$F:$F,'[1]FRV Output'!$M:$M)</f>
        <v>16280</v>
      </c>
      <c r="D272" s="63">
        <f>_xlfn.XLOOKUP($A272,'[1]FRV Output'!$F:$F,'[1]FRV Output'!$N:$N)</f>
        <v>16324.60273972603</v>
      </c>
      <c r="E272" s="31">
        <f>_xlfn.XLOOKUP(A272,'[1]FRV Output'!$F:$F,'[1]FRV Output'!$U:$U)</f>
        <v>27536</v>
      </c>
      <c r="F272" s="31">
        <f>_xlfn.XLOOKUP($A272,'[1]FRV Output'!$F:$F,'[1]FRV Output'!$W:$W)</f>
        <v>60</v>
      </c>
      <c r="G272" s="59">
        <f>_xlfn.XLOOKUP($A272,'[1]FRV Output'!$F:$F,'[1]FRV Output'!$AO:$AO)</f>
        <v>34</v>
      </c>
      <c r="H272" s="63">
        <f t="shared" si="4"/>
        <v>17598.563149617068</v>
      </c>
      <c r="I272" s="59">
        <f>_xlfn.XLOOKUP($A272,'[1]FRV Output'!$F:$F,'[1]FRV Output'!$Z:$Z)</f>
        <v>293.30938582695114</v>
      </c>
      <c r="J272" s="162">
        <v>29.25</v>
      </c>
      <c r="K272" s="164">
        <v>1.0835999999999999</v>
      </c>
      <c r="L272" s="59">
        <f>_xlfn.XLOOKUP(A272,'[1]Aging Schedule'!$OA:$OA,'[1]Aging Schedule'!$NW:$NW)</f>
        <v>34</v>
      </c>
      <c r="M272" s="59">
        <f>_xlfn.XLOOKUP(A272,'[1]FRV Output'!$F:$F,'[1]FRV Output'!$BC:$BC)</f>
        <v>9.2195690934730035</v>
      </c>
      <c r="N272" s="68"/>
      <c r="O272" s="68"/>
      <c r="R272" s="31"/>
      <c r="T272" s="59"/>
      <c r="U272" s="108"/>
      <c r="V272" s="110"/>
    </row>
    <row r="273" spans="1:22" hidden="1" x14ac:dyDescent="0.25">
      <c r="A273">
        <v>1639630452</v>
      </c>
      <c r="B273" s="36">
        <v>0.65654828446126068</v>
      </c>
      <c r="C273" s="63">
        <f>_xlfn.XLOOKUP($A273,'[1]FRV Output'!$F:$F,'[1]FRV Output'!$M:$M)</f>
        <v>21032</v>
      </c>
      <c r="D273" s="63">
        <f>_xlfn.XLOOKUP($A273,'[1]FRV Output'!$F:$F,'[1]FRV Output'!$N:$N)</f>
        <v>21089.621917808221</v>
      </c>
      <c r="E273" s="31">
        <f>_xlfn.XLOOKUP(A273,'[1]FRV Output'!$F:$F,'[1]FRV Output'!$U:$U)</f>
        <v>27917</v>
      </c>
      <c r="F273" s="31">
        <f>_xlfn.XLOOKUP($A273,'[1]FRV Output'!$F:$F,'[1]FRV Output'!$W:$W)</f>
        <v>100</v>
      </c>
      <c r="G273" s="59">
        <f>_xlfn.XLOOKUP($A273,'[1]FRV Output'!$F:$F,'[1]FRV Output'!$AO:$AO)</f>
        <v>3</v>
      </c>
      <c r="H273" s="63">
        <f t="shared" si="4"/>
        <v>33600</v>
      </c>
      <c r="I273" s="59">
        <f>_xlfn.XLOOKUP($A273,'[1]FRV Output'!$F:$F,'[1]FRV Output'!$Z:$Z)</f>
        <v>336</v>
      </c>
      <c r="J273" s="162">
        <v>29.25</v>
      </c>
      <c r="K273" s="164">
        <v>1.1365000000000001</v>
      </c>
      <c r="L273" s="59">
        <f>_xlfn.XLOOKUP(A273,'[1]Aging Schedule'!$OA:$OA,'[1]Aging Schedule'!$NW:$NW)</f>
        <v>3</v>
      </c>
      <c r="M273" s="59">
        <f>_xlfn.XLOOKUP(A273,'[1]FRV Output'!$F:$F,'[1]FRV Output'!$BC:$BC)</f>
        <v>26.916582201853345</v>
      </c>
      <c r="N273" s="68"/>
      <c r="O273" s="68"/>
      <c r="R273" s="31"/>
      <c r="T273" s="59"/>
      <c r="U273" s="108"/>
      <c r="V273" s="110"/>
    </row>
    <row r="274" spans="1:22" hidden="1" x14ac:dyDescent="0.25">
      <c r="A274">
        <v>1740386473</v>
      </c>
      <c r="B274" s="36">
        <v>0.63993273870448897</v>
      </c>
      <c r="C274" s="63">
        <f>_xlfn.XLOOKUP($A274,'[1]FRV Output'!$F:$F,'[1]FRV Output'!$M:$M)</f>
        <v>17979</v>
      </c>
      <c r="D274" s="63">
        <f>_xlfn.XLOOKUP($A274,'[1]FRV Output'!$F:$F,'[1]FRV Output'!$N:$N)</f>
        <v>18028.257534246579</v>
      </c>
      <c r="E274" s="31">
        <f>_xlfn.XLOOKUP(A274,'[1]FRV Output'!$F:$F,'[1]FRV Output'!$U:$U)</f>
        <v>28645</v>
      </c>
      <c r="F274" s="31">
        <f>_xlfn.XLOOKUP($A274,'[1]FRV Output'!$F:$F,'[1]FRV Output'!$W:$W)</f>
        <v>60</v>
      </c>
      <c r="G274" s="59">
        <f>_xlfn.XLOOKUP($A274,'[1]FRV Output'!$F:$F,'[1]FRV Output'!$AO:$AO)</f>
        <v>3</v>
      </c>
      <c r="H274" s="63">
        <f t="shared" si="4"/>
        <v>33020</v>
      </c>
      <c r="I274" s="59">
        <f>_xlfn.XLOOKUP($A274,'[1]FRV Output'!$F:$F,'[1]FRV Output'!$Z:$Z)</f>
        <v>550.33333333333337</v>
      </c>
      <c r="J274" s="162">
        <v>29.25</v>
      </c>
      <c r="K274" s="164">
        <v>0.98499999999999999</v>
      </c>
      <c r="L274" s="59">
        <f>_xlfn.XLOOKUP(A274,'[1]Aging Schedule'!$OA:$OA,'[1]Aging Schedule'!$NW:$NW)</f>
        <v>3</v>
      </c>
      <c r="M274" s="59">
        <f>_xlfn.XLOOKUP(A274,'[1]FRV Output'!$F:$F,'[1]FRV Output'!$BC:$BC)</f>
        <v>34.238391571716356</v>
      </c>
      <c r="N274" s="68"/>
      <c r="O274" s="68"/>
      <c r="R274" s="31"/>
      <c r="T274" s="59"/>
      <c r="U274" s="108"/>
      <c r="V274" s="110"/>
    </row>
    <row r="275" spans="1:22" hidden="1" x14ac:dyDescent="0.25">
      <c r="A275">
        <v>1689628141</v>
      </c>
      <c r="B275" s="36">
        <v>0.63939564413726591</v>
      </c>
      <c r="C275" s="63">
        <f>_xlfn.XLOOKUP($A275,'[1]FRV Output'!$F:$F,'[1]FRV Output'!$M:$M)</f>
        <v>17163</v>
      </c>
      <c r="D275" s="63">
        <f>_xlfn.XLOOKUP($A275,'[1]FRV Output'!$F:$F,'[1]FRV Output'!$N:$N)</f>
        <v>17210.021917808222</v>
      </c>
      <c r="E275" s="31">
        <f>_xlfn.XLOOKUP(A275,'[1]FRV Output'!$F:$F,'[1]FRV Output'!$U:$U)</f>
        <v>28472</v>
      </c>
      <c r="F275" s="31">
        <f>_xlfn.XLOOKUP($A275,'[1]FRV Output'!$F:$F,'[1]FRV Output'!$W:$W)</f>
        <v>89</v>
      </c>
      <c r="G275" s="59">
        <f>_xlfn.XLOOKUP($A275,'[1]FRV Output'!$F:$F,'[1]FRV Output'!$AO:$AO)</f>
        <v>11.269999999999982</v>
      </c>
      <c r="H275" s="63">
        <f t="shared" si="4"/>
        <v>27565.983412322275</v>
      </c>
      <c r="I275" s="59">
        <f>_xlfn.XLOOKUP($A275,'[1]FRV Output'!$F:$F,'[1]FRV Output'!$Z:$Z)</f>
        <v>309.73015070025031</v>
      </c>
      <c r="J275" s="162">
        <v>29.25</v>
      </c>
      <c r="K275" s="164">
        <v>1.1575</v>
      </c>
      <c r="L275" s="59">
        <f>_xlfn.XLOOKUP(A275,'[1]Aging Schedule'!$OA:$OA,'[1]Aging Schedule'!$NW:$NW)</f>
        <v>11.269999999999982</v>
      </c>
      <c r="M275" s="59">
        <f>_xlfn.XLOOKUP(A275,'[1]FRV Output'!$F:$F,'[1]FRV Output'!$BC:$BC)</f>
        <v>21.078204671071681</v>
      </c>
      <c r="N275" s="68"/>
      <c r="O275" s="68"/>
      <c r="R275" s="31"/>
      <c r="T275" s="59"/>
      <c r="U275" s="108"/>
      <c r="V275" s="110"/>
    </row>
    <row r="276" spans="1:22" hidden="1" x14ac:dyDescent="0.25">
      <c r="A276">
        <v>1063838381</v>
      </c>
      <c r="B276" s="36">
        <v>0.58047286711294688</v>
      </c>
      <c r="C276" s="63">
        <f>_xlfn.XLOOKUP($A276,'[1]FRV Output'!$F:$F,'[1]FRV Output'!$M:$M)</f>
        <v>24890</v>
      </c>
      <c r="D276" s="63">
        <f>_xlfn.XLOOKUP($A276,'[1]FRV Output'!$F:$F,'[1]FRV Output'!$N:$N)</f>
        <v>24958.191780821919</v>
      </c>
      <c r="E276" s="31">
        <f>_xlfn.XLOOKUP(A276,'[1]FRV Output'!$F:$F,'[1]FRV Output'!$U:$U)</f>
        <v>27103</v>
      </c>
      <c r="F276" s="31">
        <f>_xlfn.XLOOKUP($A276,'[1]FRV Output'!$F:$F,'[1]FRV Output'!$W:$W)</f>
        <v>90</v>
      </c>
      <c r="G276" s="59">
        <f>_xlfn.XLOOKUP($A276,'[1]FRV Output'!$F:$F,'[1]FRV Output'!$AO:$AO)</f>
        <v>14.230000000000018</v>
      </c>
      <c r="H276" s="63">
        <f t="shared" si="4"/>
        <v>25826.000000000004</v>
      </c>
      <c r="I276" s="59">
        <f>_xlfn.XLOOKUP($A276,'[1]FRV Output'!$F:$F,'[1]FRV Output'!$Z:$Z)</f>
        <v>286.95555555555558</v>
      </c>
      <c r="J276" s="162">
        <v>29.25</v>
      </c>
      <c r="K276" s="164">
        <v>1.1821999999999999</v>
      </c>
      <c r="L276" s="59">
        <f>_xlfn.XLOOKUP(A276,'[1]Aging Schedule'!$OA:$OA,'[1]Aging Schedule'!$NW:$NW)</f>
        <v>14.230000000000018</v>
      </c>
      <c r="M276" s="59">
        <f>_xlfn.XLOOKUP(A276,'[1]FRV Output'!$F:$F,'[1]FRV Output'!$BC:$BC)</f>
        <v>20.00779369798547</v>
      </c>
      <c r="N276" s="68"/>
      <c r="O276" s="68"/>
      <c r="R276" s="31"/>
      <c r="T276" s="59"/>
      <c r="U276" s="108"/>
      <c r="V276" s="110"/>
    </row>
    <row r="277" spans="1:22" hidden="1" x14ac:dyDescent="0.25">
      <c r="A277">
        <v>1093708497</v>
      </c>
      <c r="B277" s="36">
        <v>0.59231528714826398</v>
      </c>
      <c r="C277" s="63">
        <f>_xlfn.XLOOKUP($A277,'[1]FRV Output'!$F:$F,'[1]FRV Output'!$M:$M)</f>
        <v>34898</v>
      </c>
      <c r="D277" s="63">
        <f>_xlfn.XLOOKUP($A277,'[1]FRV Output'!$F:$F,'[1]FRV Output'!$N:$N)</f>
        <v>34993.610958904115</v>
      </c>
      <c r="E277" s="31">
        <f>_xlfn.XLOOKUP(A277,'[1]FRV Output'!$F:$F,'[1]FRV Output'!$U:$U)</f>
        <v>28716</v>
      </c>
      <c r="F277" s="31">
        <f>_xlfn.XLOOKUP($A277,'[1]FRV Output'!$F:$F,'[1]FRV Output'!$W:$W)</f>
        <v>131</v>
      </c>
      <c r="G277" s="59">
        <f>_xlfn.XLOOKUP($A277,'[1]FRV Output'!$F:$F,'[1]FRV Output'!$AO:$AO)</f>
        <v>22.740000000000009</v>
      </c>
      <c r="H277" s="63">
        <f t="shared" si="4"/>
        <v>36189.659722222226</v>
      </c>
      <c r="I277" s="59">
        <f>_xlfn.XLOOKUP($A277,'[1]FRV Output'!$F:$F,'[1]FRV Output'!$Z:$Z)</f>
        <v>276.25694444444446</v>
      </c>
      <c r="J277" s="162">
        <v>29.25</v>
      </c>
      <c r="K277" s="164">
        <v>1.2783</v>
      </c>
      <c r="L277" s="59">
        <f>_xlfn.XLOOKUP(A277,'[1]Aging Schedule'!$OA:$OA,'[1]Aging Schedule'!$NW:$NW)</f>
        <v>22.740000000000009</v>
      </c>
      <c r="M277" s="59">
        <f>_xlfn.XLOOKUP(A277,'[1]FRV Output'!$F:$F,'[1]FRV Output'!$BC:$BC)</f>
        <v>15.04443035052379</v>
      </c>
      <c r="N277" s="68"/>
      <c r="O277" s="68"/>
      <c r="R277" s="31"/>
      <c r="T277" s="59"/>
      <c r="U277" s="108"/>
      <c r="V277" s="110"/>
    </row>
    <row r="278" spans="1:22" hidden="1" x14ac:dyDescent="0.25">
      <c r="A278">
        <v>1295733517</v>
      </c>
      <c r="B278" s="36">
        <v>0.63532883642495785</v>
      </c>
      <c r="C278" s="63">
        <f>_xlfn.XLOOKUP($A278,'[1]FRV Output'!$F:$F,'[1]FRV Output'!$M:$M)</f>
        <v>29817</v>
      </c>
      <c r="D278" s="63">
        <f>_xlfn.XLOOKUP($A278,'[1]FRV Output'!$F:$F,'[1]FRV Output'!$N:$N)</f>
        <v>29898.690410958909</v>
      </c>
      <c r="E278" s="31">
        <f>_xlfn.XLOOKUP(A278,'[1]FRV Output'!$F:$F,'[1]FRV Output'!$U:$U)</f>
        <v>28779</v>
      </c>
      <c r="F278" s="31">
        <f>_xlfn.XLOOKUP($A278,'[1]FRV Output'!$F:$F,'[1]FRV Output'!$W:$W)</f>
        <v>94</v>
      </c>
      <c r="G278" s="59">
        <f>_xlfn.XLOOKUP($A278,'[1]FRV Output'!$F:$F,'[1]FRV Output'!$AO:$AO)</f>
        <v>14.059999999999945</v>
      </c>
      <c r="H278" s="63">
        <f t="shared" si="4"/>
        <v>36249</v>
      </c>
      <c r="I278" s="59">
        <f>_xlfn.XLOOKUP($A278,'[1]FRV Output'!$F:$F,'[1]FRV Output'!$Z:$Z)</f>
        <v>385.62765957446811</v>
      </c>
      <c r="J278" s="162">
        <v>29.25</v>
      </c>
      <c r="K278" s="164">
        <v>1.3376999999999999</v>
      </c>
      <c r="L278" s="59">
        <f>_xlfn.XLOOKUP(A278,'[1]Aging Schedule'!$OA:$OA,'[1]Aging Schedule'!$NW:$NW)</f>
        <v>14.059999999999945</v>
      </c>
      <c r="M278" s="59">
        <f>_xlfn.XLOOKUP(A278,'[1]FRV Output'!$F:$F,'[1]FRV Output'!$BC:$BC)</f>
        <v>19.396863421430677</v>
      </c>
      <c r="N278" s="68"/>
      <c r="O278" s="68"/>
      <c r="R278" s="31"/>
      <c r="T278" s="59"/>
      <c r="U278" s="108"/>
      <c r="V278" s="110"/>
    </row>
    <row r="279" spans="1:22" hidden="1" x14ac:dyDescent="0.25">
      <c r="A279">
        <v>1649268335</v>
      </c>
      <c r="B279" s="36">
        <v>0.64065990720054999</v>
      </c>
      <c r="C279" s="63">
        <f>_xlfn.XLOOKUP($A279,'[1]FRV Output'!$F:$F,'[1]FRV Output'!$M:$M)</f>
        <v>40127</v>
      </c>
      <c r="D279" s="63">
        <f>_xlfn.XLOOKUP($A279,'[1]FRV Output'!$F:$F,'[1]FRV Output'!$N:$N)</f>
        <v>40236.936986301371</v>
      </c>
      <c r="E279" s="31">
        <f>_xlfn.XLOOKUP(A279,'[1]FRV Output'!$F:$F,'[1]FRV Output'!$U:$U)</f>
        <v>27577</v>
      </c>
      <c r="F279" s="31">
        <f>_xlfn.XLOOKUP($A279,'[1]FRV Output'!$F:$F,'[1]FRV Output'!$W:$W)</f>
        <v>160</v>
      </c>
      <c r="G279" s="59">
        <f>_xlfn.XLOOKUP($A279,'[1]FRV Output'!$F:$F,'[1]FRV Output'!$AO:$AO)</f>
        <v>34.1400000000001</v>
      </c>
      <c r="H279" s="63">
        <f t="shared" si="4"/>
        <v>51442</v>
      </c>
      <c r="I279" s="59">
        <f>_xlfn.XLOOKUP($A279,'[1]FRV Output'!$F:$F,'[1]FRV Output'!$Z:$Z)</f>
        <v>321.51249999999999</v>
      </c>
      <c r="J279" s="162">
        <v>29.25</v>
      </c>
      <c r="K279" s="164">
        <v>1.2017</v>
      </c>
      <c r="L279" s="59">
        <f>_xlfn.XLOOKUP(A279,'[1]Aging Schedule'!$OA:$OA,'[1]Aging Schedule'!$NW:$NW)</f>
        <v>34.1400000000001</v>
      </c>
      <c r="M279" s="59">
        <f>_xlfn.XLOOKUP(A279,'[1]FRV Output'!$F:$F,'[1]FRV Output'!$BC:$BC)</f>
        <v>9.0091692502820457</v>
      </c>
      <c r="N279" s="68"/>
      <c r="O279" s="68"/>
      <c r="R279" s="31"/>
      <c r="T279" s="59"/>
      <c r="U279" s="108"/>
      <c r="V279" s="110"/>
    </row>
    <row r="280" spans="1:22" hidden="1" x14ac:dyDescent="0.25">
      <c r="A280">
        <v>1417368143</v>
      </c>
      <c r="B280" s="36">
        <v>0.61009474028095401</v>
      </c>
      <c r="C280" s="63">
        <f>_xlfn.XLOOKUP($A280,'[1]FRV Output'!$F:$F,'[1]FRV Output'!$M:$M)</f>
        <v>31779</v>
      </c>
      <c r="D280" s="63">
        <f>_xlfn.XLOOKUP($A280,'[1]FRV Output'!$F:$F,'[1]FRV Output'!$N:$N)</f>
        <v>31866.06575342466</v>
      </c>
      <c r="E280" s="31">
        <f>_xlfn.XLOOKUP(A280,'[1]FRV Output'!$F:$F,'[1]FRV Output'!$U:$U)</f>
        <v>27803</v>
      </c>
      <c r="F280" s="31">
        <f>_xlfn.XLOOKUP($A280,'[1]FRV Output'!$F:$F,'[1]FRV Output'!$W:$W)</f>
        <v>100</v>
      </c>
      <c r="G280" s="59">
        <f>_xlfn.XLOOKUP($A280,'[1]FRV Output'!$F:$F,'[1]FRV Output'!$AO:$AO)</f>
        <v>3.6800000000000637</v>
      </c>
      <c r="H280" s="63">
        <f t="shared" si="4"/>
        <v>48753.034912619041</v>
      </c>
      <c r="I280" s="59">
        <f>_xlfn.XLOOKUP($A280,'[1]FRV Output'!$F:$F,'[1]FRV Output'!$Z:$Z)</f>
        <v>487.5303491261904</v>
      </c>
      <c r="J280" s="162">
        <v>29.25</v>
      </c>
      <c r="K280" s="164">
        <v>1.5270999999999999</v>
      </c>
      <c r="L280" s="59">
        <f>_xlfn.XLOOKUP(A280,'[1]Aging Schedule'!$OA:$OA,'[1]Aging Schedule'!$NW:$NW)</f>
        <v>3.6800000000000637</v>
      </c>
      <c r="M280" s="59">
        <f>_xlfn.XLOOKUP(A280,'[1]FRV Output'!$F:$F,'[1]FRV Output'!$BC:$BC)</f>
        <v>29.683809041903405</v>
      </c>
      <c r="N280" s="68"/>
      <c r="O280" s="68"/>
      <c r="R280" s="31"/>
      <c r="T280" s="59"/>
      <c r="U280" s="108"/>
      <c r="V280" s="110"/>
    </row>
    <row r="281" spans="1:22" hidden="1" x14ac:dyDescent="0.25">
      <c r="A281">
        <v>1043263981</v>
      </c>
      <c r="B281" s="36">
        <v>0.6533389687235841</v>
      </c>
      <c r="C281" s="63">
        <f>_xlfn.XLOOKUP($A281,'[1]FRV Output'!$F:$F,'[1]FRV Output'!$M:$M)</f>
        <v>19001</v>
      </c>
      <c r="D281" s="63">
        <f>_xlfn.XLOOKUP($A281,'[1]FRV Output'!$F:$F,'[1]FRV Output'!$N:$N)</f>
        <v>19053.057534246578</v>
      </c>
      <c r="E281" s="31">
        <f>_xlfn.XLOOKUP(A281,'[1]FRV Output'!$F:$F,'[1]FRV Output'!$U:$U)</f>
        <v>28329</v>
      </c>
      <c r="F281" s="31">
        <f>_xlfn.XLOOKUP($A281,'[1]FRV Output'!$F:$F,'[1]FRV Output'!$W:$W)</f>
        <v>100</v>
      </c>
      <c r="G281" s="59">
        <f>_xlfn.XLOOKUP($A281,'[1]FRV Output'!$F:$F,'[1]FRV Output'!$AO:$AO)</f>
        <v>23.869999999999891</v>
      </c>
      <c r="H281" s="63">
        <f t="shared" si="4"/>
        <v>37473</v>
      </c>
      <c r="I281" s="59">
        <f>_xlfn.XLOOKUP($A281,'[1]FRV Output'!$F:$F,'[1]FRV Output'!$Z:$Z)</f>
        <v>374.73</v>
      </c>
      <c r="J281" s="162">
        <v>29.25</v>
      </c>
      <c r="K281" s="164">
        <v>1.1486000000000001</v>
      </c>
      <c r="L281" s="59">
        <f>_xlfn.XLOOKUP(A281,'[1]Aging Schedule'!$OA:$OA,'[1]Aging Schedule'!$NW:$NW)</f>
        <v>23.869999999999891</v>
      </c>
      <c r="M281" s="59">
        <f>_xlfn.XLOOKUP(A281,'[1]FRV Output'!$F:$F,'[1]FRV Output'!$BC:$BC)</f>
        <v>14.483489308622103</v>
      </c>
      <c r="N281" s="68"/>
      <c r="O281" s="68"/>
      <c r="R281" s="31"/>
      <c r="T281" s="59"/>
      <c r="U281" s="108"/>
      <c r="V281" s="110"/>
    </row>
    <row r="282" spans="1:22" hidden="1" x14ac:dyDescent="0.25">
      <c r="A282">
        <v>1710244827</v>
      </c>
      <c r="B282" s="36">
        <v>0.71878129023029613</v>
      </c>
      <c r="C282" s="63">
        <f>_xlfn.XLOOKUP($A282,'[1]FRV Output'!$F:$F,'[1]FRV Output'!$M:$M)</f>
        <v>28156</v>
      </c>
      <c r="D282" s="63">
        <f>_xlfn.XLOOKUP($A282,'[1]FRV Output'!$F:$F,'[1]FRV Output'!$N:$N)</f>
        <v>28233.139726027399</v>
      </c>
      <c r="E282" s="31">
        <f>_xlfn.XLOOKUP(A282,'[1]FRV Output'!$F:$F,'[1]FRV Output'!$U:$U)</f>
        <v>27105</v>
      </c>
      <c r="F282" s="31">
        <f>_xlfn.XLOOKUP($A282,'[1]FRV Output'!$F:$F,'[1]FRV Output'!$W:$W)</f>
        <v>200</v>
      </c>
      <c r="G282" s="59">
        <f>_xlfn.XLOOKUP($A282,'[1]FRV Output'!$F:$F,'[1]FRV Output'!$AO:$AO)</f>
        <v>5.9100000000000819</v>
      </c>
      <c r="H282" s="63">
        <f t="shared" si="4"/>
        <v>132646.53333333333</v>
      </c>
      <c r="I282" s="59">
        <f>_xlfn.XLOOKUP($A282,'[1]FRV Output'!$F:$F,'[1]FRV Output'!$Z:$Z)</f>
        <v>663.23266666666666</v>
      </c>
      <c r="J282" s="162">
        <v>29.25</v>
      </c>
      <c r="K282" s="164">
        <v>1.1708000000000001</v>
      </c>
      <c r="L282" s="59">
        <f>_xlfn.XLOOKUP(A282,'[1]Aging Schedule'!$OA:$OA,'[1]Aging Schedule'!$NW:$NW)</f>
        <v>5.9100000000000819</v>
      </c>
      <c r="M282" s="59">
        <f>_xlfn.XLOOKUP(A282,'[1]FRV Output'!$F:$F,'[1]FRV Output'!$BC:$BC)</f>
        <v>39.100122231110831</v>
      </c>
      <c r="N282" s="68"/>
      <c r="O282" s="68"/>
      <c r="R282" s="31"/>
      <c r="T282" s="59"/>
      <c r="U282" s="108"/>
      <c r="V282" s="110"/>
    </row>
    <row r="283" spans="1:22" hidden="1" x14ac:dyDescent="0.25">
      <c r="A283">
        <v>1184712580</v>
      </c>
      <c r="B283" s="36">
        <v>0.79773563936931302</v>
      </c>
      <c r="C283" s="63">
        <f>_xlfn.XLOOKUP($A283,'[1]FRV Output'!$F:$F,'[1]FRV Output'!$M:$M)</f>
        <v>26903</v>
      </c>
      <c r="D283" s="63">
        <f>_xlfn.XLOOKUP($A283,'[1]FRV Output'!$F:$F,'[1]FRV Output'!$N:$N)</f>
        <v>26976.706849315073</v>
      </c>
      <c r="E283" s="31">
        <f>_xlfn.XLOOKUP(A283,'[1]FRV Output'!$F:$F,'[1]FRV Output'!$U:$U)</f>
        <v>28387</v>
      </c>
      <c r="F283" s="31">
        <f>_xlfn.XLOOKUP($A283,'[1]FRV Output'!$F:$F,'[1]FRV Output'!$W:$W)</f>
        <v>176</v>
      </c>
      <c r="G283" s="59">
        <f>_xlfn.XLOOKUP($A283,'[1]FRV Output'!$F:$F,'[1]FRV Output'!$AO:$AO)</f>
        <v>14.960000000000036</v>
      </c>
      <c r="H283" s="63">
        <f t="shared" si="4"/>
        <v>70400</v>
      </c>
      <c r="I283" s="59">
        <f>_xlfn.XLOOKUP($A283,'[1]FRV Output'!$F:$F,'[1]FRV Output'!$Z:$Z)</f>
        <v>400</v>
      </c>
      <c r="J283" s="162">
        <v>0</v>
      </c>
      <c r="K283" s="164">
        <v>1.0858000000000001</v>
      </c>
      <c r="L283" s="59">
        <f>_xlfn.XLOOKUP(A283,'[1]Aging Schedule'!$OA:$OA,'[1]Aging Schedule'!$NW:$NW)</f>
        <v>14.960000000000036</v>
      </c>
      <c r="M283" s="59">
        <f>_xlfn.XLOOKUP(A283,'[1]FRV Output'!$F:$F,'[1]FRV Output'!$BC:$BC)</f>
        <v>20.195594606929912</v>
      </c>
      <c r="N283" s="68"/>
      <c r="O283" s="68"/>
      <c r="R283" s="31"/>
      <c r="T283" s="59"/>
      <c r="U283" s="108"/>
      <c r="V283" s="110"/>
    </row>
    <row r="284" spans="1:22" hidden="1" x14ac:dyDescent="0.25">
      <c r="A284">
        <v>1407843097</v>
      </c>
      <c r="B284" s="36">
        <v>0.69187542315504402</v>
      </c>
      <c r="C284" s="63">
        <f>_xlfn.XLOOKUP($A284,'[1]FRV Output'!$F:$F,'[1]FRV Output'!$M:$M)</f>
        <v>22745</v>
      </c>
      <c r="D284" s="63">
        <f>_xlfn.XLOOKUP($A284,'[1]FRV Output'!$F:$F,'[1]FRV Output'!$N:$N)</f>
        <v>22807.315068493153</v>
      </c>
      <c r="E284" s="31">
        <f>_xlfn.XLOOKUP(A284,'[1]FRV Output'!$F:$F,'[1]FRV Output'!$U:$U)</f>
        <v>28164</v>
      </c>
      <c r="F284" s="31">
        <f>_xlfn.XLOOKUP($A284,'[1]FRV Output'!$F:$F,'[1]FRV Output'!$W:$W)</f>
        <v>106</v>
      </c>
      <c r="G284" s="59">
        <f>_xlfn.XLOOKUP($A284,'[1]FRV Output'!$F:$F,'[1]FRV Output'!$AO:$AO)</f>
        <v>2.6099999999999</v>
      </c>
      <c r="H284" s="63">
        <f t="shared" si="4"/>
        <v>43170.902288046222</v>
      </c>
      <c r="I284" s="59">
        <f>_xlfn.XLOOKUP($A284,'[1]FRV Output'!$F:$F,'[1]FRV Output'!$Z:$Z)</f>
        <v>407.27266309477568</v>
      </c>
      <c r="J284" s="162">
        <v>0</v>
      </c>
      <c r="K284" s="164">
        <v>1.1883999999999999</v>
      </c>
      <c r="L284" s="59">
        <f>_xlfn.XLOOKUP(A284,'[1]Aging Schedule'!$OA:$OA,'[1]Aging Schedule'!$NW:$NW)</f>
        <v>2.6099999999999</v>
      </c>
      <c r="M284" s="59">
        <f>_xlfn.XLOOKUP(A284,'[1]FRV Output'!$F:$F,'[1]FRV Output'!$BC:$BC)</f>
        <v>27.395477318654287</v>
      </c>
      <c r="N284" s="68"/>
      <c r="O284" s="68"/>
      <c r="R284" s="31"/>
      <c r="T284" s="59"/>
      <c r="U284" s="108"/>
      <c r="V284" s="110"/>
    </row>
    <row r="285" spans="1:22" hidden="1" x14ac:dyDescent="0.25">
      <c r="A285">
        <v>1891346797</v>
      </c>
      <c r="B285" s="36">
        <v>0.64812070591405102</v>
      </c>
      <c r="C285" s="63">
        <f>_xlfn.XLOOKUP($A285,'[1]FRV Output'!$F:$F,'[1]FRV Output'!$M:$M)</f>
        <v>18011</v>
      </c>
      <c r="D285" s="63">
        <f>_xlfn.XLOOKUP($A285,'[1]FRV Output'!$F:$F,'[1]FRV Output'!$N:$N)</f>
        <v>18060.345205479454</v>
      </c>
      <c r="E285" s="31">
        <f>_xlfn.XLOOKUP(A285,'[1]FRV Output'!$F:$F,'[1]FRV Output'!$U:$U)</f>
        <v>28001</v>
      </c>
      <c r="F285" s="31">
        <f>_xlfn.XLOOKUP($A285,'[1]FRV Output'!$F:$F,'[1]FRV Output'!$W:$W)</f>
        <v>90</v>
      </c>
      <c r="G285" s="59">
        <f>_xlfn.XLOOKUP($A285,'[1]FRV Output'!$F:$F,'[1]FRV Output'!$AO:$AO)</f>
        <v>3.0099999999999909</v>
      </c>
      <c r="H285" s="63">
        <f t="shared" si="4"/>
        <v>38250</v>
      </c>
      <c r="I285" s="59">
        <f>_xlfn.XLOOKUP($A285,'[1]FRV Output'!$F:$F,'[1]FRV Output'!$Z:$Z)</f>
        <v>425</v>
      </c>
      <c r="J285" s="162">
        <v>29.25</v>
      </c>
      <c r="K285" s="164">
        <v>1.2815000000000001</v>
      </c>
      <c r="L285" s="59">
        <f>_xlfn.XLOOKUP(A285,'[1]Aging Schedule'!$OA:$OA,'[1]Aging Schedule'!$NW:$NW)</f>
        <v>3.0099999999999909</v>
      </c>
      <c r="M285" s="59">
        <f>_xlfn.XLOOKUP(A285,'[1]FRV Output'!$F:$F,'[1]FRV Output'!$BC:$BC)</f>
        <v>25.819521227236123</v>
      </c>
      <c r="N285" s="68"/>
      <c r="O285" s="68"/>
      <c r="R285" s="31"/>
      <c r="T285" s="59"/>
      <c r="U285" s="108"/>
      <c r="V285" s="110"/>
    </row>
    <row r="286" spans="1:22" hidden="1" x14ac:dyDescent="0.25">
      <c r="A286">
        <v>1891470332</v>
      </c>
      <c r="B286" s="36">
        <v>0.56049043985252511</v>
      </c>
      <c r="C286" s="63">
        <f>_xlfn.XLOOKUP($A286,'[1]FRV Output'!$F:$F,'[1]FRV Output'!$M:$M)</f>
        <v>25907</v>
      </c>
      <c r="D286" s="63">
        <f>_xlfn.XLOOKUP($A286,'[1]FRV Output'!$F:$F,'[1]FRV Output'!$N:$N)</f>
        <v>25977.978082191785</v>
      </c>
      <c r="E286" s="31">
        <f>_xlfn.XLOOKUP(A286,'[1]FRV Output'!$F:$F,'[1]FRV Output'!$U:$U)</f>
        <v>28675</v>
      </c>
      <c r="F286" s="31">
        <f>_xlfn.XLOOKUP($A286,'[1]FRV Output'!$F:$F,'[1]FRV Output'!$W:$W)</f>
        <v>90</v>
      </c>
      <c r="G286" s="59">
        <f>_xlfn.XLOOKUP($A286,'[1]FRV Output'!$F:$F,'[1]FRV Output'!$AO:$AO)</f>
        <v>33.569999999999936</v>
      </c>
      <c r="H286" s="63">
        <f t="shared" si="4"/>
        <v>30165</v>
      </c>
      <c r="I286" s="59">
        <f>_xlfn.XLOOKUP($A286,'[1]FRV Output'!$F:$F,'[1]FRV Output'!$Z:$Z)</f>
        <v>335.16666666666669</v>
      </c>
      <c r="J286" s="162">
        <v>29.25</v>
      </c>
      <c r="K286" s="164">
        <v>1.0106999999999999</v>
      </c>
      <c r="L286" s="59">
        <f>_xlfn.XLOOKUP(A286,'[1]Aging Schedule'!$OA:$OA,'[1]Aging Schedule'!$NW:$NW)</f>
        <v>33.569999999999936</v>
      </c>
      <c r="M286" s="59">
        <f>_xlfn.XLOOKUP(A286,'[1]FRV Output'!$F:$F,'[1]FRV Output'!$BC:$BC)</f>
        <v>9.141401959947661</v>
      </c>
      <c r="N286" s="68"/>
      <c r="O286" s="68"/>
      <c r="R286" s="31"/>
      <c r="T286" s="59"/>
      <c r="U286" s="108"/>
      <c r="V286" s="110"/>
    </row>
    <row r="287" spans="1:22" hidden="1" x14ac:dyDescent="0.25">
      <c r="A287">
        <v>1912683095</v>
      </c>
      <c r="B287" s="36">
        <v>0.62770852505647123</v>
      </c>
      <c r="C287" s="63">
        <f>_xlfn.XLOOKUP($A287,'[1]FRV Output'!$F:$F,'[1]FRV Output'!$M:$M)</f>
        <v>29030</v>
      </c>
      <c r="D287" s="63">
        <f>_xlfn.XLOOKUP($A287,'[1]FRV Output'!$F:$F,'[1]FRV Output'!$N:$N)</f>
        <v>29109.534246575346</v>
      </c>
      <c r="E287" s="31">
        <f>_xlfn.XLOOKUP(A287,'[1]FRV Output'!$F:$F,'[1]FRV Output'!$U:$U)</f>
        <v>27203</v>
      </c>
      <c r="F287" s="31">
        <f>_xlfn.XLOOKUP($A287,'[1]FRV Output'!$F:$F,'[1]FRV Output'!$W:$W)</f>
        <v>100</v>
      </c>
      <c r="G287" s="59">
        <f>_xlfn.XLOOKUP($A287,'[1]FRV Output'!$F:$F,'[1]FRV Output'!$AO:$AO)</f>
        <v>19.849999999999909</v>
      </c>
      <c r="H287" s="63">
        <f t="shared" si="4"/>
        <v>35814</v>
      </c>
      <c r="I287" s="59">
        <f>_xlfn.XLOOKUP($A287,'[1]FRV Output'!$F:$F,'[1]FRV Output'!$Z:$Z)</f>
        <v>358.14</v>
      </c>
      <c r="J287" s="162">
        <v>29.25</v>
      </c>
      <c r="K287" s="164">
        <v>1.2374000000000001</v>
      </c>
      <c r="L287" s="59">
        <f>_xlfn.XLOOKUP(A287,'[1]Aging Schedule'!$OA:$OA,'[1]Aging Schedule'!$NW:$NW)</f>
        <v>19.849999999999909</v>
      </c>
      <c r="M287" s="59">
        <f>_xlfn.XLOOKUP(A287,'[1]FRV Output'!$F:$F,'[1]FRV Output'!$BC:$BC)</f>
        <v>17.575771927155568</v>
      </c>
      <c r="N287" s="68"/>
      <c r="O287" s="68"/>
      <c r="R287" s="31"/>
      <c r="T287" s="59"/>
      <c r="U287" s="108"/>
      <c r="V287" s="110"/>
    </row>
    <row r="288" spans="1:22" hidden="1" x14ac:dyDescent="0.25">
      <c r="A288">
        <v>1497283899</v>
      </c>
      <c r="B288" s="36">
        <v>0.64868569585550717</v>
      </c>
      <c r="C288" s="63">
        <f>_xlfn.XLOOKUP($A288,'[1]FRV Output'!$F:$F,'[1]FRV Output'!$M:$M)</f>
        <v>21080</v>
      </c>
      <c r="D288" s="63">
        <f>_xlfn.XLOOKUP($A288,'[1]FRV Output'!$F:$F,'[1]FRV Output'!$N:$N)</f>
        <v>21137.753424657538</v>
      </c>
      <c r="E288" s="31">
        <f>_xlfn.XLOOKUP(A288,'[1]FRV Output'!$F:$F,'[1]FRV Output'!$U:$U)</f>
        <v>28337</v>
      </c>
      <c r="F288" s="31">
        <f>_xlfn.XLOOKUP($A288,'[1]FRV Output'!$F:$F,'[1]FRV Output'!$W:$W)</f>
        <v>90</v>
      </c>
      <c r="G288" s="59">
        <f>_xlfn.XLOOKUP($A288,'[1]FRV Output'!$F:$F,'[1]FRV Output'!$AO:$AO)</f>
        <v>31.630000000000109</v>
      </c>
      <c r="H288" s="63">
        <f t="shared" si="4"/>
        <v>29250</v>
      </c>
      <c r="I288" s="59">
        <f>_xlfn.XLOOKUP($A288,'[1]FRV Output'!$F:$F,'[1]FRV Output'!$Z:$Z)</f>
        <v>325</v>
      </c>
      <c r="J288" s="162">
        <v>29.25</v>
      </c>
      <c r="K288" s="164">
        <v>1.0141</v>
      </c>
      <c r="L288" s="59">
        <f>_xlfn.XLOOKUP(A288,'[1]Aging Schedule'!$OA:$OA,'[1]Aging Schedule'!$NW:$NW)</f>
        <v>31.630000000000109</v>
      </c>
      <c r="M288" s="59">
        <f>_xlfn.XLOOKUP(A288,'[1]FRV Output'!$F:$F,'[1]FRV Output'!$BC:$BC)</f>
        <v>10.142990627477795</v>
      </c>
      <c r="N288" s="68"/>
      <c r="O288" s="68"/>
      <c r="R288" s="31"/>
      <c r="T288" s="59"/>
      <c r="U288" s="108"/>
      <c r="V288" s="110"/>
    </row>
    <row r="289" spans="1:22" hidden="1" x14ac:dyDescent="0.25">
      <c r="A289">
        <v>1285687962</v>
      </c>
      <c r="B289" s="36">
        <v>0.6380582524271845</v>
      </c>
      <c r="C289" s="63">
        <f>_xlfn.XLOOKUP($A289,'[1]FRV Output'!$F:$F,'[1]FRV Output'!$M:$M)</f>
        <v>21270</v>
      </c>
      <c r="D289" s="63">
        <f>_xlfn.XLOOKUP($A289,'[1]FRV Output'!$F:$F,'[1]FRV Output'!$N:$N)</f>
        <v>21328.273972602743</v>
      </c>
      <c r="E289" s="31">
        <f>_xlfn.XLOOKUP(A289,'[1]FRV Output'!$F:$F,'[1]FRV Output'!$U:$U)</f>
        <v>27292</v>
      </c>
      <c r="F289" s="31">
        <f>_xlfn.XLOOKUP($A289,'[1]FRV Output'!$F:$F,'[1]FRV Output'!$W:$W)</f>
        <v>64</v>
      </c>
      <c r="G289" s="59">
        <f>_xlfn.XLOOKUP($A289,'[1]FRV Output'!$F:$F,'[1]FRV Output'!$AO:$AO)</f>
        <v>24.869999999999891</v>
      </c>
      <c r="H289" s="63">
        <f t="shared" si="4"/>
        <v>35147</v>
      </c>
      <c r="I289" s="59">
        <f>_xlfn.XLOOKUP($A289,'[1]FRV Output'!$F:$F,'[1]FRV Output'!$Z:$Z)</f>
        <v>549.171875</v>
      </c>
      <c r="J289" s="162">
        <v>29.25</v>
      </c>
      <c r="K289" s="164">
        <v>1.2228000000000001</v>
      </c>
      <c r="L289" s="59">
        <f>_xlfn.XLOOKUP(A289,'[1]Aging Schedule'!$OA:$OA,'[1]Aging Schedule'!$NW:$NW)</f>
        <v>24.869999999999891</v>
      </c>
      <c r="M289" s="59">
        <f>_xlfn.XLOOKUP(A289,'[1]FRV Output'!$F:$F,'[1]FRV Output'!$BC:$BC)</f>
        <v>19.25823201945763</v>
      </c>
      <c r="N289" s="68"/>
      <c r="O289" s="68"/>
      <c r="R289" s="31"/>
      <c r="T289" s="59"/>
      <c r="U289" s="108"/>
      <c r="V289" s="110"/>
    </row>
    <row r="290" spans="1:22" hidden="1" x14ac:dyDescent="0.25">
      <c r="A290">
        <v>1649224056</v>
      </c>
      <c r="B290" s="36">
        <v>0.61211399248602583</v>
      </c>
      <c r="C290" s="63">
        <f>_xlfn.XLOOKUP($A290,'[1]FRV Output'!$F:$F,'[1]FRV Output'!$M:$M)</f>
        <v>38022</v>
      </c>
      <c r="D290" s="63">
        <f>_xlfn.XLOOKUP($A290,'[1]FRV Output'!$F:$F,'[1]FRV Output'!$N:$N)</f>
        <v>38126.169863013703</v>
      </c>
      <c r="E290" s="31">
        <f>_xlfn.XLOOKUP(A290,'[1]FRV Output'!$F:$F,'[1]FRV Output'!$U:$U)</f>
        <v>28365</v>
      </c>
      <c r="F290" s="31">
        <f>_xlfn.XLOOKUP($A290,'[1]FRV Output'!$F:$F,'[1]FRV Output'!$W:$W)</f>
        <v>150</v>
      </c>
      <c r="G290" s="59">
        <f>_xlfn.XLOOKUP($A290,'[1]FRV Output'!$F:$F,'[1]FRV Output'!$AO:$AO)</f>
        <v>35.5</v>
      </c>
      <c r="H290" s="63">
        <f t="shared" si="4"/>
        <v>43407</v>
      </c>
      <c r="I290" s="59">
        <f>_xlfn.XLOOKUP($A290,'[1]FRV Output'!$F:$F,'[1]FRV Output'!$Z:$Z)</f>
        <v>289.38</v>
      </c>
      <c r="J290" s="162">
        <v>29.25</v>
      </c>
      <c r="K290" s="164">
        <v>1.1563000000000001</v>
      </c>
      <c r="L290" s="59">
        <f>_xlfn.XLOOKUP(A290,'[1]Aging Schedule'!$OA:$OA,'[1]Aging Schedule'!$NW:$NW)</f>
        <v>39.720000000000027</v>
      </c>
      <c r="M290" s="59">
        <f>_xlfn.XLOOKUP(A290,'[1]FRV Output'!$F:$F,'[1]FRV Output'!$BC:$BC)</f>
        <v>8.6351250846091876</v>
      </c>
      <c r="N290" s="68"/>
      <c r="O290" s="68"/>
      <c r="R290" s="31"/>
      <c r="T290" s="59"/>
      <c r="U290" s="108"/>
      <c r="V290" s="110"/>
    </row>
    <row r="291" spans="1:22" hidden="1" x14ac:dyDescent="0.25">
      <c r="A291">
        <v>1194779504</v>
      </c>
      <c r="B291" s="36">
        <v>0.61636057137787237</v>
      </c>
      <c r="C291" s="63">
        <f>_xlfn.XLOOKUP($A291,'[1]FRV Output'!$F:$F,'[1]FRV Output'!$M:$M)</f>
        <v>24311</v>
      </c>
      <c r="D291" s="63">
        <f>_xlfn.XLOOKUP($A291,'[1]FRV Output'!$F:$F,'[1]FRV Output'!$N:$N)</f>
        <v>24377.605479452057</v>
      </c>
      <c r="E291" s="31">
        <f>_xlfn.XLOOKUP(A291,'[1]FRV Output'!$F:$F,'[1]FRV Output'!$U:$U)</f>
        <v>28372</v>
      </c>
      <c r="F291" s="31">
        <f>_xlfn.XLOOKUP($A291,'[1]FRV Output'!$F:$F,'[1]FRV Output'!$W:$W)</f>
        <v>84</v>
      </c>
      <c r="G291" s="59">
        <f>_xlfn.XLOOKUP($A291,'[1]FRV Output'!$F:$F,'[1]FRV Output'!$AO:$AO)</f>
        <v>28.819999999999936</v>
      </c>
      <c r="H291" s="63">
        <f t="shared" si="4"/>
        <v>32361</v>
      </c>
      <c r="I291" s="59">
        <f>_xlfn.XLOOKUP($A291,'[1]FRV Output'!$F:$F,'[1]FRV Output'!$Z:$Z)</f>
        <v>385.25</v>
      </c>
      <c r="J291" s="162">
        <v>29.25</v>
      </c>
      <c r="K291" s="164">
        <v>1.2928999999999999</v>
      </c>
      <c r="L291" s="59">
        <f>_xlfn.XLOOKUP(A291,'[1]Aging Schedule'!$OA:$OA,'[1]Aging Schedule'!$NW:$NW)</f>
        <v>28.819999999999936</v>
      </c>
      <c r="M291" s="59">
        <f>_xlfn.XLOOKUP(A291,'[1]FRV Output'!$F:$F,'[1]FRV Output'!$BC:$BC)</f>
        <v>13.13771615094201</v>
      </c>
      <c r="N291" s="68"/>
      <c r="O291" s="68"/>
      <c r="R291" s="31"/>
      <c r="T291" s="59"/>
      <c r="U291" s="108"/>
      <c r="V291" s="110"/>
    </row>
    <row r="292" spans="1:22" hidden="1" x14ac:dyDescent="0.25">
      <c r="A292">
        <v>1003869983</v>
      </c>
      <c r="B292" s="36">
        <v>0.6432181971356361</v>
      </c>
      <c r="C292" s="63">
        <f>_xlfn.XLOOKUP($A292,'[1]FRV Output'!$F:$F,'[1]FRV Output'!$M:$M)</f>
        <v>46721</v>
      </c>
      <c r="D292" s="63">
        <f>_xlfn.XLOOKUP($A292,'[1]FRV Output'!$F:$F,'[1]FRV Output'!$N:$N)</f>
        <v>46849.002739726035</v>
      </c>
      <c r="E292" s="31">
        <f>_xlfn.XLOOKUP(A292,'[1]FRV Output'!$F:$F,'[1]FRV Output'!$U:$U)</f>
        <v>27344</v>
      </c>
      <c r="F292" s="31">
        <f>_xlfn.XLOOKUP($A292,'[1]FRV Output'!$F:$F,'[1]FRV Output'!$W:$W)</f>
        <v>150</v>
      </c>
      <c r="G292" s="59">
        <f>_xlfn.XLOOKUP($A292,'[1]FRV Output'!$F:$F,'[1]FRV Output'!$AO:$AO)</f>
        <v>35.5</v>
      </c>
      <c r="H292" s="63">
        <f t="shared" si="4"/>
        <v>44019.999999999993</v>
      </c>
      <c r="I292" s="59">
        <f>_xlfn.XLOOKUP($A292,'[1]FRV Output'!$F:$F,'[1]FRV Output'!$Z:$Z)</f>
        <v>293.46666666666664</v>
      </c>
      <c r="J292" s="162">
        <v>9.4499999999999993</v>
      </c>
      <c r="K292" s="164">
        <v>1.1586000000000001</v>
      </c>
      <c r="L292" s="59">
        <f>_xlfn.XLOOKUP(A292,'[1]Aging Schedule'!$OA:$OA,'[1]Aging Schedule'!$NW:$NW)</f>
        <v>38.799999999999955</v>
      </c>
      <c r="M292" s="59">
        <f>_xlfn.XLOOKUP(A292,'[1]FRV Output'!$F:$F,'[1]FRV Output'!$BC:$BC)</f>
        <v>8.601210026005436</v>
      </c>
      <c r="N292" s="68"/>
      <c r="O292" s="68"/>
      <c r="R292" s="31"/>
      <c r="T292" s="59"/>
      <c r="U292" s="108"/>
      <c r="V292" s="110"/>
    </row>
    <row r="293" spans="1:22" hidden="1" x14ac:dyDescent="0.25">
      <c r="A293">
        <v>1952354565</v>
      </c>
      <c r="B293" s="36">
        <v>0.70995534872020627</v>
      </c>
      <c r="C293" s="63">
        <f>_xlfn.XLOOKUP($A293,'[1]FRV Output'!$F:$F,'[1]FRV Output'!$M:$M)</f>
        <v>57858</v>
      </c>
      <c r="D293" s="63">
        <f>_xlfn.XLOOKUP($A293,'[1]FRV Output'!$F:$F,'[1]FRV Output'!$N:$N)</f>
        <v>58016.515068493158</v>
      </c>
      <c r="E293" s="31">
        <f>_xlfn.XLOOKUP(A293,'[1]FRV Output'!$F:$F,'[1]FRV Output'!$U:$U)</f>
        <v>27262</v>
      </c>
      <c r="F293" s="31">
        <f>_xlfn.XLOOKUP($A293,'[1]FRV Output'!$F:$F,'[1]FRV Output'!$W:$W)</f>
        <v>199</v>
      </c>
      <c r="G293" s="59">
        <f>_xlfn.XLOOKUP($A293,'[1]FRV Output'!$F:$F,'[1]FRV Output'!$AO:$AO)</f>
        <v>29.769999999999982</v>
      </c>
      <c r="H293" s="63">
        <f t="shared" si="4"/>
        <v>55114.999999999993</v>
      </c>
      <c r="I293" s="59">
        <f>_xlfn.XLOOKUP($A293,'[1]FRV Output'!$F:$F,'[1]FRV Output'!$Z:$Z)</f>
        <v>276.95979899497485</v>
      </c>
      <c r="J293" s="162">
        <v>9.4499999999999993</v>
      </c>
      <c r="K293" s="164">
        <v>1.2012</v>
      </c>
      <c r="L293" s="59">
        <f>_xlfn.XLOOKUP(A293,'[1]Aging Schedule'!$OA:$OA,'[1]Aging Schedule'!$NW:$NW)</f>
        <v>29.769999999999982</v>
      </c>
      <c r="M293" s="59">
        <f>_xlfn.XLOOKUP(A293,'[1]FRV Output'!$F:$F,'[1]FRV Output'!$BC:$BC)</f>
        <v>11.65343033714745</v>
      </c>
      <c r="N293" s="68"/>
      <c r="O293" s="68"/>
      <c r="R293" s="31"/>
      <c r="T293" s="59"/>
      <c r="U293" s="108"/>
      <c r="V293" s="110"/>
    </row>
    <row r="294" spans="1:22" hidden="1" x14ac:dyDescent="0.25">
      <c r="A294">
        <v>1821414269</v>
      </c>
      <c r="B294" s="36">
        <v>0.53023890784982941</v>
      </c>
      <c r="C294" s="63">
        <f>_xlfn.XLOOKUP($A294,'[1]FRV Output'!$F:$F,'[1]FRV Output'!$M:$M)</f>
        <v>26771</v>
      </c>
      <c r="D294" s="63">
        <f>_xlfn.XLOOKUP($A294,'[1]FRV Output'!$F:$F,'[1]FRV Output'!$N:$N)</f>
        <v>26844.345205479454</v>
      </c>
      <c r="E294" s="31">
        <f>_xlfn.XLOOKUP(A294,'[1]FRV Output'!$F:$F,'[1]FRV Output'!$U:$U)</f>
        <v>27610</v>
      </c>
      <c r="F294" s="31">
        <f>_xlfn.XLOOKUP($A294,'[1]FRV Output'!$F:$F,'[1]FRV Output'!$W:$W)</f>
        <v>95</v>
      </c>
      <c r="G294" s="59">
        <f>_xlfn.XLOOKUP($A294,'[1]FRV Output'!$F:$F,'[1]FRV Output'!$AO:$AO)</f>
        <v>11.480000000000018</v>
      </c>
      <c r="H294" s="63">
        <f t="shared" si="4"/>
        <v>35302</v>
      </c>
      <c r="I294" s="59">
        <f>_xlfn.XLOOKUP($A294,'[1]FRV Output'!$F:$F,'[1]FRV Output'!$Z:$Z)</f>
        <v>371.6</v>
      </c>
      <c r="J294" s="162">
        <v>29.25</v>
      </c>
      <c r="K294" s="164">
        <v>1.2468999999999999</v>
      </c>
      <c r="L294" s="59">
        <f>_xlfn.XLOOKUP(A294,'[1]Aging Schedule'!$OA:$OA,'[1]Aging Schedule'!$NW:$NW)</f>
        <v>11.480000000000018</v>
      </c>
      <c r="M294" s="59">
        <f>_xlfn.XLOOKUP(A294,'[1]FRV Output'!$F:$F,'[1]FRV Output'!$BC:$BC)</f>
        <v>21.575931287671271</v>
      </c>
      <c r="N294" s="68"/>
      <c r="O294" s="68"/>
      <c r="R294" s="31"/>
      <c r="T294" s="59"/>
      <c r="U294" s="108"/>
      <c r="V294" s="110"/>
    </row>
    <row r="295" spans="1:22" hidden="1" x14ac:dyDescent="0.25">
      <c r="A295">
        <v>1972261808</v>
      </c>
      <c r="B295" s="36">
        <v>0.70020896961903223</v>
      </c>
      <c r="C295" s="63">
        <f>_xlfn.XLOOKUP($A295,'[1]FRV Output'!$F:$F,'[1]FRV Output'!$M:$M)</f>
        <v>31865</v>
      </c>
      <c r="D295" s="63">
        <f>_xlfn.XLOOKUP($A295,'[1]FRV Output'!$F:$F,'[1]FRV Output'!$N:$N)</f>
        <v>31952.301369863017</v>
      </c>
      <c r="E295" s="31">
        <f>_xlfn.XLOOKUP(A295,'[1]FRV Output'!$F:$F,'[1]FRV Output'!$U:$U)</f>
        <v>28761</v>
      </c>
      <c r="F295" s="31">
        <f>_xlfn.XLOOKUP($A295,'[1]FRV Output'!$F:$F,'[1]FRV Output'!$W:$W)</f>
        <v>140</v>
      </c>
      <c r="G295" s="59">
        <f>_xlfn.XLOOKUP($A295,'[1]FRV Output'!$F:$F,'[1]FRV Output'!$AO:$AO)</f>
        <v>35.5</v>
      </c>
      <c r="H295" s="63">
        <f t="shared" si="4"/>
        <v>45500</v>
      </c>
      <c r="I295" s="59">
        <f>_xlfn.XLOOKUP($A295,'[1]FRV Output'!$F:$F,'[1]FRV Output'!$Z:$Z)</f>
        <v>325</v>
      </c>
      <c r="J295" s="162">
        <v>29.25</v>
      </c>
      <c r="K295" s="164">
        <v>1.2447999999999999</v>
      </c>
      <c r="L295" s="59">
        <f>_xlfn.XLOOKUP(A295,'[1]Aging Schedule'!$OA:$OA,'[1]Aging Schedule'!$NW:$NW)</f>
        <v>38.210000000000036</v>
      </c>
      <c r="M295" s="59">
        <f>_xlfn.XLOOKUP(A295,'[1]FRV Output'!$F:$F,'[1]FRV Output'!$BC:$BC)</f>
        <v>8.4499932473811441</v>
      </c>
      <c r="N295" s="68"/>
      <c r="O295" s="68"/>
      <c r="R295" s="31"/>
      <c r="T295" s="59"/>
      <c r="U295" s="108"/>
      <c r="V295" s="110"/>
    </row>
    <row r="296" spans="1:22" hidden="1" x14ac:dyDescent="0.25">
      <c r="A296" t="s">
        <v>796</v>
      </c>
      <c r="B296" s="36">
        <v>0.57728119180633142</v>
      </c>
      <c r="C296" s="63">
        <f>_xlfn.XLOOKUP($A296,'[1]FRV Output'!$F:$F,'[1]FRV Output'!$M:$M)</f>
        <v>32074</v>
      </c>
      <c r="D296" s="63">
        <f>_xlfn.XLOOKUP($A296,'[1]FRV Output'!$F:$F,'[1]FRV Output'!$N:$N)</f>
        <v>32161.873972602742</v>
      </c>
      <c r="E296" s="31">
        <f>_xlfn.XLOOKUP(A296,'[1]FRV Output'!$F:$F,'[1]FRV Output'!$U:$U)</f>
        <v>27030</v>
      </c>
      <c r="F296" s="31">
        <f>_xlfn.XLOOKUP($A296,'[1]FRV Output'!$F:$F,'[1]FRV Output'!$W:$W)</f>
        <v>120</v>
      </c>
      <c r="G296" s="59">
        <f>_xlfn.XLOOKUP($A296,'[1]FRV Output'!$F:$F,'[1]FRV Output'!$AO:$AO)</f>
        <v>11.539999999999964</v>
      </c>
      <c r="H296" s="63">
        <f t="shared" si="4"/>
        <v>40020</v>
      </c>
      <c r="I296" s="59">
        <f>_xlfn.XLOOKUP($A296,'[1]FRV Output'!$F:$F,'[1]FRV Output'!$Z:$Z)</f>
        <v>333.5</v>
      </c>
      <c r="J296" s="162">
        <v>29.25</v>
      </c>
      <c r="K296" s="164">
        <v>1.1439999999999999</v>
      </c>
      <c r="L296" s="59">
        <f>_xlfn.XLOOKUP(A296,'[1]Aging Schedule'!$OA:$OA,'[1]Aging Schedule'!$NW:$NW)</f>
        <v>11.539999999999964</v>
      </c>
      <c r="M296" s="59">
        <f>_xlfn.XLOOKUP(A296,'[1]FRV Output'!$F:$F,'[1]FRV Output'!$BC:$BC)</f>
        <v>21.712086946655944</v>
      </c>
      <c r="N296" s="68"/>
      <c r="O296" s="68"/>
      <c r="R296" s="31"/>
      <c r="T296" s="59"/>
      <c r="U296" s="108"/>
      <c r="V296" s="110"/>
    </row>
    <row r="297" spans="1:22" hidden="1" x14ac:dyDescent="0.25">
      <c r="A297">
        <v>1225279755</v>
      </c>
      <c r="B297" s="36">
        <v>0.66308373227350736</v>
      </c>
      <c r="C297" s="63">
        <f>_xlfn.XLOOKUP($A297,'[1]FRV Output'!$F:$F,'[1]FRV Output'!$M:$M)</f>
        <v>38117</v>
      </c>
      <c r="D297" s="63">
        <f>_xlfn.XLOOKUP($A297,'[1]FRV Output'!$F:$F,'[1]FRV Output'!$N:$N)</f>
        <v>38221.430136986302</v>
      </c>
      <c r="E297" s="31">
        <f>_xlfn.XLOOKUP(A297,'[1]FRV Output'!$F:$F,'[1]FRV Output'!$U:$U)</f>
        <v>27834</v>
      </c>
      <c r="F297" s="31">
        <f>_xlfn.XLOOKUP($A297,'[1]FRV Output'!$F:$F,'[1]FRV Output'!$W:$W)</f>
        <v>120</v>
      </c>
      <c r="G297" s="59">
        <f>_xlfn.XLOOKUP($A297,'[1]FRV Output'!$F:$F,'[1]FRV Output'!$AO:$AO)</f>
        <v>25.6400000000001</v>
      </c>
      <c r="H297" s="63">
        <f t="shared" si="4"/>
        <v>39904</v>
      </c>
      <c r="I297" s="59">
        <f>_xlfn.XLOOKUP($A297,'[1]FRV Output'!$F:$F,'[1]FRV Output'!$Z:$Z)</f>
        <v>332.53333333333336</v>
      </c>
      <c r="J297" s="162">
        <v>29.25</v>
      </c>
      <c r="K297" s="164">
        <v>1.2968999999999999</v>
      </c>
      <c r="L297" s="59">
        <f>_xlfn.XLOOKUP(A297,'[1]Aging Schedule'!$OA:$OA,'[1]Aging Schedule'!$NW:$NW)</f>
        <v>25.6400000000001</v>
      </c>
      <c r="M297" s="59">
        <f>_xlfn.XLOOKUP(A297,'[1]FRV Output'!$F:$F,'[1]FRV Output'!$BC:$BC)</f>
        <v>12.336861853870959</v>
      </c>
      <c r="N297" s="68"/>
      <c r="O297" s="68"/>
      <c r="R297" s="31"/>
      <c r="T297" s="59"/>
      <c r="U297" s="108"/>
      <c r="V297" s="110"/>
    </row>
    <row r="298" spans="1:22" hidden="1" x14ac:dyDescent="0.25">
      <c r="A298">
        <v>1720166838</v>
      </c>
      <c r="B298" s="36">
        <v>0.63591570648878115</v>
      </c>
      <c r="C298" s="63">
        <f>_xlfn.XLOOKUP($A298,'[1]FRV Output'!$F:$F,'[1]FRV Output'!$M:$M)</f>
        <v>30616</v>
      </c>
      <c r="D298" s="63">
        <f>_xlfn.XLOOKUP($A298,'[1]FRV Output'!$F:$F,'[1]FRV Output'!$N:$N)</f>
        <v>30699.879452054796</v>
      </c>
      <c r="E298" s="31">
        <f>_xlfn.XLOOKUP(A298,'[1]FRV Output'!$F:$F,'[1]FRV Output'!$U:$U)</f>
        <v>27886</v>
      </c>
      <c r="F298" s="31">
        <f>_xlfn.XLOOKUP($A298,'[1]FRV Output'!$F:$F,'[1]FRV Output'!$W:$W)</f>
        <v>118</v>
      </c>
      <c r="G298" s="59">
        <f>_xlfn.XLOOKUP($A298,'[1]FRV Output'!$F:$F,'[1]FRV Output'!$AO:$AO)</f>
        <v>26.970000000000027</v>
      </c>
      <c r="H298" s="63">
        <f t="shared" si="4"/>
        <v>47225</v>
      </c>
      <c r="I298" s="59">
        <f>_xlfn.XLOOKUP($A298,'[1]FRV Output'!$F:$F,'[1]FRV Output'!$Z:$Z)</f>
        <v>400.21186440677968</v>
      </c>
      <c r="J298" s="162">
        <v>29.25</v>
      </c>
      <c r="K298" s="164">
        <v>1.2084999999999999</v>
      </c>
      <c r="L298" s="59">
        <f>_xlfn.XLOOKUP(A298,'[1]Aging Schedule'!$OA:$OA,'[1]Aging Schedule'!$NW:$NW)</f>
        <v>26.970000000000027</v>
      </c>
      <c r="M298" s="59">
        <f>_xlfn.XLOOKUP(A298,'[1]FRV Output'!$F:$F,'[1]FRV Output'!$BC:$BC)</f>
        <v>14.171646697609892</v>
      </c>
      <c r="N298" s="68"/>
      <c r="O298" s="68"/>
      <c r="R298" s="31"/>
      <c r="T298" s="59"/>
      <c r="U298" s="108"/>
      <c r="V298" s="110"/>
    </row>
    <row r="299" spans="1:22" hidden="1" x14ac:dyDescent="0.25">
      <c r="A299">
        <v>1023358991</v>
      </c>
      <c r="B299" s="36">
        <v>0.56678700361010836</v>
      </c>
      <c r="C299" s="63">
        <f>_xlfn.XLOOKUP($A299,'[1]FRV Output'!$F:$F,'[1]FRV Output'!$M:$M)</f>
        <v>23143</v>
      </c>
      <c r="D299" s="63">
        <f>_xlfn.XLOOKUP($A299,'[1]FRV Output'!$F:$F,'[1]FRV Output'!$N:$N)</f>
        <v>23206.405479452056</v>
      </c>
      <c r="E299" s="31">
        <f>_xlfn.XLOOKUP(A299,'[1]FRV Output'!$F:$F,'[1]FRV Output'!$U:$U)</f>
        <v>28577</v>
      </c>
      <c r="F299" s="31">
        <f>_xlfn.XLOOKUP($A299,'[1]FRV Output'!$F:$F,'[1]FRV Output'!$W:$W)</f>
        <v>104</v>
      </c>
      <c r="G299" s="59">
        <f>_xlfn.XLOOKUP($A299,'[1]FRV Output'!$F:$F,'[1]FRV Output'!$AO:$AO)</f>
        <v>31.849999999999909</v>
      </c>
      <c r="H299" s="63">
        <f t="shared" si="4"/>
        <v>50521</v>
      </c>
      <c r="I299" s="59">
        <f>_xlfn.XLOOKUP($A299,'[1]FRV Output'!$F:$F,'[1]FRV Output'!$Z:$Z)</f>
        <v>485.77884615384613</v>
      </c>
      <c r="J299" s="162">
        <v>29.25</v>
      </c>
      <c r="K299" s="164">
        <v>1.1088</v>
      </c>
      <c r="L299" s="59">
        <f>_xlfn.XLOOKUP(A299,'[1]Aging Schedule'!$OA:$OA,'[1]Aging Schedule'!$NW:$NW)</f>
        <v>31.849999999999909</v>
      </c>
      <c r="M299" s="59">
        <f>_xlfn.XLOOKUP(A299,'[1]FRV Output'!$F:$F,'[1]FRV Output'!$BC:$BC)</f>
        <v>14.068907770126501</v>
      </c>
      <c r="N299" s="68"/>
      <c r="O299" s="68"/>
      <c r="R299" s="31"/>
      <c r="T299" s="59"/>
      <c r="U299" s="108"/>
      <c r="V299" s="110"/>
    </row>
    <row r="300" spans="1:22" hidden="1" x14ac:dyDescent="0.25">
      <c r="A300">
        <v>1700833233</v>
      </c>
      <c r="B300" s="36">
        <v>0.52211320754716983</v>
      </c>
      <c r="C300" s="63">
        <f>_xlfn.XLOOKUP($A300,'[1]FRV Output'!$F:$F,'[1]FRV Output'!$M:$M)</f>
        <v>17284</v>
      </c>
      <c r="D300" s="63">
        <f>_xlfn.XLOOKUP($A300,'[1]FRV Output'!$F:$F,'[1]FRV Output'!$N:$N)</f>
        <v>17331.353424657536</v>
      </c>
      <c r="E300" s="31">
        <f>_xlfn.XLOOKUP(A300,'[1]FRV Output'!$F:$F,'[1]FRV Output'!$U:$U)</f>
        <v>28075</v>
      </c>
      <c r="F300" s="31">
        <f>_xlfn.XLOOKUP($A300,'[1]FRV Output'!$F:$F,'[1]FRV Output'!$W:$W)</f>
        <v>70</v>
      </c>
      <c r="G300" s="59">
        <f>_xlfn.XLOOKUP($A300,'[1]FRV Output'!$F:$F,'[1]FRV Output'!$AO:$AO)</f>
        <v>5.8499999999999091</v>
      </c>
      <c r="H300" s="63">
        <f t="shared" si="4"/>
        <v>32224</v>
      </c>
      <c r="I300" s="59">
        <f>_xlfn.XLOOKUP($A300,'[1]FRV Output'!$F:$F,'[1]FRV Output'!$Z:$Z)</f>
        <v>460.34285714285716</v>
      </c>
      <c r="J300" s="162">
        <v>29.25</v>
      </c>
      <c r="K300" s="164">
        <v>1.2871999999999999</v>
      </c>
      <c r="L300" s="59">
        <f>_xlfn.XLOOKUP(A300,'[1]Aging Schedule'!$OA:$OA,'[1]Aging Schedule'!$NW:$NW)</f>
        <v>5.8499999999999091</v>
      </c>
      <c r="M300" s="59">
        <f>_xlfn.XLOOKUP(A300,'[1]FRV Output'!$F:$F,'[1]FRV Output'!$BC:$BC)</f>
        <v>27.541560207749896</v>
      </c>
      <c r="N300" s="68"/>
      <c r="O300" s="68"/>
      <c r="R300" s="31"/>
      <c r="T300" s="59"/>
      <c r="U300" s="108"/>
      <c r="V300" s="110"/>
    </row>
    <row r="301" spans="1:22" hidden="1" x14ac:dyDescent="0.25">
      <c r="A301">
        <v>1215982525</v>
      </c>
      <c r="B301" s="36">
        <v>0.68714077972439591</v>
      </c>
      <c r="C301" s="63">
        <f>_xlfn.XLOOKUP($A301,'[1]FRV Output'!$F:$F,'[1]FRV Output'!$M:$M)</f>
        <v>41025</v>
      </c>
      <c r="D301" s="63">
        <f>_xlfn.XLOOKUP($A301,'[1]FRV Output'!$F:$F,'[1]FRV Output'!$N:$N)</f>
        <v>41137.397260273974</v>
      </c>
      <c r="E301" s="31">
        <f>_xlfn.XLOOKUP(A301,'[1]FRV Output'!$F:$F,'[1]FRV Output'!$U:$U)</f>
        <v>27312</v>
      </c>
      <c r="F301" s="31">
        <f>_xlfn.XLOOKUP($A301,'[1]FRV Output'!$F:$F,'[1]FRV Output'!$W:$W)</f>
        <v>140</v>
      </c>
      <c r="G301" s="59">
        <f>_xlfn.XLOOKUP($A301,'[1]FRV Output'!$F:$F,'[1]FRV Output'!$AO:$AO)</f>
        <v>11.150000000000091</v>
      </c>
      <c r="H301" s="63">
        <f t="shared" si="4"/>
        <v>56000</v>
      </c>
      <c r="I301" s="59">
        <f>_xlfn.XLOOKUP($A301,'[1]FRV Output'!$F:$F,'[1]FRV Output'!$Z:$Z)</f>
        <v>400</v>
      </c>
      <c r="J301" s="162">
        <v>29.25</v>
      </c>
      <c r="K301" s="164">
        <v>1.1884999999999999</v>
      </c>
      <c r="L301" s="59">
        <f>_xlfn.XLOOKUP(A301,'[1]Aging Schedule'!$OA:$OA,'[1]Aging Schedule'!$NW:$NW)</f>
        <v>11.150000000000091</v>
      </c>
      <c r="M301" s="59">
        <f>_xlfn.XLOOKUP(A301,'[1]FRV Output'!$F:$F,'[1]FRV Output'!$BC:$BC)</f>
        <v>21.533676083158717</v>
      </c>
      <c r="N301" s="68"/>
      <c r="O301" s="68"/>
      <c r="R301" s="31"/>
      <c r="T301" s="59"/>
      <c r="U301" s="108"/>
      <c r="V301" s="110"/>
    </row>
    <row r="302" spans="1:22" hidden="1" x14ac:dyDescent="0.25">
      <c r="A302">
        <v>1427003110</v>
      </c>
      <c r="B302" s="36">
        <v>0.65177469135802468</v>
      </c>
      <c r="C302" s="63">
        <f>_xlfn.XLOOKUP($A302,'[1]FRV Output'!$F:$F,'[1]FRV Output'!$M:$M)</f>
        <v>36601</v>
      </c>
      <c r="D302" s="63">
        <f>_xlfn.XLOOKUP($A302,'[1]FRV Output'!$F:$F,'[1]FRV Output'!$N:$N)</f>
        <v>36701.27671232877</v>
      </c>
      <c r="E302" s="31">
        <f>_xlfn.XLOOKUP(A302,'[1]FRV Output'!$F:$F,'[1]FRV Output'!$U:$U)</f>
        <v>27529</v>
      </c>
      <c r="F302" s="31">
        <f>_xlfn.XLOOKUP($A302,'[1]FRV Output'!$F:$F,'[1]FRV Output'!$W:$W)</f>
        <v>120</v>
      </c>
      <c r="G302" s="59">
        <f>_xlfn.XLOOKUP($A302,'[1]FRV Output'!$F:$F,'[1]FRV Output'!$AO:$AO)</f>
        <v>14.660000000000082</v>
      </c>
      <c r="H302" s="63">
        <f t="shared" si="4"/>
        <v>48000</v>
      </c>
      <c r="I302" s="59">
        <f>_xlfn.XLOOKUP($A302,'[1]FRV Output'!$F:$F,'[1]FRV Output'!$Z:$Z)</f>
        <v>400</v>
      </c>
      <c r="J302" s="162">
        <v>29.25</v>
      </c>
      <c r="K302" s="164">
        <v>1.1657999999999999</v>
      </c>
      <c r="L302" s="59">
        <f>_xlfn.XLOOKUP(A302,'[1]Aging Schedule'!$OA:$OA,'[1]Aging Schedule'!$NW:$NW)</f>
        <v>14.660000000000082</v>
      </c>
      <c r="M302" s="59">
        <f>_xlfn.XLOOKUP(A302,'[1]FRV Output'!$F:$F,'[1]FRV Output'!$BC:$BC)</f>
        <v>20.059438947945232</v>
      </c>
      <c r="N302" s="68"/>
      <c r="O302" s="68"/>
      <c r="R302" s="31"/>
      <c r="T302" s="59"/>
      <c r="U302" s="108"/>
      <c r="V302" s="110"/>
    </row>
    <row r="303" spans="1:22" hidden="1" x14ac:dyDescent="0.25">
      <c r="A303">
        <v>1598710949</v>
      </c>
      <c r="B303" s="36">
        <v>0.60584560808205434</v>
      </c>
      <c r="C303" s="63">
        <f>_xlfn.XLOOKUP($A303,'[1]FRV Output'!$F:$F,'[1]FRV Output'!$M:$M)</f>
        <v>30300</v>
      </c>
      <c r="D303" s="63">
        <f>_xlfn.XLOOKUP($A303,'[1]FRV Output'!$F:$F,'[1]FRV Output'!$N:$N)</f>
        <v>30383.01369863014</v>
      </c>
      <c r="E303" s="31">
        <f>_xlfn.XLOOKUP(A303,'[1]FRV Output'!$F:$F,'[1]FRV Output'!$U:$U)</f>
        <v>28803</v>
      </c>
      <c r="F303" s="31">
        <f>_xlfn.XLOOKUP($A303,'[1]FRV Output'!$F:$F,'[1]FRV Output'!$W:$W)</f>
        <v>98</v>
      </c>
      <c r="G303" s="59">
        <f>_xlfn.XLOOKUP($A303,'[1]FRV Output'!$F:$F,'[1]FRV Output'!$AO:$AO)</f>
        <v>14.809999999999945</v>
      </c>
      <c r="H303" s="63">
        <f t="shared" si="4"/>
        <v>39200</v>
      </c>
      <c r="I303" s="59">
        <f>_xlfn.XLOOKUP($A303,'[1]FRV Output'!$F:$F,'[1]FRV Output'!$Z:$Z)</f>
        <v>400</v>
      </c>
      <c r="J303" s="162">
        <v>29.25</v>
      </c>
      <c r="K303" s="164">
        <v>1.2053</v>
      </c>
      <c r="L303" s="59">
        <f>_xlfn.XLOOKUP(A303,'[1]Aging Schedule'!$OA:$OA,'[1]Aging Schedule'!$NW:$NW)</f>
        <v>14.809999999999945</v>
      </c>
      <c r="M303" s="59">
        <f>_xlfn.XLOOKUP(A303,'[1]FRV Output'!$F:$F,'[1]FRV Output'!$BC:$BC)</f>
        <v>19.362723728605921</v>
      </c>
      <c r="N303" s="68"/>
      <c r="O303" s="68"/>
      <c r="R303" s="31"/>
      <c r="T303" s="59"/>
      <c r="U303" s="108"/>
      <c r="V303" s="110"/>
    </row>
    <row r="304" spans="1:22" hidden="1" x14ac:dyDescent="0.25">
      <c r="A304">
        <v>1770538092</v>
      </c>
      <c r="B304" s="36">
        <v>0.65604907250018474</v>
      </c>
      <c r="C304" s="63">
        <f>_xlfn.XLOOKUP($A304,'[1]FRV Output'!$F:$F,'[1]FRV Output'!$M:$M)</f>
        <v>28216</v>
      </c>
      <c r="D304" s="63">
        <f>_xlfn.XLOOKUP($A304,'[1]FRV Output'!$F:$F,'[1]FRV Output'!$N:$N)</f>
        <v>28293.304109589044</v>
      </c>
      <c r="E304" s="31">
        <f>_xlfn.XLOOKUP(A304,'[1]FRV Output'!$F:$F,'[1]FRV Output'!$U:$U)</f>
        <v>28792</v>
      </c>
      <c r="F304" s="31">
        <f>_xlfn.XLOOKUP($A304,'[1]FRV Output'!$F:$F,'[1]FRV Output'!$W:$W)</f>
        <v>100</v>
      </c>
      <c r="G304" s="59">
        <f>_xlfn.XLOOKUP($A304,'[1]FRV Output'!$F:$F,'[1]FRV Output'!$AO:$AO)</f>
        <v>25.349999999999909</v>
      </c>
      <c r="H304" s="63">
        <f t="shared" si="4"/>
        <v>35000</v>
      </c>
      <c r="I304" s="59">
        <f>_xlfn.XLOOKUP($A304,'[1]FRV Output'!$F:$F,'[1]FRV Output'!$Z:$Z)</f>
        <v>350</v>
      </c>
      <c r="J304" s="162">
        <v>29.25</v>
      </c>
      <c r="K304" s="164">
        <v>1.2175</v>
      </c>
      <c r="L304" s="59">
        <f>_xlfn.XLOOKUP(A304,'[1]Aging Schedule'!$OA:$OA,'[1]Aging Schedule'!$NW:$NW)</f>
        <v>25.349999999999909</v>
      </c>
      <c r="M304" s="59">
        <f>_xlfn.XLOOKUP(A304,'[1]FRV Output'!$F:$F,'[1]FRV Output'!$BC:$BC)</f>
        <v>13.951782514907361</v>
      </c>
      <c r="N304" s="68"/>
      <c r="O304" s="68"/>
      <c r="R304" s="31"/>
      <c r="T304" s="59"/>
      <c r="U304" s="108"/>
      <c r="V304" s="110"/>
    </row>
    <row r="305" spans="1:22" hidden="1" x14ac:dyDescent="0.25">
      <c r="A305">
        <v>1871548487</v>
      </c>
      <c r="B305" s="36">
        <v>0.56716532412734944</v>
      </c>
      <c r="C305" s="63">
        <f>_xlfn.XLOOKUP($A305,'[1]FRV Output'!$F:$F,'[1]FRV Output'!$M:$M)</f>
        <v>23964</v>
      </c>
      <c r="D305" s="63">
        <f>_xlfn.XLOOKUP($A305,'[1]FRV Output'!$F:$F,'[1]FRV Output'!$N:$N)</f>
        <v>24029.654794520549</v>
      </c>
      <c r="E305" s="31">
        <f>_xlfn.XLOOKUP(A305,'[1]FRV Output'!$F:$F,'[1]FRV Output'!$U:$U)</f>
        <v>28147</v>
      </c>
      <c r="F305" s="31">
        <f>_xlfn.XLOOKUP($A305,'[1]FRV Output'!$F:$F,'[1]FRV Output'!$W:$W)</f>
        <v>60</v>
      </c>
      <c r="G305" s="59">
        <f>_xlfn.XLOOKUP($A305,'[1]FRV Output'!$F:$F,'[1]FRV Output'!$AO:$AO)</f>
        <v>11.1099999999999</v>
      </c>
      <c r="H305" s="63">
        <f t="shared" si="4"/>
        <v>24000</v>
      </c>
      <c r="I305" s="59">
        <f>_xlfn.XLOOKUP($A305,'[1]FRV Output'!$F:$F,'[1]FRV Output'!$Z:$Z)</f>
        <v>400</v>
      </c>
      <c r="J305" s="162">
        <v>29.25</v>
      </c>
      <c r="K305" s="164">
        <v>1.1352</v>
      </c>
      <c r="L305" s="59">
        <f>_xlfn.XLOOKUP(A305,'[1]Aging Schedule'!$OA:$OA,'[1]Aging Schedule'!$NW:$NW)</f>
        <v>11.1099999999999</v>
      </c>
      <c r="M305" s="59">
        <f>_xlfn.XLOOKUP(A305,'[1]FRV Output'!$F:$F,'[1]FRV Output'!$BC:$BC)</f>
        <v>17.23430985728595</v>
      </c>
      <c r="N305" s="68"/>
      <c r="O305" s="68"/>
      <c r="R305" s="31"/>
      <c r="T305" s="59"/>
      <c r="U305" s="108"/>
      <c r="V305" s="110"/>
    </row>
    <row r="306" spans="1:22" hidden="1" x14ac:dyDescent="0.25">
      <c r="A306">
        <v>1467407775</v>
      </c>
      <c r="B306" s="36">
        <v>0.64458590697088114</v>
      </c>
      <c r="C306" s="63">
        <f>_xlfn.XLOOKUP($A306,'[1]FRV Output'!$F:$F,'[1]FRV Output'!$M:$M)</f>
        <v>18072</v>
      </c>
      <c r="D306" s="63">
        <f>_xlfn.XLOOKUP($A306,'[1]FRV Output'!$F:$F,'[1]FRV Output'!$N:$N)</f>
        <v>18121.512328767127</v>
      </c>
      <c r="E306" s="31">
        <f>_xlfn.XLOOKUP(A306,'[1]FRV Output'!$F:$F,'[1]FRV Output'!$U:$U)</f>
        <v>28805</v>
      </c>
      <c r="F306" s="31">
        <f>_xlfn.XLOOKUP($A306,'[1]FRV Output'!$F:$F,'[1]FRV Output'!$W:$W)</f>
        <v>60</v>
      </c>
      <c r="G306" s="59">
        <f>_xlfn.XLOOKUP($A306,'[1]FRV Output'!$F:$F,'[1]FRV Output'!$AO:$AO)</f>
        <v>1</v>
      </c>
      <c r="H306" s="63">
        <f t="shared" si="4"/>
        <v>25500</v>
      </c>
      <c r="I306" s="59">
        <f>_xlfn.XLOOKUP($A306,'[1]FRV Output'!$F:$F,'[1]FRV Output'!$Z:$Z)</f>
        <v>425</v>
      </c>
      <c r="J306" s="162">
        <v>29.25</v>
      </c>
      <c r="K306" s="164">
        <v>1.1606000000000001</v>
      </c>
      <c r="L306" s="59">
        <f>_xlfn.XLOOKUP(A306,'[1]Aging Schedule'!$OA:$OA,'[1]Aging Schedule'!$NW:$NW)</f>
        <v>1</v>
      </c>
      <c r="M306" s="59">
        <f>_xlfn.XLOOKUP(A306,'[1]FRV Output'!$F:$F,'[1]FRV Output'!$BC:$BC)</f>
        <v>26.260288223207095</v>
      </c>
      <c r="N306" s="68"/>
      <c r="O306" s="68"/>
      <c r="R306" s="31"/>
      <c r="T306" s="59"/>
      <c r="U306" s="108"/>
      <c r="V306" s="110"/>
    </row>
    <row r="307" spans="1:22" hidden="1" x14ac:dyDescent="0.25">
      <c r="A307">
        <v>1881993079</v>
      </c>
      <c r="B307" s="36">
        <v>0.75643642589056426</v>
      </c>
      <c r="C307" s="63">
        <f>_xlfn.XLOOKUP($A307,'[1]FRV Output'!$F:$F,'[1]FRV Output'!$M:$M)</f>
        <v>34006</v>
      </c>
      <c r="D307" s="63">
        <f>_xlfn.XLOOKUP($A307,'[1]FRV Output'!$F:$F,'[1]FRV Output'!$N:$N)</f>
        <v>34099.167123287676</v>
      </c>
      <c r="E307" s="31">
        <f>_xlfn.XLOOKUP(A307,'[1]FRV Output'!$F:$F,'[1]FRV Output'!$U:$U)</f>
        <v>27103</v>
      </c>
      <c r="F307" s="31">
        <f>_xlfn.XLOOKUP($A307,'[1]FRV Output'!$F:$F,'[1]FRV Output'!$W:$W)</f>
        <v>151</v>
      </c>
      <c r="G307" s="59">
        <f>_xlfn.XLOOKUP($A307,'[1]FRV Output'!$F:$F,'[1]FRV Output'!$AO:$AO)</f>
        <v>19.839999999999918</v>
      </c>
      <c r="H307" s="63">
        <f t="shared" si="4"/>
        <v>121076.64122137404</v>
      </c>
      <c r="I307" s="59">
        <f>_xlfn.XLOOKUP($A307,'[1]FRV Output'!$F:$F,'[1]FRV Output'!$Z:$Z)</f>
        <v>801.83206106870227</v>
      </c>
      <c r="J307" s="162">
        <v>29.25</v>
      </c>
      <c r="K307" s="164">
        <v>1.2613000000000001</v>
      </c>
      <c r="L307" s="59">
        <f>_xlfn.XLOOKUP(A307,'[1]Aging Schedule'!$OA:$OA,'[1]Aging Schedule'!$NW:$NW)</f>
        <v>19.839999999999918</v>
      </c>
      <c r="M307" s="59">
        <f>_xlfn.XLOOKUP(A307,'[1]FRV Output'!$F:$F,'[1]FRV Output'!$BC:$BC)</f>
        <v>30.231388089282845</v>
      </c>
      <c r="N307" s="68"/>
      <c r="O307" s="68"/>
      <c r="R307" s="31"/>
      <c r="T307" s="59"/>
      <c r="U307" s="108"/>
      <c r="V307" s="110"/>
    </row>
    <row r="308" spans="1:22" hidden="1" x14ac:dyDescent="0.25">
      <c r="A308">
        <v>1255379293</v>
      </c>
      <c r="B308" s="36">
        <v>0.66238050926317571</v>
      </c>
      <c r="C308" s="63">
        <f>_xlfn.XLOOKUP($A308,'[1]FRV Output'!$F:$F,'[1]FRV Output'!$M:$M)</f>
        <v>26742</v>
      </c>
      <c r="D308" s="63">
        <f>_xlfn.XLOOKUP($A308,'[1]FRV Output'!$F:$F,'[1]FRV Output'!$N:$N)</f>
        <v>26815.265753424661</v>
      </c>
      <c r="E308" s="31">
        <f>_xlfn.XLOOKUP(A308,'[1]FRV Output'!$F:$F,'[1]FRV Output'!$U:$U)</f>
        <v>28704</v>
      </c>
      <c r="F308" s="31">
        <f>_xlfn.XLOOKUP($A308,'[1]FRV Output'!$F:$F,'[1]FRV Output'!$W:$W)</f>
        <v>100</v>
      </c>
      <c r="G308" s="59">
        <f>_xlfn.XLOOKUP($A308,'[1]FRV Output'!$F:$F,'[1]FRV Output'!$AO:$AO)</f>
        <v>24.160000000000082</v>
      </c>
      <c r="H308" s="63">
        <f t="shared" si="4"/>
        <v>38658</v>
      </c>
      <c r="I308" s="59">
        <f>_xlfn.XLOOKUP($A308,'[1]FRV Output'!$F:$F,'[1]FRV Output'!$Z:$Z)</f>
        <v>386.58</v>
      </c>
      <c r="J308" s="162">
        <v>29.25</v>
      </c>
      <c r="K308" s="164">
        <v>1.1183000000000001</v>
      </c>
      <c r="L308" s="59">
        <f>_xlfn.XLOOKUP(A308,'[1]Aging Schedule'!$OA:$OA,'[1]Aging Schedule'!$NW:$NW)</f>
        <v>24.160000000000082</v>
      </c>
      <c r="M308" s="59">
        <f>_xlfn.XLOOKUP(A308,'[1]FRV Output'!$F:$F,'[1]FRV Output'!$BC:$BC)</f>
        <v>14.887663058374127</v>
      </c>
      <c r="N308" s="68"/>
      <c r="O308" s="68"/>
      <c r="R308" s="31"/>
      <c r="T308" s="59"/>
      <c r="U308" s="108"/>
      <c r="V308" s="110"/>
    </row>
    <row r="309" spans="1:22" hidden="1" x14ac:dyDescent="0.25">
      <c r="A309">
        <v>1881648350</v>
      </c>
      <c r="B309" s="36">
        <v>0.61030425963488844</v>
      </c>
      <c r="C309" s="63">
        <f>_xlfn.XLOOKUP($A309,'[1]FRV Output'!$F:$F,'[1]FRV Output'!$M:$M)</f>
        <v>15976</v>
      </c>
      <c r="D309" s="63">
        <f>_xlfn.XLOOKUP($A309,'[1]FRV Output'!$F:$F,'[1]FRV Output'!$N:$N)</f>
        <v>16019.7698630137</v>
      </c>
      <c r="E309" s="31">
        <f>_xlfn.XLOOKUP(A309,'[1]FRV Output'!$F:$F,'[1]FRV Output'!$U:$U)</f>
        <v>27983</v>
      </c>
      <c r="F309" s="31">
        <f>_xlfn.XLOOKUP($A309,'[1]FRV Output'!$F:$F,'[1]FRV Output'!$W:$W)</f>
        <v>60</v>
      </c>
      <c r="G309" s="59">
        <f>_xlfn.XLOOKUP($A309,'[1]FRV Output'!$F:$F,'[1]FRV Output'!$AO:$AO)</f>
        <v>8.1700000000000728</v>
      </c>
      <c r="H309" s="63">
        <f t="shared" si="4"/>
        <v>33396.123217922606</v>
      </c>
      <c r="I309" s="59">
        <f>_xlfn.XLOOKUP($A309,'[1]FRV Output'!$F:$F,'[1]FRV Output'!$Z:$Z)</f>
        <v>556.60205363204341</v>
      </c>
      <c r="J309" s="162">
        <v>29.25</v>
      </c>
      <c r="K309" s="164">
        <v>1.1328</v>
      </c>
      <c r="L309" s="59">
        <f>_xlfn.XLOOKUP(A309,'[1]Aging Schedule'!$OA:$OA,'[1]Aging Schedule'!$NW:$NW)</f>
        <v>8.1700000000000728</v>
      </c>
      <c r="M309" s="59">
        <f>_xlfn.XLOOKUP(A309,'[1]FRV Output'!$F:$F,'[1]FRV Output'!$BC:$BC)</f>
        <v>31.438787827008852</v>
      </c>
      <c r="N309" s="68"/>
      <c r="O309" s="68"/>
      <c r="R309" s="31"/>
      <c r="T309" s="59"/>
      <c r="U309" s="108"/>
      <c r="V309" s="110"/>
    </row>
    <row r="310" spans="1:22" hidden="1" x14ac:dyDescent="0.25">
      <c r="A310">
        <v>1669410312</v>
      </c>
      <c r="B310" s="36">
        <v>0.65582697992842698</v>
      </c>
      <c r="C310" s="63">
        <f>_xlfn.XLOOKUP($A310,'[1]FRV Output'!$F:$F,'[1]FRV Output'!$M:$M)</f>
        <v>27143</v>
      </c>
      <c r="D310" s="63">
        <f>_xlfn.XLOOKUP($A310,'[1]FRV Output'!$F:$F,'[1]FRV Output'!$N:$N)</f>
        <v>27217.364383561646</v>
      </c>
      <c r="E310" s="31">
        <f>_xlfn.XLOOKUP(A310,'[1]FRV Output'!$F:$F,'[1]FRV Output'!$U:$U)</f>
        <v>28083</v>
      </c>
      <c r="F310" s="31">
        <f>_xlfn.XLOOKUP($A310,'[1]FRV Output'!$F:$F,'[1]FRV Output'!$W:$W)</f>
        <v>107</v>
      </c>
      <c r="G310" s="59">
        <f>_xlfn.XLOOKUP($A310,'[1]FRV Output'!$F:$F,'[1]FRV Output'!$AO:$AO)</f>
        <v>26.200000000000045</v>
      </c>
      <c r="H310" s="63">
        <f t="shared" si="4"/>
        <v>40276</v>
      </c>
      <c r="I310" s="59">
        <f>_xlfn.XLOOKUP($A310,'[1]FRV Output'!$F:$F,'[1]FRV Output'!$Z:$Z)</f>
        <v>376.41121495327104</v>
      </c>
      <c r="J310" s="162">
        <v>29.25</v>
      </c>
      <c r="K310" s="164">
        <v>1.1763999999999999</v>
      </c>
      <c r="L310" s="59">
        <f>_xlfn.XLOOKUP(A310,'[1]Aging Schedule'!$OA:$OA,'[1]Aging Schedule'!$NW:$NW)</f>
        <v>26.200000000000045</v>
      </c>
      <c r="M310" s="59">
        <f>_xlfn.XLOOKUP(A310,'[1]FRV Output'!$F:$F,'[1]FRV Output'!$BC:$BC)</f>
        <v>13.791630406157338</v>
      </c>
      <c r="N310" s="68"/>
      <c r="O310" s="68"/>
      <c r="R310" s="31"/>
      <c r="T310" s="59"/>
      <c r="U310" s="108"/>
      <c r="V310" s="110"/>
    </row>
    <row r="311" spans="1:22" hidden="1" x14ac:dyDescent="0.25">
      <c r="A311">
        <v>1184705048</v>
      </c>
      <c r="B311" s="36">
        <v>0.64491239350586727</v>
      </c>
      <c r="C311" s="63">
        <f>_xlfn.XLOOKUP($A311,'[1]FRV Output'!$F:$F,'[1]FRV Output'!$M:$M)</f>
        <v>13692</v>
      </c>
      <c r="D311" s="63">
        <f>_xlfn.XLOOKUP($A311,'[1]FRV Output'!$F:$F,'[1]FRV Output'!$N:$N)</f>
        <v>13729.512328767125</v>
      </c>
      <c r="E311" s="31">
        <f>_xlfn.XLOOKUP(A311,'[1]FRV Output'!$F:$F,'[1]FRV Output'!$U:$U)</f>
        <v>28573</v>
      </c>
      <c r="F311" s="31">
        <f>_xlfn.XLOOKUP($A311,'[1]FRV Output'!$F:$F,'[1]FRV Output'!$W:$W)</f>
        <v>80</v>
      </c>
      <c r="G311" s="59">
        <f>_xlfn.XLOOKUP($A311,'[1]FRV Output'!$F:$F,'[1]FRV Output'!$AO:$AO)</f>
        <v>31.019999999999982</v>
      </c>
      <c r="H311" s="63">
        <f t="shared" si="4"/>
        <v>26000</v>
      </c>
      <c r="I311" s="59">
        <f>_xlfn.XLOOKUP($A311,'[1]FRV Output'!$F:$F,'[1]FRV Output'!$Z:$Z)</f>
        <v>325</v>
      </c>
      <c r="J311" s="162">
        <v>29.25</v>
      </c>
      <c r="K311" s="164">
        <v>0.9728</v>
      </c>
      <c r="L311" s="59">
        <f>_xlfn.XLOOKUP(A311,'[1]Aging Schedule'!$OA:$OA,'[1]Aging Schedule'!$NW:$NW)</f>
        <v>31.019999999999982</v>
      </c>
      <c r="M311" s="59">
        <f>_xlfn.XLOOKUP(A311,'[1]FRV Output'!$F:$F,'[1]FRV Output'!$BC:$BC)</f>
        <v>9.8676494238517289</v>
      </c>
      <c r="N311" s="68"/>
      <c r="O311" s="68"/>
      <c r="R311" s="31"/>
      <c r="T311" s="59"/>
      <c r="U311" s="108"/>
      <c r="V311" s="110"/>
    </row>
    <row r="312" spans="1:22" hidden="1" x14ac:dyDescent="0.25">
      <c r="A312">
        <v>1386187813</v>
      </c>
      <c r="B312" s="36">
        <v>0.62679657269209499</v>
      </c>
      <c r="C312" s="63">
        <f>_xlfn.XLOOKUP($A312,'[1]FRV Output'!$F:$F,'[1]FRV Output'!$M:$M)</f>
        <v>32046</v>
      </c>
      <c r="D312" s="63">
        <f>_xlfn.XLOOKUP($A312,'[1]FRV Output'!$F:$F,'[1]FRV Output'!$N:$N)</f>
        <v>32133.797260273976</v>
      </c>
      <c r="E312" s="31">
        <f>_xlfn.XLOOKUP(A312,'[1]FRV Output'!$F:$F,'[1]FRV Output'!$U:$U)</f>
        <v>27712</v>
      </c>
      <c r="F312" s="31">
        <f>_xlfn.XLOOKUP($A312,'[1]FRV Output'!$F:$F,'[1]FRV Output'!$W:$W)</f>
        <v>132</v>
      </c>
      <c r="G312" s="59">
        <f>_xlfn.XLOOKUP($A312,'[1]FRV Output'!$F:$F,'[1]FRV Output'!$AO:$AO)</f>
        <v>27.759999999999991</v>
      </c>
      <c r="H312" s="63">
        <f t="shared" si="4"/>
        <v>50962</v>
      </c>
      <c r="I312" s="59">
        <f>_xlfn.XLOOKUP($A312,'[1]FRV Output'!$F:$F,'[1]FRV Output'!$Z:$Z)</f>
        <v>386.07575757575756</v>
      </c>
      <c r="J312" s="162">
        <v>29.25</v>
      </c>
      <c r="K312" s="164">
        <v>1.1271</v>
      </c>
      <c r="L312" s="59">
        <f>_xlfn.XLOOKUP(A312,'[1]Aging Schedule'!$OA:$OA,'[1]Aging Schedule'!$NW:$NW)</f>
        <v>27.759999999999991</v>
      </c>
      <c r="M312" s="59">
        <f>_xlfn.XLOOKUP(A312,'[1]FRV Output'!$F:$F,'[1]FRV Output'!$BC:$BC)</f>
        <v>13.539980109354506</v>
      </c>
      <c r="N312" s="68"/>
      <c r="O312" s="68"/>
      <c r="R312" s="31"/>
      <c r="T312" s="59"/>
      <c r="U312" s="108"/>
      <c r="V312" s="110"/>
    </row>
    <row r="313" spans="1:22" hidden="1" x14ac:dyDescent="0.25">
      <c r="A313">
        <v>1669449799</v>
      </c>
      <c r="B313" s="36">
        <v>0.65688376937687643</v>
      </c>
      <c r="C313" s="63">
        <f>_xlfn.XLOOKUP($A313,'[1]FRV Output'!$F:$F,'[1]FRV Output'!$M:$M)</f>
        <v>27822</v>
      </c>
      <c r="D313" s="63">
        <f>_xlfn.XLOOKUP($A313,'[1]FRV Output'!$F:$F,'[1]FRV Output'!$N:$N)</f>
        <v>27898.224657534251</v>
      </c>
      <c r="E313" s="31">
        <f>_xlfn.XLOOKUP(A313,'[1]FRV Output'!$F:$F,'[1]FRV Output'!$U:$U)</f>
        <v>27215</v>
      </c>
      <c r="F313" s="31">
        <f>_xlfn.XLOOKUP($A313,'[1]FRV Output'!$F:$F,'[1]FRV Output'!$W:$W)</f>
        <v>104</v>
      </c>
      <c r="G313" s="59">
        <f>_xlfn.XLOOKUP($A313,'[1]FRV Output'!$F:$F,'[1]FRV Output'!$AO:$AO)</f>
        <v>1.0799999999999272</v>
      </c>
      <c r="H313" s="63">
        <f t="shared" si="4"/>
        <v>130999.99999999999</v>
      </c>
      <c r="I313" s="59">
        <f>_xlfn.XLOOKUP($A313,'[1]FRV Output'!$F:$F,'[1]FRV Output'!$Z:$Z)</f>
        <v>1259.6153846153845</v>
      </c>
      <c r="J313" s="162">
        <v>0</v>
      </c>
      <c r="K313" s="164">
        <v>0.96360000000000001</v>
      </c>
      <c r="L313" s="59">
        <f>_xlfn.XLOOKUP(A313,'[1]Aging Schedule'!$OA:$OA,'[1]Aging Schedule'!$NW:$NW)</f>
        <v>1.0799999999999272</v>
      </c>
      <c r="M313" s="59">
        <f>_xlfn.XLOOKUP(A313,'[1]FRV Output'!$F:$F,'[1]FRV Output'!$BC:$BC)</f>
        <v>43.494377310555969</v>
      </c>
      <c r="N313" s="68"/>
      <c r="O313" s="68"/>
      <c r="R313" s="31"/>
      <c r="T313" s="59"/>
      <c r="U313" s="108"/>
      <c r="V313" s="110"/>
    </row>
    <row r="314" spans="1:22" hidden="1" x14ac:dyDescent="0.25">
      <c r="A314">
        <v>1245285253</v>
      </c>
      <c r="B314" s="36">
        <v>0.55002576750349708</v>
      </c>
      <c r="C314" s="63">
        <f>_xlfn.XLOOKUP($A314,'[1]FRV Output'!$F:$F,'[1]FRV Output'!$M:$M)</f>
        <v>30012</v>
      </c>
      <c r="D314" s="63">
        <f>_xlfn.XLOOKUP($A314,'[1]FRV Output'!$F:$F,'[1]FRV Output'!$N:$N)</f>
        <v>30094.224657534251</v>
      </c>
      <c r="E314" s="31">
        <f>_xlfn.XLOOKUP(A314,'[1]FRV Output'!$F:$F,'[1]FRV Output'!$U:$U)</f>
        <v>28560</v>
      </c>
      <c r="F314" s="31">
        <f>_xlfn.XLOOKUP($A314,'[1]FRV Output'!$F:$F,'[1]FRV Output'!$W:$W)</f>
        <v>110</v>
      </c>
      <c r="G314" s="59">
        <f>_xlfn.XLOOKUP($A314,'[1]FRV Output'!$F:$F,'[1]FRV Output'!$AO:$AO)</f>
        <v>4.6900000000000546</v>
      </c>
      <c r="H314" s="63">
        <f t="shared" si="4"/>
        <v>22000</v>
      </c>
      <c r="I314" s="59">
        <f>_xlfn.XLOOKUP($A314,'[1]FRV Output'!$F:$F,'[1]FRV Output'!$Z:$Z)</f>
        <v>200</v>
      </c>
      <c r="J314" s="162">
        <v>29.25</v>
      </c>
      <c r="K314" s="164">
        <v>1.1941999999999999</v>
      </c>
      <c r="L314" s="59">
        <f>_xlfn.XLOOKUP(A314,'[1]Aging Schedule'!$OA:$OA,'[1]Aging Schedule'!$NW:$NW)</f>
        <v>4.6900000000000546</v>
      </c>
      <c r="M314" s="59">
        <f>_xlfn.XLOOKUP(A314,'[1]FRV Output'!$F:$F,'[1]FRV Output'!$BC:$BC)</f>
        <v>25.640708927236069</v>
      </c>
      <c r="N314" s="68"/>
      <c r="O314" s="68"/>
      <c r="R314" s="31"/>
      <c r="T314" s="59"/>
      <c r="U314" s="108"/>
      <c r="V314" s="110"/>
    </row>
    <row r="315" spans="1:22" hidden="1" x14ac:dyDescent="0.25">
      <c r="A315">
        <v>1124015458</v>
      </c>
      <c r="B315" s="36">
        <v>0.64410813449685722</v>
      </c>
      <c r="C315" s="63">
        <f>_xlfn.XLOOKUP($A315,'[1]FRV Output'!$F:$F,'[1]FRV Output'!$M:$M)</f>
        <v>26039</v>
      </c>
      <c r="D315" s="63">
        <f>_xlfn.XLOOKUP($A315,'[1]FRV Output'!$F:$F,'[1]FRV Output'!$N:$N)</f>
        <v>26110.3397260274</v>
      </c>
      <c r="E315" s="31">
        <f>_xlfn.XLOOKUP(A315,'[1]FRV Output'!$F:$F,'[1]FRV Output'!$U:$U)</f>
        <v>27360</v>
      </c>
      <c r="F315" s="31">
        <f>_xlfn.XLOOKUP($A315,'[1]FRV Output'!$F:$F,'[1]FRV Output'!$W:$W)</f>
        <v>114</v>
      </c>
      <c r="G315" s="59">
        <f>_xlfn.XLOOKUP($A315,'[1]FRV Output'!$F:$F,'[1]FRV Output'!$AO:$AO)</f>
        <v>12.549999999999955</v>
      </c>
      <c r="H315" s="63">
        <f t="shared" si="4"/>
        <v>93025.95446546415</v>
      </c>
      <c r="I315" s="59">
        <f>_xlfn.XLOOKUP($A315,'[1]FRV Output'!$F:$F,'[1]FRV Output'!$Z:$Z)</f>
        <v>816.01714443389608</v>
      </c>
      <c r="J315" s="162">
        <v>0</v>
      </c>
      <c r="K315" s="164">
        <v>1.1059000000000001</v>
      </c>
      <c r="L315" s="59">
        <f>_xlfn.XLOOKUP(A315,'[1]Aging Schedule'!$OA:$OA,'[1]Aging Schedule'!$NW:$NW)</f>
        <v>12.549999999999955</v>
      </c>
      <c r="M315" s="59">
        <f>_xlfn.XLOOKUP(A315,'[1]FRV Output'!$F:$F,'[1]FRV Output'!$BC:$BC)</f>
        <v>35.493978101531091</v>
      </c>
      <c r="N315" s="68"/>
      <c r="O315" s="68"/>
      <c r="R315" s="31"/>
      <c r="T315" s="59"/>
      <c r="U315" s="108"/>
      <c r="V315" s="110"/>
    </row>
    <row r="316" spans="1:22" hidden="1" x14ac:dyDescent="0.25">
      <c r="A316">
        <v>1629047279</v>
      </c>
      <c r="B316" s="36">
        <v>0.62633234317665565</v>
      </c>
      <c r="C316" s="63">
        <f>_xlfn.XLOOKUP($A316,'[1]FRV Output'!$F:$F,'[1]FRV Output'!$M:$M)</f>
        <v>30843</v>
      </c>
      <c r="D316" s="63">
        <f>_xlfn.XLOOKUP($A316,'[1]FRV Output'!$F:$F,'[1]FRV Output'!$N:$N)</f>
        <v>30927.501369863017</v>
      </c>
      <c r="E316" s="31">
        <f>_xlfn.XLOOKUP(A316,'[1]FRV Output'!$F:$F,'[1]FRV Output'!$U:$U)</f>
        <v>27021</v>
      </c>
      <c r="F316" s="31">
        <f>_xlfn.XLOOKUP($A316,'[1]FRV Output'!$F:$F,'[1]FRV Output'!$W:$W)</f>
        <v>96</v>
      </c>
      <c r="G316" s="59">
        <f>_xlfn.XLOOKUP($A316,'[1]FRV Output'!$F:$F,'[1]FRV Output'!$AO:$AO)</f>
        <v>25.869999999999891</v>
      </c>
      <c r="H316" s="63">
        <f t="shared" si="4"/>
        <v>25874.399999999998</v>
      </c>
      <c r="I316" s="59">
        <f>_xlfn.XLOOKUP($A316,'[1]FRV Output'!$F:$F,'[1]FRV Output'!$Z:$Z)</f>
        <v>269.52499999999998</v>
      </c>
      <c r="J316" s="162">
        <v>29.25</v>
      </c>
      <c r="K316" s="164">
        <v>1.323</v>
      </c>
      <c r="L316" s="59">
        <f>_xlfn.XLOOKUP(A316,'[1]Aging Schedule'!$OA:$OA,'[1]Aging Schedule'!$NW:$NW)</f>
        <v>25.869999999999891</v>
      </c>
      <c r="M316" s="59">
        <f>_xlfn.XLOOKUP(A316,'[1]FRV Output'!$F:$F,'[1]FRV Output'!$BC:$BC)</f>
        <v>12.579780661336416</v>
      </c>
      <c r="N316" s="68"/>
      <c r="O316" s="68"/>
      <c r="R316" s="31"/>
      <c r="T316" s="59"/>
      <c r="U316" s="108"/>
      <c r="V316" s="110"/>
    </row>
    <row r="317" spans="1:22" hidden="1" x14ac:dyDescent="0.25">
      <c r="A317">
        <v>1144299702</v>
      </c>
      <c r="B317" s="36">
        <v>0.68655493482309127</v>
      </c>
      <c r="C317" s="63">
        <f>_xlfn.XLOOKUP($A317,'[1]FRV Output'!$F:$F,'[1]FRV Output'!$M:$M)</f>
        <v>37585</v>
      </c>
      <c r="D317" s="63">
        <f>_xlfn.XLOOKUP($A317,'[1]FRV Output'!$F:$F,'[1]FRV Output'!$N:$N)</f>
        <v>37687.972602739726</v>
      </c>
      <c r="E317" s="31">
        <f>_xlfn.XLOOKUP(A317,'[1]FRV Output'!$F:$F,'[1]FRV Output'!$U:$U)</f>
        <v>27616</v>
      </c>
      <c r="F317" s="31">
        <f>_xlfn.XLOOKUP($A317,'[1]FRV Output'!$F:$F,'[1]FRV Output'!$W:$W)</f>
        <v>132</v>
      </c>
      <c r="G317" s="59">
        <f>_xlfn.XLOOKUP($A317,'[1]FRV Output'!$F:$F,'[1]FRV Output'!$AO:$AO)</f>
        <v>15.940000000000055</v>
      </c>
      <c r="H317" s="63">
        <f t="shared" si="4"/>
        <v>56107</v>
      </c>
      <c r="I317" s="59">
        <f>_xlfn.XLOOKUP($A317,'[1]FRV Output'!$F:$F,'[1]FRV Output'!$Z:$Z)</f>
        <v>425.05303030303031</v>
      </c>
      <c r="J317" s="162">
        <v>29.25</v>
      </c>
      <c r="K317" s="164">
        <v>1.3488</v>
      </c>
      <c r="L317" s="59">
        <f>_xlfn.XLOOKUP(A317,'[1]Aging Schedule'!$OA:$OA,'[1]Aging Schedule'!$NW:$NW)</f>
        <v>15.940000000000055</v>
      </c>
      <c r="M317" s="59">
        <f>_xlfn.XLOOKUP(A317,'[1]FRV Output'!$F:$F,'[1]FRV Output'!$BC:$BC)</f>
        <v>20.647308194912522</v>
      </c>
      <c r="N317" s="68"/>
      <c r="O317" s="68"/>
      <c r="R317" s="31"/>
      <c r="T317" s="59"/>
      <c r="U317" s="108"/>
      <c r="V317" s="110"/>
    </row>
    <row r="318" spans="1:22" hidden="1" x14ac:dyDescent="0.25">
      <c r="A318">
        <v>1942279609</v>
      </c>
      <c r="B318" s="36">
        <v>0.60955532926001355</v>
      </c>
      <c r="C318" s="63">
        <f>_xlfn.XLOOKUP($A318,'[1]FRV Output'!$F:$F,'[1]FRV Output'!$M:$M)</f>
        <v>32520</v>
      </c>
      <c r="D318" s="63">
        <f>_xlfn.XLOOKUP($A318,'[1]FRV Output'!$F:$F,'[1]FRV Output'!$N:$N)</f>
        <v>32609.095890410961</v>
      </c>
      <c r="E318" s="31">
        <f>_xlfn.XLOOKUP(A318,'[1]FRV Output'!$F:$F,'[1]FRV Output'!$U:$U)</f>
        <v>28025</v>
      </c>
      <c r="F318" s="31">
        <f>_xlfn.XLOOKUP($A318,'[1]FRV Output'!$F:$F,'[1]FRV Output'!$W:$W)</f>
        <v>120</v>
      </c>
      <c r="G318" s="59">
        <f>_xlfn.XLOOKUP($A318,'[1]FRV Output'!$F:$F,'[1]FRV Output'!$AO:$AO)</f>
        <v>35.5</v>
      </c>
      <c r="H318" s="63">
        <f t="shared" si="4"/>
        <v>35674</v>
      </c>
      <c r="I318" s="59">
        <f>_xlfn.XLOOKUP($A318,'[1]FRV Output'!$F:$F,'[1]FRV Output'!$Z:$Z)</f>
        <v>297.28333333333336</v>
      </c>
      <c r="J318" s="162">
        <v>29.25</v>
      </c>
      <c r="K318" s="164">
        <v>1.3108</v>
      </c>
      <c r="L318" s="59">
        <f>_xlfn.XLOOKUP(A318,'[1]Aging Schedule'!$OA:$OA,'[1]Aging Schedule'!$NW:$NW)</f>
        <v>36.329999999999927</v>
      </c>
      <c r="M318" s="59">
        <f>_xlfn.XLOOKUP(A318,'[1]FRV Output'!$F:$F,'[1]FRV Output'!$BC:$BC)</f>
        <v>8.6351250846091858</v>
      </c>
      <c r="N318" s="68"/>
      <c r="O318" s="68"/>
      <c r="R318" s="31"/>
      <c r="T318" s="59"/>
      <c r="U318" s="108"/>
      <c r="V318" s="110"/>
    </row>
    <row r="319" spans="1:22" hidden="1" x14ac:dyDescent="0.25">
      <c r="A319">
        <v>1114996758</v>
      </c>
      <c r="B319" s="36">
        <v>0.61918321468714876</v>
      </c>
      <c r="C319" s="63">
        <f>_xlfn.XLOOKUP($A319,'[1]FRV Output'!$F:$F,'[1]FRV Output'!$M:$M)</f>
        <v>26541</v>
      </c>
      <c r="D319" s="63">
        <f>_xlfn.XLOOKUP($A319,'[1]FRV Output'!$F:$F,'[1]FRV Output'!$N:$N)</f>
        <v>26613.715068493155</v>
      </c>
      <c r="E319" s="31">
        <f>_xlfn.XLOOKUP(A319,'[1]FRV Output'!$F:$F,'[1]FRV Output'!$U:$U)</f>
        <v>28732</v>
      </c>
      <c r="F319" s="31">
        <f>_xlfn.XLOOKUP($A319,'[1]FRV Output'!$F:$F,'[1]FRV Output'!$W:$W)</f>
        <v>90</v>
      </c>
      <c r="G319" s="59">
        <f>_xlfn.XLOOKUP($A319,'[1]FRV Output'!$F:$F,'[1]FRV Output'!$AO:$AO)</f>
        <v>19.279999999999973</v>
      </c>
      <c r="H319" s="63">
        <f t="shared" si="4"/>
        <v>38268</v>
      </c>
      <c r="I319" s="59">
        <f>_xlfn.XLOOKUP($A319,'[1]FRV Output'!$F:$F,'[1]FRV Output'!$Z:$Z)</f>
        <v>425.2</v>
      </c>
      <c r="J319" s="162">
        <v>29.25</v>
      </c>
      <c r="K319" s="164">
        <v>1.1751</v>
      </c>
      <c r="L319" s="59">
        <f>_xlfn.XLOOKUP(A319,'[1]Aging Schedule'!$OA:$OA,'[1]Aging Schedule'!$NW:$NW)</f>
        <v>19.279999999999973</v>
      </c>
      <c r="M319" s="59">
        <f>_xlfn.XLOOKUP(A319,'[1]FRV Output'!$F:$F,'[1]FRV Output'!$BC:$BC)</f>
        <v>18.727068834124751</v>
      </c>
      <c r="N319" s="68"/>
      <c r="O319" s="68"/>
      <c r="R319" s="31"/>
      <c r="T319" s="59"/>
      <c r="U319" s="108"/>
      <c r="V319" s="110"/>
    </row>
    <row r="320" spans="1:22" hidden="1" x14ac:dyDescent="0.25">
      <c r="A320">
        <v>1902875578</v>
      </c>
      <c r="B320" s="36">
        <v>0.6356187605952156</v>
      </c>
      <c r="C320" s="63">
        <f>_xlfn.XLOOKUP($A320,'[1]FRV Output'!$F:$F,'[1]FRV Output'!$M:$M)</f>
        <v>27292</v>
      </c>
      <c r="D320" s="63">
        <f>_xlfn.XLOOKUP($A320,'[1]FRV Output'!$F:$F,'[1]FRV Output'!$N:$N)</f>
        <v>27366.772602739729</v>
      </c>
      <c r="E320" s="31">
        <f>_xlfn.XLOOKUP(A320,'[1]FRV Output'!$F:$F,'[1]FRV Output'!$U:$U)</f>
        <v>27316</v>
      </c>
      <c r="F320" s="31">
        <f>_xlfn.XLOOKUP($A320,'[1]FRV Output'!$F:$F,'[1]FRV Output'!$W:$W)</f>
        <v>90</v>
      </c>
      <c r="G320" s="59">
        <f>_xlfn.XLOOKUP($A320,'[1]FRV Output'!$F:$F,'[1]FRV Output'!$AO:$AO)</f>
        <v>19.440000000000055</v>
      </c>
      <c r="H320" s="63">
        <f t="shared" si="4"/>
        <v>37968</v>
      </c>
      <c r="I320" s="59">
        <f>_xlfn.XLOOKUP($A320,'[1]FRV Output'!$F:$F,'[1]FRV Output'!$Z:$Z)</f>
        <v>421.86666666666667</v>
      </c>
      <c r="J320" s="162">
        <v>29.25</v>
      </c>
      <c r="K320" s="164">
        <v>1.3051999999999999</v>
      </c>
      <c r="L320" s="59">
        <f>_xlfn.XLOOKUP(A320,'[1]Aging Schedule'!$OA:$OA,'[1]Aging Schedule'!$NW:$NW)</f>
        <v>19.440000000000055</v>
      </c>
      <c r="M320" s="59">
        <f>_xlfn.XLOOKUP(A320,'[1]FRV Output'!$F:$F,'[1]FRV Output'!$BC:$BC)</f>
        <v>18.922014782473461</v>
      </c>
      <c r="N320" s="68"/>
      <c r="O320" s="68"/>
      <c r="R320" s="31"/>
      <c r="T320" s="59"/>
      <c r="U320" s="108"/>
      <c r="V320" s="110"/>
    </row>
    <row r="321" spans="1:22" hidden="1" x14ac:dyDescent="0.25">
      <c r="A321">
        <v>1689640583</v>
      </c>
      <c r="B321" s="36">
        <v>0.62981418042146786</v>
      </c>
      <c r="C321" s="63">
        <f>_xlfn.XLOOKUP($A321,'[1]FRV Output'!$F:$F,'[1]FRV Output'!$M:$M)</f>
        <v>15203</v>
      </c>
      <c r="D321" s="63">
        <f>_xlfn.XLOOKUP($A321,'[1]FRV Output'!$F:$F,'[1]FRV Output'!$N:$N)</f>
        <v>15244.652054794522</v>
      </c>
      <c r="E321" s="31">
        <f>_xlfn.XLOOKUP(A321,'[1]FRV Output'!$F:$F,'[1]FRV Output'!$U:$U)</f>
        <v>28581</v>
      </c>
      <c r="F321" s="31">
        <f>_xlfn.XLOOKUP($A321,'[1]FRV Output'!$F:$F,'[1]FRV Output'!$W:$W)</f>
        <v>144</v>
      </c>
      <c r="G321" s="59">
        <f>_xlfn.XLOOKUP($A321,'[1]FRV Output'!$F:$F,'[1]FRV Output'!$AO:$AO)</f>
        <v>28.829999999999927</v>
      </c>
      <c r="H321" s="63">
        <f t="shared" si="4"/>
        <v>54609.836065573771</v>
      </c>
      <c r="I321" s="59">
        <f>_xlfn.XLOOKUP($A321,'[1]FRV Output'!$F:$F,'[1]FRV Output'!$Z:$Z)</f>
        <v>379.23497267759564</v>
      </c>
      <c r="J321" s="162">
        <v>29.25</v>
      </c>
      <c r="K321" s="164">
        <v>1.3089</v>
      </c>
      <c r="L321" s="59">
        <f>_xlfn.XLOOKUP(A321,'[1]Aging Schedule'!$OA:$OA,'[1]Aging Schedule'!$NW:$NW)</f>
        <v>28.829999999999927</v>
      </c>
      <c r="M321" s="59">
        <f>_xlfn.XLOOKUP(A321,'[1]FRV Output'!$F:$F,'[1]FRV Output'!$BC:$BC)</f>
        <v>12.529644514978697</v>
      </c>
      <c r="N321" s="68"/>
      <c r="O321" s="68"/>
      <c r="R321" s="31"/>
      <c r="T321" s="59"/>
      <c r="U321" s="108"/>
      <c r="V321" s="110"/>
    </row>
    <row r="322" spans="1:22" hidden="1" x14ac:dyDescent="0.25">
      <c r="A322">
        <v>1831125285</v>
      </c>
      <c r="B322" s="36">
        <v>0.63161986201535325</v>
      </c>
      <c r="C322" s="63">
        <f>_xlfn.XLOOKUP($A322,'[1]FRV Output'!$F:$F,'[1]FRV Output'!$M:$M)</f>
        <v>16609</v>
      </c>
      <c r="D322" s="63">
        <f>_xlfn.XLOOKUP($A322,'[1]FRV Output'!$F:$F,'[1]FRV Output'!$N:$N)</f>
        <v>16654.504109589041</v>
      </c>
      <c r="E322" s="31">
        <f>_xlfn.XLOOKUP(A322,'[1]FRV Output'!$F:$F,'[1]FRV Output'!$U:$U)</f>
        <v>28901</v>
      </c>
      <c r="F322" s="31">
        <f>_xlfn.XLOOKUP($A322,'[1]FRV Output'!$F:$F,'[1]FRV Output'!$W:$W)</f>
        <v>76</v>
      </c>
      <c r="G322" s="59">
        <f>_xlfn.XLOOKUP($A322,'[1]FRV Output'!$F:$F,'[1]FRV Output'!$AO:$AO)</f>
        <v>26.190000000000055</v>
      </c>
      <c r="H322" s="63">
        <f t="shared" si="4"/>
        <v>25000.000000000004</v>
      </c>
      <c r="I322" s="59">
        <f>_xlfn.XLOOKUP($A322,'[1]FRV Output'!$F:$F,'[1]FRV Output'!$Z:$Z)</f>
        <v>328.94736842105266</v>
      </c>
      <c r="J322" s="162">
        <v>29.25</v>
      </c>
      <c r="K322" s="164">
        <v>1.153</v>
      </c>
      <c r="L322" s="59">
        <f>_xlfn.XLOOKUP(A322,'[1]Aging Schedule'!$OA:$OA,'[1]Aging Schedule'!$NW:$NW)</f>
        <v>26.190000000000055</v>
      </c>
      <c r="M322" s="59">
        <f>_xlfn.XLOOKUP(A322,'[1]FRV Output'!$F:$F,'[1]FRV Output'!$BC:$BC)</f>
        <v>12.72285522352937</v>
      </c>
      <c r="N322" s="68"/>
      <c r="O322" s="68"/>
      <c r="R322" s="31"/>
      <c r="T322" s="59"/>
      <c r="U322" s="108"/>
      <c r="V322" s="110"/>
    </row>
    <row r="323" spans="1:22" hidden="1" x14ac:dyDescent="0.25">
      <c r="A323">
        <v>1629515499</v>
      </c>
      <c r="B323" s="36">
        <v>0.6524175587326676</v>
      </c>
      <c r="C323" s="63">
        <f>_xlfn.XLOOKUP($A323,'[1]FRV Output'!$F:$F,'[1]FRV Output'!$M:$M)</f>
        <v>26413</v>
      </c>
      <c r="D323" s="63">
        <f>_xlfn.XLOOKUP($A323,'[1]FRV Output'!$F:$F,'[1]FRV Output'!$N:$N)</f>
        <v>26485.364383561646</v>
      </c>
      <c r="E323" s="31">
        <f>_xlfn.XLOOKUP(A323,'[1]FRV Output'!$F:$F,'[1]FRV Output'!$U:$U)</f>
        <v>27021</v>
      </c>
      <c r="F323" s="31">
        <f>_xlfn.XLOOKUP($A323,'[1]FRV Output'!$F:$F,'[1]FRV Output'!$W:$W)</f>
        <v>96</v>
      </c>
      <c r="G323" s="59">
        <f>_xlfn.XLOOKUP($A323,'[1]FRV Output'!$F:$F,'[1]FRV Output'!$AO:$AO)</f>
        <v>26.410000000000082</v>
      </c>
      <c r="H323" s="63">
        <f t="shared" ref="H323:H386" si="5">+I323*F323</f>
        <v>50218.114602587797</v>
      </c>
      <c r="I323" s="59">
        <f>_xlfn.XLOOKUP($A323,'[1]FRV Output'!$F:$F,'[1]FRV Output'!$Z:$Z)</f>
        <v>523.10536044362289</v>
      </c>
      <c r="J323" s="162">
        <v>29.25</v>
      </c>
      <c r="K323" s="164">
        <v>1.2134</v>
      </c>
      <c r="L323" s="59">
        <f>_xlfn.XLOOKUP(A323,'[1]Aging Schedule'!$OA:$OA,'[1]Aging Schedule'!$NW:$NW)</f>
        <v>26.410000000000082</v>
      </c>
      <c r="M323" s="59">
        <f>_xlfn.XLOOKUP(A323,'[1]FRV Output'!$F:$F,'[1]FRV Output'!$BC:$BC)</f>
        <v>18.508657221911193</v>
      </c>
      <c r="N323" s="68"/>
      <c r="O323" s="68"/>
      <c r="R323" s="31"/>
      <c r="T323" s="59"/>
      <c r="U323" s="108"/>
      <c r="V323" s="110"/>
    </row>
    <row r="324" spans="1:22" hidden="1" x14ac:dyDescent="0.25">
      <c r="A324">
        <v>1952766271</v>
      </c>
      <c r="B324" s="36">
        <v>0.67428279436455218</v>
      </c>
      <c r="C324" s="63">
        <f>_xlfn.XLOOKUP($A324,'[1]FRV Output'!$F:$F,'[1]FRV Output'!$M:$M)</f>
        <v>45111</v>
      </c>
      <c r="D324" s="63">
        <f>_xlfn.XLOOKUP($A324,'[1]FRV Output'!$F:$F,'[1]FRV Output'!$N:$N)</f>
        <v>45234.591780821924</v>
      </c>
      <c r="E324" s="31">
        <f>_xlfn.XLOOKUP(A324,'[1]FRV Output'!$F:$F,'[1]FRV Output'!$U:$U)</f>
        <v>27909</v>
      </c>
      <c r="F324" s="31">
        <f>_xlfn.XLOOKUP($A324,'[1]FRV Output'!$F:$F,'[1]FRV Output'!$W:$W)</f>
        <v>146</v>
      </c>
      <c r="G324" s="59">
        <f>_xlfn.XLOOKUP($A324,'[1]FRV Output'!$F:$F,'[1]FRV Output'!$AO:$AO)</f>
        <v>10.660000000000082</v>
      </c>
      <c r="H324" s="63">
        <f t="shared" si="5"/>
        <v>65264.576470588232</v>
      </c>
      <c r="I324" s="59">
        <f>_xlfn.XLOOKUP($A324,'[1]FRV Output'!$F:$F,'[1]FRV Output'!$Z:$Z)</f>
        <v>447.01764705882351</v>
      </c>
      <c r="J324" s="162">
        <v>9.4499999999999993</v>
      </c>
      <c r="K324" s="164">
        <v>1.4774</v>
      </c>
      <c r="L324" s="59">
        <f>_xlfn.XLOOKUP(A324,'[1]Aging Schedule'!$OA:$OA,'[1]Aging Schedule'!$NW:$NW)</f>
        <v>10.660000000000082</v>
      </c>
      <c r="M324" s="59">
        <f>_xlfn.XLOOKUP(A324,'[1]FRV Output'!$F:$F,'[1]FRV Output'!$BC:$BC)</f>
        <v>24.152195662186887</v>
      </c>
      <c r="N324" s="68"/>
      <c r="O324" s="68"/>
      <c r="R324" s="31"/>
      <c r="T324" s="59"/>
      <c r="U324" s="108"/>
      <c r="V324" s="110"/>
    </row>
    <row r="325" spans="1:22" hidden="1" x14ac:dyDescent="0.25">
      <c r="A325">
        <v>1659319366</v>
      </c>
      <c r="B325" s="36">
        <v>0.66208816705336426</v>
      </c>
      <c r="C325" s="63">
        <f>_xlfn.XLOOKUP($A325,'[1]FRV Output'!$F:$F,'[1]FRV Output'!$M:$M)</f>
        <v>28346</v>
      </c>
      <c r="D325" s="63">
        <f>_xlfn.XLOOKUP($A325,'[1]FRV Output'!$F:$F,'[1]FRV Output'!$N:$N)</f>
        <v>28423.660273972604</v>
      </c>
      <c r="E325" s="31">
        <f>_xlfn.XLOOKUP(A325,'[1]FRV Output'!$F:$F,'[1]FRV Output'!$U:$U)</f>
        <v>27052</v>
      </c>
      <c r="F325" s="31">
        <f>_xlfn.XLOOKUP($A325,'[1]FRV Output'!$F:$F,'[1]FRV Output'!$W:$W)</f>
        <v>90</v>
      </c>
      <c r="G325" s="59">
        <f>_xlfn.XLOOKUP($A325,'[1]FRV Output'!$F:$F,'[1]FRV Output'!$AO:$AO)</f>
        <v>35.5</v>
      </c>
      <c r="H325" s="63">
        <f t="shared" si="5"/>
        <v>26569.276048214153</v>
      </c>
      <c r="I325" s="59">
        <f>_xlfn.XLOOKUP($A325,'[1]FRV Output'!$F:$F,'[1]FRV Output'!$Z:$Z)</f>
        <v>295.21417831349061</v>
      </c>
      <c r="J325" s="162">
        <v>29.25</v>
      </c>
      <c r="K325" s="164">
        <v>1.2871999999999999</v>
      </c>
      <c r="L325" s="59">
        <f>_xlfn.XLOOKUP(A325,'[1]Aging Schedule'!$OA:$OA,'[1]Aging Schedule'!$NW:$NW)</f>
        <v>44.720000000000027</v>
      </c>
      <c r="M325" s="59">
        <f>_xlfn.XLOOKUP(A325,'[1]FRV Output'!$F:$F,'[1]FRV Output'!$BC:$BC)</f>
        <v>8.5061130379947798</v>
      </c>
      <c r="N325" s="68"/>
      <c r="O325" s="68"/>
      <c r="R325" s="31"/>
      <c r="T325" s="59"/>
      <c r="U325" s="108"/>
      <c r="V325" s="110"/>
    </row>
    <row r="326" spans="1:22" hidden="1" x14ac:dyDescent="0.25">
      <c r="A326">
        <v>1972050276</v>
      </c>
      <c r="B326" s="36">
        <v>0.64712105183617952</v>
      </c>
      <c r="C326" s="63">
        <f>_xlfn.XLOOKUP($A326,'[1]FRV Output'!$F:$F,'[1]FRV Output'!$M:$M)</f>
        <v>30062</v>
      </c>
      <c r="D326" s="63">
        <f>_xlfn.XLOOKUP($A326,'[1]FRV Output'!$F:$F,'[1]FRV Output'!$N:$N)</f>
        <v>30144.361643835618</v>
      </c>
      <c r="E326" s="31">
        <f>_xlfn.XLOOKUP(A326,'[1]FRV Output'!$F:$F,'[1]FRV Output'!$U:$U)</f>
        <v>27589</v>
      </c>
      <c r="F326" s="31">
        <f>_xlfn.XLOOKUP($A326,'[1]FRV Output'!$F:$F,'[1]FRV Output'!$W:$W)</f>
        <v>140</v>
      </c>
      <c r="G326" s="59">
        <f>_xlfn.XLOOKUP($A326,'[1]FRV Output'!$F:$F,'[1]FRV Output'!$AO:$AO)</f>
        <v>35.5</v>
      </c>
      <c r="H326" s="63">
        <f t="shared" si="5"/>
        <v>43225.396032540673</v>
      </c>
      <c r="I326" s="59">
        <f>_xlfn.XLOOKUP($A326,'[1]FRV Output'!$F:$F,'[1]FRV Output'!$Z:$Z)</f>
        <v>308.75282880386197</v>
      </c>
      <c r="J326" s="162">
        <v>29.25</v>
      </c>
      <c r="K326" s="164">
        <v>1.1419999999999999</v>
      </c>
      <c r="L326" s="59">
        <f>_xlfn.XLOOKUP(A326,'[1]Aging Schedule'!$OA:$OA,'[1]Aging Schedule'!$NW:$NW)</f>
        <v>36.400000000000091</v>
      </c>
      <c r="M326" s="59">
        <f>_xlfn.XLOOKUP(A326,'[1]FRV Output'!$F:$F,'[1]FRV Output'!$BC:$BC)</f>
        <v>8.6351250846091876</v>
      </c>
      <c r="N326" s="68"/>
      <c r="O326" s="68"/>
      <c r="R326" s="31"/>
      <c r="T326" s="59"/>
      <c r="U326" s="108"/>
      <c r="V326" s="110"/>
    </row>
    <row r="327" spans="1:22" hidden="1" x14ac:dyDescent="0.25">
      <c r="A327">
        <v>1154369841</v>
      </c>
      <c r="B327" s="36">
        <v>0.70592972181551972</v>
      </c>
      <c r="C327" s="63">
        <f>_xlfn.XLOOKUP($A327,'[1]FRV Output'!$F:$F,'[1]FRV Output'!$M:$M)</f>
        <v>21481</v>
      </c>
      <c r="D327" s="63">
        <f>_xlfn.XLOOKUP($A327,'[1]FRV Output'!$F:$F,'[1]FRV Output'!$N:$N)</f>
        <v>21539.852054794523</v>
      </c>
      <c r="E327" s="31">
        <f>_xlfn.XLOOKUP(A327,'[1]FRV Output'!$F:$F,'[1]FRV Output'!$U:$U)</f>
        <v>27545</v>
      </c>
      <c r="F327" s="31">
        <f>_xlfn.XLOOKUP($A327,'[1]FRV Output'!$F:$F,'[1]FRV Output'!$W:$W)</f>
        <v>80</v>
      </c>
      <c r="G327" s="59">
        <f>_xlfn.XLOOKUP($A327,'[1]FRV Output'!$F:$F,'[1]FRV Output'!$AO:$AO)</f>
        <v>21.309999999999945</v>
      </c>
      <c r="H327" s="63">
        <f t="shared" si="5"/>
        <v>24770.03607614369</v>
      </c>
      <c r="I327" s="59">
        <f>_xlfn.XLOOKUP($A327,'[1]FRV Output'!$F:$F,'[1]FRV Output'!$Z:$Z)</f>
        <v>309.6254509517961</v>
      </c>
      <c r="J327" s="162">
        <v>29.25</v>
      </c>
      <c r="K327" s="164">
        <v>1.1881999999999999</v>
      </c>
      <c r="L327" s="59">
        <f>_xlfn.XLOOKUP(A327,'[1]Aging Schedule'!$OA:$OA,'[1]Aging Schedule'!$NW:$NW)</f>
        <v>21.309999999999945</v>
      </c>
      <c r="M327" s="59">
        <f>_xlfn.XLOOKUP(A327,'[1]FRV Output'!$F:$F,'[1]FRV Output'!$BC:$BC)</f>
        <v>15.936129021756658</v>
      </c>
      <c r="N327" s="68"/>
      <c r="O327" s="68"/>
      <c r="R327" s="31"/>
      <c r="T327" s="59"/>
      <c r="U327" s="108"/>
      <c r="V327" s="110"/>
    </row>
    <row r="328" spans="1:22" hidden="1" x14ac:dyDescent="0.25">
      <c r="A328">
        <v>1639153919</v>
      </c>
      <c r="B328" s="36">
        <v>0.5126075130485922</v>
      </c>
      <c r="C328" s="63">
        <f>_xlfn.XLOOKUP($A328,'[1]FRV Output'!$F:$F,'[1]FRV Output'!$M:$M)</f>
        <v>18618</v>
      </c>
      <c r="D328" s="63">
        <f>_xlfn.XLOOKUP($A328,'[1]FRV Output'!$F:$F,'[1]FRV Output'!$N:$N)</f>
        <v>18669.008219178086</v>
      </c>
      <c r="E328" s="31">
        <f>_xlfn.XLOOKUP(A328,'[1]FRV Output'!$F:$F,'[1]FRV Output'!$U:$U)</f>
        <v>28358</v>
      </c>
      <c r="F328" s="31">
        <f>_xlfn.XLOOKUP($A328,'[1]FRV Output'!$F:$F,'[1]FRV Output'!$W:$W)</f>
        <v>62</v>
      </c>
      <c r="G328" s="59">
        <f>_xlfn.XLOOKUP($A328,'[1]FRV Output'!$F:$F,'[1]FRV Output'!$AO:$AO)</f>
        <v>7.5499999999999545</v>
      </c>
      <c r="H328" s="63">
        <f t="shared" si="5"/>
        <v>26350</v>
      </c>
      <c r="I328" s="59">
        <f>_xlfn.XLOOKUP($A328,'[1]FRV Output'!$F:$F,'[1]FRV Output'!$Z:$Z)</f>
        <v>425</v>
      </c>
      <c r="J328" s="162">
        <v>0</v>
      </c>
      <c r="K328" s="164">
        <v>0.98429999999999995</v>
      </c>
      <c r="L328" s="59">
        <f>_xlfn.XLOOKUP(A328,'[1]Aging Schedule'!$OA:$OA,'[1]Aging Schedule'!$NW:$NW)</f>
        <v>7.5499999999999545</v>
      </c>
      <c r="M328" s="59">
        <f>_xlfn.XLOOKUP(A328,'[1]FRV Output'!$F:$F,'[1]FRV Output'!$BC:$BC)</f>
        <v>24.608972363738911</v>
      </c>
      <c r="N328" s="68"/>
      <c r="O328" s="68"/>
      <c r="R328" s="31"/>
      <c r="T328" s="59"/>
      <c r="U328" s="108"/>
      <c r="V328" s="110"/>
    </row>
    <row r="329" spans="1:22" hidden="1" x14ac:dyDescent="0.25">
      <c r="A329">
        <v>1043314602</v>
      </c>
      <c r="B329" s="36">
        <v>0.68243337519185143</v>
      </c>
      <c r="C329" s="63">
        <f>_xlfn.XLOOKUP($A329,'[1]FRV Output'!$F:$F,'[1]FRV Output'!$M:$M)</f>
        <v>32941</v>
      </c>
      <c r="D329" s="63">
        <f>_xlfn.XLOOKUP($A329,'[1]FRV Output'!$F:$F,'[1]FRV Output'!$N:$N)</f>
        <v>33031.249315068497</v>
      </c>
      <c r="E329" s="31">
        <f>_xlfn.XLOOKUP(A329,'[1]FRV Output'!$F:$F,'[1]FRV Output'!$U:$U)</f>
        <v>27262</v>
      </c>
      <c r="F329" s="31">
        <f>_xlfn.XLOOKUP($A329,'[1]FRV Output'!$F:$F,'[1]FRV Output'!$W:$W)</f>
        <v>129</v>
      </c>
      <c r="G329" s="59">
        <f>_xlfn.XLOOKUP($A329,'[1]FRV Output'!$F:$F,'[1]FRV Output'!$AO:$AO)</f>
        <v>9.8900000000001</v>
      </c>
      <c r="H329" s="63">
        <f t="shared" si="5"/>
        <v>66368</v>
      </c>
      <c r="I329" s="59">
        <f>_xlfn.XLOOKUP($A329,'[1]FRV Output'!$F:$F,'[1]FRV Output'!$Z:$Z)</f>
        <v>514.48062015503876</v>
      </c>
      <c r="J329" s="162">
        <v>29.25</v>
      </c>
      <c r="K329" s="164">
        <v>1.1068</v>
      </c>
      <c r="L329" s="59">
        <f>_xlfn.XLOOKUP(A329,'[1]Aging Schedule'!$OA:$OA,'[1]Aging Schedule'!$NW:$NW)</f>
        <v>9.8900000000001</v>
      </c>
      <c r="M329" s="59">
        <f>_xlfn.XLOOKUP(A329,'[1]FRV Output'!$F:$F,'[1]FRV Output'!$BC:$BC)</f>
        <v>27.281181531384401</v>
      </c>
      <c r="N329" s="68"/>
      <c r="O329" s="68"/>
      <c r="R329" s="31"/>
      <c r="T329" s="59"/>
      <c r="U329" s="108"/>
      <c r="V329" s="110"/>
    </row>
    <row r="330" spans="1:22" hidden="1" x14ac:dyDescent="0.25">
      <c r="A330">
        <v>1700821865</v>
      </c>
      <c r="B330" s="36">
        <v>0.66095298002830627</v>
      </c>
      <c r="C330" s="63">
        <f>_xlfn.XLOOKUP($A330,'[1]FRV Output'!$F:$F,'[1]FRV Output'!$M:$M)</f>
        <v>17213</v>
      </c>
      <c r="D330" s="63">
        <f>_xlfn.XLOOKUP($A330,'[1]FRV Output'!$F:$F,'[1]FRV Output'!$N:$N)</f>
        <v>17260.15890410959</v>
      </c>
      <c r="E330" s="31">
        <f>_xlfn.XLOOKUP(A330,'[1]FRV Output'!$F:$F,'[1]FRV Output'!$U:$U)</f>
        <v>27263</v>
      </c>
      <c r="F330" s="31">
        <f>_xlfn.XLOOKUP($A330,'[1]FRV Output'!$F:$F,'[1]FRV Output'!$W:$W)</f>
        <v>68</v>
      </c>
      <c r="G330" s="59">
        <f>_xlfn.XLOOKUP($A330,'[1]FRV Output'!$F:$F,'[1]FRV Output'!$AO:$AO)</f>
        <v>22.130000000000109</v>
      </c>
      <c r="H330" s="63">
        <f t="shared" si="5"/>
        <v>26352</v>
      </c>
      <c r="I330" s="59">
        <f>_xlfn.XLOOKUP($A330,'[1]FRV Output'!$F:$F,'[1]FRV Output'!$Z:$Z)</f>
        <v>387.52941176470586</v>
      </c>
      <c r="J330" s="162">
        <v>29.25</v>
      </c>
      <c r="K330" s="164">
        <v>1.2437</v>
      </c>
      <c r="L330" s="59">
        <f>_xlfn.XLOOKUP(A330,'[1]Aging Schedule'!$OA:$OA,'[1]Aging Schedule'!$NW:$NW)</f>
        <v>22.130000000000109</v>
      </c>
      <c r="M330" s="59">
        <f>_xlfn.XLOOKUP(A330,'[1]FRV Output'!$F:$F,'[1]FRV Output'!$BC:$BC)</f>
        <v>16.056562176634817</v>
      </c>
      <c r="N330" s="68"/>
      <c r="O330" s="68"/>
      <c r="R330" s="31"/>
      <c r="T330" s="59"/>
      <c r="U330" s="108"/>
      <c r="V330" s="110"/>
    </row>
    <row r="331" spans="1:22" hidden="1" x14ac:dyDescent="0.25">
      <c r="A331">
        <v>1902853781</v>
      </c>
      <c r="B331" s="36">
        <v>0.6327874249033002</v>
      </c>
      <c r="C331" s="63">
        <f>_xlfn.XLOOKUP($A331,'[1]FRV Output'!$F:$F,'[1]FRV Output'!$M:$M)</f>
        <v>22925</v>
      </c>
      <c r="D331" s="63">
        <f>_xlfn.XLOOKUP($A331,'[1]FRV Output'!$F:$F,'[1]FRV Output'!$N:$N)</f>
        <v>22987.808219178085</v>
      </c>
      <c r="E331" s="31">
        <f>_xlfn.XLOOKUP(A331,'[1]FRV Output'!$F:$F,'[1]FRV Output'!$U:$U)</f>
        <v>28301</v>
      </c>
      <c r="F331" s="31">
        <f>_xlfn.XLOOKUP($A331,'[1]FRV Output'!$F:$F,'[1]FRV Output'!$W:$W)</f>
        <v>86</v>
      </c>
      <c r="G331" s="59">
        <f>_xlfn.XLOOKUP($A331,'[1]FRV Output'!$F:$F,'[1]FRV Output'!$AO:$AO)</f>
        <v>13.970000000000027</v>
      </c>
      <c r="H331" s="63">
        <f t="shared" si="5"/>
        <v>57479.483879707397</v>
      </c>
      <c r="I331" s="59">
        <f>_xlfn.XLOOKUP($A331,'[1]FRV Output'!$F:$F,'[1]FRV Output'!$Z:$Z)</f>
        <v>668.36609162450463</v>
      </c>
      <c r="J331" s="162">
        <v>29.25</v>
      </c>
      <c r="K331" s="164">
        <v>1.3635999999999999</v>
      </c>
      <c r="L331" s="59">
        <f>_xlfn.XLOOKUP(A331,'[1]Aging Schedule'!$OA:$OA,'[1]Aging Schedule'!$NW:$NW)</f>
        <v>13.970000000000027</v>
      </c>
      <c r="M331" s="59">
        <f>_xlfn.XLOOKUP(A331,'[1]FRV Output'!$F:$F,'[1]FRV Output'!$BC:$BC)</f>
        <v>33.299818384012532</v>
      </c>
      <c r="N331" s="68"/>
      <c r="O331" s="68"/>
      <c r="R331" s="31"/>
      <c r="T331" s="59"/>
      <c r="U331" s="108"/>
      <c r="V331" s="110"/>
    </row>
    <row r="332" spans="1:22" hidden="1" x14ac:dyDescent="0.25">
      <c r="A332">
        <v>1235264219</v>
      </c>
      <c r="B332" s="36">
        <v>0.72894482090997104</v>
      </c>
      <c r="C332" s="63">
        <f>_xlfn.XLOOKUP($A332,'[1]FRV Output'!$F:$F,'[1]FRV Output'!$M:$M)</f>
        <v>29465</v>
      </c>
      <c r="D332" s="63">
        <f>_xlfn.XLOOKUP($A332,'[1]FRV Output'!$F:$F,'[1]FRV Output'!$N:$N)</f>
        <v>29545.726027397264</v>
      </c>
      <c r="E332" s="31">
        <f>_xlfn.XLOOKUP(A332,'[1]FRV Output'!$F:$F,'[1]FRV Output'!$U:$U)</f>
        <v>27217</v>
      </c>
      <c r="F332" s="31">
        <f>_xlfn.XLOOKUP($A332,'[1]FRV Output'!$F:$F,'[1]FRV Output'!$W:$W)</f>
        <v>160</v>
      </c>
      <c r="G332" s="59">
        <f>_xlfn.XLOOKUP($A332,'[1]FRV Output'!$F:$F,'[1]FRV Output'!$AO:$AO)</f>
        <v>19.920000000000073</v>
      </c>
      <c r="H332" s="63">
        <f t="shared" si="5"/>
        <v>46970</v>
      </c>
      <c r="I332" s="59">
        <f>_xlfn.XLOOKUP($A332,'[1]FRV Output'!$F:$F,'[1]FRV Output'!$Z:$Z)</f>
        <v>293.5625</v>
      </c>
      <c r="J332" s="162">
        <v>0</v>
      </c>
      <c r="K332" s="164">
        <v>1.1870000000000001</v>
      </c>
      <c r="L332" s="59">
        <f>_xlfn.XLOOKUP(A332,'[1]Aging Schedule'!$OA:$OA,'[1]Aging Schedule'!$NW:$NW)</f>
        <v>19.920000000000073</v>
      </c>
      <c r="M332" s="59">
        <f>_xlfn.XLOOKUP(A332,'[1]FRV Output'!$F:$F,'[1]FRV Output'!$BC:$BC)</f>
        <v>17.641502245286048</v>
      </c>
      <c r="N332" s="68"/>
      <c r="O332" s="68"/>
      <c r="R332" s="31"/>
      <c r="T332" s="59"/>
      <c r="U332" s="108"/>
      <c r="V332" s="110"/>
    </row>
    <row r="333" spans="1:22" hidden="1" x14ac:dyDescent="0.25">
      <c r="A333">
        <v>1366577355</v>
      </c>
      <c r="B333" s="36">
        <v>0.70074303405572758</v>
      </c>
      <c r="C333" s="63">
        <f>_xlfn.XLOOKUP($A333,'[1]FRV Output'!$F:$F,'[1]FRV Output'!$M:$M)</f>
        <v>42695</v>
      </c>
      <c r="D333" s="63">
        <f>_xlfn.XLOOKUP($A333,'[1]FRV Output'!$F:$F,'[1]FRV Output'!$N:$N)</f>
        <v>42811.972602739734</v>
      </c>
      <c r="E333" s="31">
        <f>_xlfn.XLOOKUP(A333,'[1]FRV Output'!$F:$F,'[1]FRV Output'!$U:$U)</f>
        <v>28211</v>
      </c>
      <c r="F333" s="31">
        <f>_xlfn.XLOOKUP($A333,'[1]FRV Output'!$F:$F,'[1]FRV Output'!$W:$W)</f>
        <v>180</v>
      </c>
      <c r="G333" s="59">
        <f>_xlfn.XLOOKUP($A333,'[1]FRV Output'!$F:$F,'[1]FRV Output'!$AO:$AO)</f>
        <v>16.970000000000027</v>
      </c>
      <c r="H333" s="63">
        <f t="shared" si="5"/>
        <v>53460</v>
      </c>
      <c r="I333" s="59">
        <f>_xlfn.XLOOKUP($A333,'[1]FRV Output'!$F:$F,'[1]FRV Output'!$Z:$Z)</f>
        <v>297</v>
      </c>
      <c r="J333" s="162">
        <v>0</v>
      </c>
      <c r="K333" s="164">
        <v>1.0934999999999999</v>
      </c>
      <c r="L333" s="59">
        <f>_xlfn.XLOOKUP(A333,'[1]Aging Schedule'!$OA:$OA,'[1]Aging Schedule'!$NW:$NW)</f>
        <v>16.970000000000027</v>
      </c>
      <c r="M333" s="59">
        <f>_xlfn.XLOOKUP(A333,'[1]FRV Output'!$F:$F,'[1]FRV Output'!$BC:$BC)</f>
        <v>19.088374766156356</v>
      </c>
      <c r="N333" s="68"/>
      <c r="O333" s="68"/>
      <c r="R333" s="31"/>
      <c r="T333" s="59"/>
      <c r="U333" s="108"/>
      <c r="V333" s="110"/>
    </row>
    <row r="334" spans="1:22" hidden="1" x14ac:dyDescent="0.25">
      <c r="A334">
        <v>1033244090</v>
      </c>
      <c r="B334" s="36">
        <v>0.69838734215731013</v>
      </c>
      <c r="C334" s="63">
        <f>_xlfn.XLOOKUP($A334,'[1]FRV Output'!$F:$F,'[1]FRV Output'!$M:$M)</f>
        <v>39625</v>
      </c>
      <c r="D334" s="63">
        <f>_xlfn.XLOOKUP($A334,'[1]FRV Output'!$F:$F,'[1]FRV Output'!$N:$N)</f>
        <v>39733.561643835623</v>
      </c>
      <c r="E334" s="31">
        <f>_xlfn.XLOOKUP(A334,'[1]FRV Output'!$F:$F,'[1]FRV Output'!$U:$U)</f>
        <v>28086</v>
      </c>
      <c r="F334" s="31">
        <f>_xlfn.XLOOKUP($A334,'[1]FRV Output'!$F:$F,'[1]FRV Output'!$W:$W)</f>
        <v>154</v>
      </c>
      <c r="G334" s="59">
        <f>_xlfn.XLOOKUP($A334,'[1]FRV Output'!$F:$F,'[1]FRV Output'!$AO:$AO)</f>
        <v>21.589999999999918</v>
      </c>
      <c r="H334" s="63">
        <f t="shared" si="5"/>
        <v>50475</v>
      </c>
      <c r="I334" s="59">
        <f>_xlfn.XLOOKUP($A334,'[1]FRV Output'!$F:$F,'[1]FRV Output'!$Z:$Z)</f>
        <v>327.75974025974028</v>
      </c>
      <c r="J334" s="162">
        <v>29.25</v>
      </c>
      <c r="K334" s="164">
        <v>1.0734999999999999</v>
      </c>
      <c r="L334" s="59">
        <f>_xlfn.XLOOKUP(A334,'[1]Aging Schedule'!$OA:$OA,'[1]Aging Schedule'!$NW:$NW)</f>
        <v>21.589999999999918</v>
      </c>
      <c r="M334" s="59">
        <f>_xlfn.XLOOKUP(A334,'[1]FRV Output'!$F:$F,'[1]FRV Output'!$BC:$BC)</f>
        <v>15.568540313859835</v>
      </c>
      <c r="N334" s="68"/>
      <c r="O334" s="68"/>
      <c r="R334" s="31"/>
      <c r="T334" s="59"/>
      <c r="U334" s="108"/>
      <c r="V334" s="110"/>
    </row>
    <row r="335" spans="1:22" hidden="1" x14ac:dyDescent="0.25">
      <c r="A335">
        <v>1699310839</v>
      </c>
      <c r="B335" s="36">
        <v>0.6814254088409627</v>
      </c>
      <c r="C335" s="63">
        <f>_xlfn.XLOOKUP($A335,'[1]FRV Output'!$F:$F,'[1]FRV Output'!$M:$M)</f>
        <v>24038</v>
      </c>
      <c r="D335" s="63">
        <f>_xlfn.XLOOKUP($A335,'[1]FRV Output'!$F:$F,'[1]FRV Output'!$N:$N)</f>
        <v>24103.857534246577</v>
      </c>
      <c r="E335" s="31">
        <f>_xlfn.XLOOKUP(A335,'[1]FRV Output'!$F:$F,'[1]FRV Output'!$U:$U)</f>
        <v>28139</v>
      </c>
      <c r="F335" s="31">
        <f>_xlfn.XLOOKUP($A335,'[1]FRV Output'!$F:$F,'[1]FRV Output'!$W:$W)</f>
        <v>80</v>
      </c>
      <c r="G335" s="59">
        <f>_xlfn.XLOOKUP($A335,'[1]FRV Output'!$F:$F,'[1]FRV Output'!$AO:$AO)</f>
        <v>17.6099999999999</v>
      </c>
      <c r="H335" s="63">
        <f t="shared" si="5"/>
        <v>33469</v>
      </c>
      <c r="I335" s="59">
        <f>_xlfn.XLOOKUP($A335,'[1]FRV Output'!$F:$F,'[1]FRV Output'!$Z:$Z)</f>
        <v>418.36250000000001</v>
      </c>
      <c r="J335" s="162">
        <v>29.25</v>
      </c>
      <c r="K335" s="164">
        <v>1.3109999999999999</v>
      </c>
      <c r="L335" s="59">
        <f>_xlfn.XLOOKUP(A335,'[1]Aging Schedule'!$OA:$OA,'[1]Aging Schedule'!$NW:$NW)</f>
        <v>17.6099999999999</v>
      </c>
      <c r="M335" s="59">
        <f>_xlfn.XLOOKUP(A335,'[1]FRV Output'!$F:$F,'[1]FRV Output'!$BC:$BC)</f>
        <v>19.883065785693297</v>
      </c>
      <c r="N335" s="68"/>
      <c r="O335" s="68"/>
      <c r="R335" s="31"/>
      <c r="T335" s="59"/>
      <c r="U335" s="108"/>
      <c r="V335" s="110"/>
    </row>
    <row r="336" spans="1:22" hidden="1" x14ac:dyDescent="0.25">
      <c r="A336">
        <v>1770618720</v>
      </c>
      <c r="B336" s="36">
        <v>0.71287878787878789</v>
      </c>
      <c r="C336" s="63">
        <f>_xlfn.XLOOKUP($A336,'[1]FRV Output'!$F:$F,'[1]FRV Output'!$M:$M)</f>
        <v>30921</v>
      </c>
      <c r="D336" s="63">
        <f>_xlfn.XLOOKUP($A336,'[1]FRV Output'!$F:$F,'[1]FRV Output'!$N:$N)</f>
        <v>31005.715068493155</v>
      </c>
      <c r="E336" s="31">
        <f>_xlfn.XLOOKUP(A336,'[1]FRV Output'!$F:$F,'[1]FRV Output'!$U:$U)</f>
        <v>28150</v>
      </c>
      <c r="F336" s="31">
        <f>_xlfn.XLOOKUP($A336,'[1]FRV Output'!$F:$F,'[1]FRV Output'!$W:$W)</f>
        <v>160</v>
      </c>
      <c r="G336" s="59">
        <f>_xlfn.XLOOKUP($A336,'[1]FRV Output'!$F:$F,'[1]FRV Output'!$AO:$AO)</f>
        <v>4.9800000000000182</v>
      </c>
      <c r="H336" s="63">
        <f t="shared" si="5"/>
        <v>65390</v>
      </c>
      <c r="I336" s="59">
        <f>_xlfn.XLOOKUP($A336,'[1]FRV Output'!$F:$F,'[1]FRV Output'!$Z:$Z)</f>
        <v>408.6875</v>
      </c>
      <c r="J336" s="162">
        <v>29.25</v>
      </c>
      <c r="K336" s="164">
        <v>1.1023000000000001</v>
      </c>
      <c r="L336" s="59">
        <f>_xlfn.XLOOKUP(A336,'[1]Aging Schedule'!$OA:$OA,'[1]Aging Schedule'!$NW:$NW)</f>
        <v>4.9800000000000182</v>
      </c>
      <c r="M336" s="59">
        <f>_xlfn.XLOOKUP(A336,'[1]FRV Output'!$F:$F,'[1]FRV Output'!$BC:$BC)</f>
        <v>26.603281863456907</v>
      </c>
      <c r="N336" s="68"/>
      <c r="O336" s="68"/>
      <c r="R336" s="31"/>
      <c r="T336" s="59"/>
      <c r="U336" s="108"/>
      <c r="V336" s="110"/>
    </row>
    <row r="337" spans="1:22" hidden="1" x14ac:dyDescent="0.25">
      <c r="A337">
        <v>1356476311</v>
      </c>
      <c r="B337" s="36">
        <v>0.63714474553866485</v>
      </c>
      <c r="C337" s="63">
        <f>_xlfn.XLOOKUP($A337,'[1]FRV Output'!$F:$F,'[1]FRV Output'!$M:$M)</f>
        <v>18051</v>
      </c>
      <c r="D337" s="63">
        <f>_xlfn.XLOOKUP($A337,'[1]FRV Output'!$F:$F,'[1]FRV Output'!$N:$N)</f>
        <v>18100.454794520549</v>
      </c>
      <c r="E337" s="31">
        <f>_xlfn.XLOOKUP(A337,'[1]FRV Output'!$F:$F,'[1]FRV Output'!$U:$U)</f>
        <v>28782</v>
      </c>
      <c r="F337" s="31">
        <f>_xlfn.XLOOKUP($A337,'[1]FRV Output'!$F:$F,'[1]FRV Output'!$W:$W)</f>
        <v>70</v>
      </c>
      <c r="G337" s="59">
        <f>_xlfn.XLOOKUP($A337,'[1]FRV Output'!$F:$F,'[1]FRV Output'!$AO:$AO)</f>
        <v>1.4400000000000546</v>
      </c>
      <c r="H337" s="63">
        <f t="shared" si="5"/>
        <v>30189.811260396673</v>
      </c>
      <c r="I337" s="59">
        <f>_xlfn.XLOOKUP($A337,'[1]FRV Output'!$F:$F,'[1]FRV Output'!$Z:$Z)</f>
        <v>431.28301800566675</v>
      </c>
      <c r="J337" s="162">
        <v>0</v>
      </c>
      <c r="K337" s="164">
        <v>1.196</v>
      </c>
      <c r="L337" s="59">
        <f>_xlfn.XLOOKUP(A337,'[1]Aging Schedule'!$OA:$OA,'[1]Aging Schedule'!$NW:$NW)</f>
        <v>1.4400000000000546</v>
      </c>
      <c r="M337" s="59">
        <f>_xlfn.XLOOKUP(A337,'[1]FRV Output'!$F:$F,'[1]FRV Output'!$BC:$BC)</f>
        <v>27.479352574419117</v>
      </c>
      <c r="N337" s="68"/>
      <c r="O337" s="68"/>
      <c r="R337" s="31"/>
      <c r="T337" s="59"/>
      <c r="U337" s="108"/>
      <c r="V337" s="110"/>
    </row>
    <row r="338" spans="1:22" hidden="1" x14ac:dyDescent="0.25">
      <c r="A338">
        <v>1528606225</v>
      </c>
      <c r="B338" s="36">
        <v>0.56603315810756172</v>
      </c>
      <c r="C338" s="63">
        <f>_xlfn.XLOOKUP($A338,'[1]FRV Output'!$F:$F,'[1]FRV Output'!$M:$M)</f>
        <v>33413</v>
      </c>
      <c r="D338" s="63">
        <f>_xlfn.XLOOKUP($A338,'[1]FRV Output'!$F:$F,'[1]FRV Output'!$N:$N)</f>
        <v>33504.542465753431</v>
      </c>
      <c r="E338" s="31">
        <f>_xlfn.XLOOKUP(A338,'[1]FRV Output'!$F:$F,'[1]FRV Output'!$U:$U)</f>
        <v>28659</v>
      </c>
      <c r="F338" s="31">
        <f>_xlfn.XLOOKUP($A338,'[1]FRV Output'!$F:$F,'[1]FRV Output'!$W:$W)</f>
        <v>111</v>
      </c>
      <c r="G338" s="59">
        <f>_xlfn.XLOOKUP($A338,'[1]FRV Output'!$F:$F,'[1]FRV Output'!$AO:$AO)</f>
        <v>5.2599999999999909</v>
      </c>
      <c r="H338" s="63">
        <f t="shared" si="5"/>
        <v>54034.8</v>
      </c>
      <c r="I338" s="59">
        <f>_xlfn.XLOOKUP($A338,'[1]FRV Output'!$F:$F,'[1]FRV Output'!$Z:$Z)</f>
        <v>486.8</v>
      </c>
      <c r="J338" s="162">
        <v>29.25</v>
      </c>
      <c r="K338" s="164">
        <v>1.4178999999999999</v>
      </c>
      <c r="L338" s="59">
        <f>_xlfn.XLOOKUP(A338,'[1]Aging Schedule'!$OA:$OA,'[1]Aging Schedule'!$NW:$NW)</f>
        <v>5.2599999999999909</v>
      </c>
      <c r="M338" s="59">
        <f>_xlfn.XLOOKUP(A338,'[1]FRV Output'!$F:$F,'[1]FRV Output'!$BC:$BC)</f>
        <v>28.870234703922634</v>
      </c>
      <c r="N338" s="68"/>
      <c r="O338" s="68"/>
      <c r="R338" s="31"/>
      <c r="T338" s="59"/>
      <c r="U338" s="108"/>
      <c r="V338" s="110"/>
    </row>
    <row r="339" spans="1:22" hidden="1" x14ac:dyDescent="0.25">
      <c r="A339">
        <v>1669083291</v>
      </c>
      <c r="B339" s="36">
        <v>0.59077368971902422</v>
      </c>
      <c r="C339" s="63">
        <f>_xlfn.XLOOKUP($A339,'[1]FRV Output'!$F:$F,'[1]FRV Output'!$M:$M)</f>
        <v>31553</v>
      </c>
      <c r="D339" s="63">
        <f>_xlfn.XLOOKUP($A339,'[1]FRV Output'!$F:$F,'[1]FRV Output'!$N:$N)</f>
        <v>31639.44657534247</v>
      </c>
      <c r="E339" s="31">
        <f>_xlfn.XLOOKUP(A339,'[1]FRV Output'!$F:$F,'[1]FRV Output'!$U:$U)</f>
        <v>27892</v>
      </c>
      <c r="F339" s="31">
        <f>_xlfn.XLOOKUP($A339,'[1]FRV Output'!$F:$F,'[1]FRV Output'!$W:$W)</f>
        <v>154</v>
      </c>
      <c r="G339" s="59">
        <f>_xlfn.XLOOKUP($A339,'[1]FRV Output'!$F:$F,'[1]FRV Output'!$AO:$AO)</f>
        <v>35.5</v>
      </c>
      <c r="H339" s="63">
        <f t="shared" si="5"/>
        <v>46609</v>
      </c>
      <c r="I339" s="59">
        <f>_xlfn.XLOOKUP($A339,'[1]FRV Output'!$F:$F,'[1]FRV Output'!$Z:$Z)</f>
        <v>302.65584415584414</v>
      </c>
      <c r="J339" s="162">
        <v>29.25</v>
      </c>
      <c r="K339" s="164">
        <v>1.1344000000000001</v>
      </c>
      <c r="L339" s="59">
        <f>_xlfn.XLOOKUP(A339,'[1]Aging Schedule'!$OA:$OA,'[1]Aging Schedule'!$NW:$NW)</f>
        <v>40.779999999999973</v>
      </c>
      <c r="M339" s="59">
        <f>_xlfn.XLOOKUP(A339,'[1]FRV Output'!$F:$F,'[1]FRV Output'!$BC:$BC)</f>
        <v>8.4499932473811441</v>
      </c>
      <c r="N339" s="68"/>
      <c r="O339" s="68"/>
      <c r="R339" s="31"/>
      <c r="T339" s="59"/>
      <c r="U339" s="108"/>
      <c r="V339" s="110"/>
    </row>
    <row r="340" spans="1:22" hidden="1" x14ac:dyDescent="0.25">
      <c r="A340">
        <v>1629425491</v>
      </c>
      <c r="B340" s="36">
        <v>0.73458277554663098</v>
      </c>
      <c r="C340" s="63">
        <f>_xlfn.XLOOKUP($A340,'[1]FRV Output'!$F:$F,'[1]FRV Output'!$M:$M)</f>
        <v>34145</v>
      </c>
      <c r="D340" s="63">
        <f>_xlfn.XLOOKUP($A340,'[1]FRV Output'!$F:$F,'[1]FRV Output'!$N:$N)</f>
        <v>34238.547945205486</v>
      </c>
      <c r="E340" s="31">
        <f>_xlfn.XLOOKUP(A340,'[1]FRV Output'!$F:$F,'[1]FRV Output'!$U:$U)</f>
        <v>28139</v>
      </c>
      <c r="F340" s="31">
        <f>_xlfn.XLOOKUP($A340,'[1]FRV Output'!$F:$F,'[1]FRV Output'!$W:$W)</f>
        <v>136</v>
      </c>
      <c r="G340" s="59">
        <f>_xlfn.XLOOKUP($A340,'[1]FRV Output'!$F:$F,'[1]FRV Output'!$AO:$AO)</f>
        <v>32.1099999999999</v>
      </c>
      <c r="H340" s="63">
        <f t="shared" si="5"/>
        <v>44200</v>
      </c>
      <c r="I340" s="59">
        <f>_xlfn.XLOOKUP($A340,'[1]FRV Output'!$F:$F,'[1]FRV Output'!$Z:$Z)</f>
        <v>325</v>
      </c>
      <c r="J340" s="162">
        <v>29.25</v>
      </c>
      <c r="K340" s="164">
        <v>1.34</v>
      </c>
      <c r="L340" s="59">
        <f>_xlfn.XLOOKUP(A340,'[1]Aging Schedule'!$OA:$OA,'[1]Aging Schedule'!$NW:$NW)</f>
        <v>32.1099999999999</v>
      </c>
      <c r="M340" s="59">
        <f>_xlfn.XLOOKUP(A340,'[1]FRV Output'!$F:$F,'[1]FRV Output'!$BC:$BC)</f>
        <v>8.9323910543110312</v>
      </c>
      <c r="N340" s="68"/>
      <c r="O340" s="68"/>
      <c r="R340" s="31"/>
      <c r="T340" s="59"/>
      <c r="U340" s="108"/>
      <c r="V340" s="110"/>
    </row>
    <row r="341" spans="1:22" hidden="1" x14ac:dyDescent="0.25">
      <c r="A341">
        <v>1629016340</v>
      </c>
      <c r="B341" s="36">
        <v>0.67947393142320334</v>
      </c>
      <c r="C341" s="63">
        <f>_xlfn.XLOOKUP($A341,'[1]FRV Output'!$F:$F,'[1]FRV Output'!$M:$M)</f>
        <v>22528</v>
      </c>
      <c r="D341" s="63">
        <f>_xlfn.XLOOKUP($A341,'[1]FRV Output'!$F:$F,'[1]FRV Output'!$N:$N)</f>
        <v>22589.72054794521</v>
      </c>
      <c r="E341" s="31">
        <f>_xlfn.XLOOKUP(A341,'[1]FRV Output'!$F:$F,'[1]FRV Output'!$U:$U)</f>
        <v>27055</v>
      </c>
      <c r="F341" s="31">
        <f>_xlfn.XLOOKUP($A341,'[1]FRV Output'!$F:$F,'[1]FRV Output'!$W:$W)</f>
        <v>76</v>
      </c>
      <c r="G341" s="59">
        <f>_xlfn.XLOOKUP($A341,'[1]FRV Output'!$F:$F,'[1]FRV Output'!$AO:$AO)</f>
        <v>26.220000000000027</v>
      </c>
      <c r="H341" s="63">
        <f t="shared" si="5"/>
        <v>27199</v>
      </c>
      <c r="I341" s="59">
        <f>_xlfn.XLOOKUP($A341,'[1]FRV Output'!$F:$F,'[1]FRV Output'!$Z:$Z)</f>
        <v>357.88157894736844</v>
      </c>
      <c r="J341" s="162">
        <v>29.25</v>
      </c>
      <c r="K341" s="164">
        <v>1.23</v>
      </c>
      <c r="L341" s="59">
        <f>_xlfn.XLOOKUP(A341,'[1]Aging Schedule'!$OA:$OA,'[1]Aging Schedule'!$NW:$NW)</f>
        <v>26.220000000000027</v>
      </c>
      <c r="M341" s="59">
        <f>_xlfn.XLOOKUP(A341,'[1]FRV Output'!$F:$F,'[1]FRV Output'!$BC:$BC)</f>
        <v>13.21989961959247</v>
      </c>
      <c r="N341" s="68"/>
      <c r="O341" s="68"/>
      <c r="R341" s="31"/>
      <c r="T341" s="59"/>
      <c r="U341" s="108"/>
      <c r="V341" s="110"/>
    </row>
    <row r="342" spans="1:22" hidden="1" x14ac:dyDescent="0.25">
      <c r="A342">
        <v>1750703278</v>
      </c>
      <c r="B342" s="36">
        <v>0.61910200156278172</v>
      </c>
      <c r="C342" s="63">
        <f>_xlfn.XLOOKUP($A342,'[1]FRV Output'!$F:$F,'[1]FRV Output'!$M:$M)</f>
        <v>21519</v>
      </c>
      <c r="D342" s="63">
        <f>_xlfn.XLOOKUP($A342,'[1]FRV Output'!$F:$F,'[1]FRV Output'!$N:$N)</f>
        <v>21577.956164383562</v>
      </c>
      <c r="E342" s="31">
        <f>_xlfn.XLOOKUP(A342,'[1]FRV Output'!$F:$F,'[1]FRV Output'!$U:$U)</f>
        <v>27893</v>
      </c>
      <c r="F342" s="31">
        <f>_xlfn.XLOOKUP($A342,'[1]FRV Output'!$F:$F,'[1]FRV Output'!$W:$W)</f>
        <v>90</v>
      </c>
      <c r="G342" s="59">
        <f>_xlfn.XLOOKUP($A342,'[1]FRV Output'!$F:$F,'[1]FRV Output'!$AO:$AO)</f>
        <v>18.1099999999999</v>
      </c>
      <c r="H342" s="63">
        <f t="shared" si="5"/>
        <v>36000</v>
      </c>
      <c r="I342" s="59">
        <f>_xlfn.XLOOKUP($A342,'[1]FRV Output'!$F:$F,'[1]FRV Output'!$Z:$Z)</f>
        <v>400</v>
      </c>
      <c r="J342" s="162">
        <v>29.25</v>
      </c>
      <c r="K342" s="164">
        <v>1.2426999999999999</v>
      </c>
      <c r="L342" s="59">
        <f>_xlfn.XLOOKUP(A342,'[1]Aging Schedule'!$OA:$OA,'[1]Aging Schedule'!$NW:$NW)</f>
        <v>18.1099999999999</v>
      </c>
      <c r="M342" s="59">
        <f>_xlfn.XLOOKUP(A342,'[1]FRV Output'!$F:$F,'[1]FRV Output'!$BC:$BC)</f>
        <v>18.23671462626918</v>
      </c>
      <c r="N342" s="68"/>
      <c r="O342" s="68"/>
      <c r="R342" s="31"/>
      <c r="T342" s="59"/>
      <c r="U342" s="108"/>
      <c r="V342" s="110"/>
    </row>
    <row r="343" spans="1:22" hidden="1" x14ac:dyDescent="0.25">
      <c r="A343">
        <v>1215979059</v>
      </c>
      <c r="B343" s="36">
        <v>0.62343489903741756</v>
      </c>
      <c r="C343" s="63">
        <f>_xlfn.XLOOKUP($A343,'[1]FRV Output'!$F:$F,'[1]FRV Output'!$M:$M)</f>
        <v>19260</v>
      </c>
      <c r="D343" s="63">
        <f>_xlfn.XLOOKUP($A343,'[1]FRV Output'!$F:$F,'[1]FRV Output'!$N:$N)</f>
        <v>19312.767123287675</v>
      </c>
      <c r="E343" s="31">
        <f>_xlfn.XLOOKUP(A343,'[1]FRV Output'!$F:$F,'[1]FRV Output'!$U:$U)</f>
        <v>28212</v>
      </c>
      <c r="F343" s="31">
        <f>_xlfn.XLOOKUP($A343,'[1]FRV Output'!$F:$F,'[1]FRV Output'!$W:$W)</f>
        <v>70</v>
      </c>
      <c r="G343" s="59">
        <f>_xlfn.XLOOKUP($A343,'[1]FRV Output'!$F:$F,'[1]FRV Output'!$AO:$AO)</f>
        <v>14.869999999999891</v>
      </c>
      <c r="H343" s="63">
        <f t="shared" si="5"/>
        <v>36914</v>
      </c>
      <c r="I343" s="59">
        <f>_xlfn.XLOOKUP($A343,'[1]FRV Output'!$F:$F,'[1]FRV Output'!$Z:$Z)</f>
        <v>527.34285714285716</v>
      </c>
      <c r="J343" s="162">
        <v>29.25</v>
      </c>
      <c r="K343" s="164">
        <v>1.2330000000000001</v>
      </c>
      <c r="L343" s="59">
        <f>_xlfn.XLOOKUP(A343,'[1]Aging Schedule'!$OA:$OA,'[1]Aging Schedule'!$NW:$NW)</f>
        <v>14.869999999999891</v>
      </c>
      <c r="M343" s="59">
        <f>_xlfn.XLOOKUP(A343,'[1]FRV Output'!$F:$F,'[1]FRV Output'!$BC:$BC)</f>
        <v>26.359905036940916</v>
      </c>
      <c r="N343" s="68"/>
      <c r="O343" s="68"/>
      <c r="R343" s="31"/>
      <c r="T343" s="59"/>
      <c r="U343" s="108"/>
      <c r="V343" s="110"/>
    </row>
    <row r="344" spans="1:22" hidden="1" x14ac:dyDescent="0.25">
      <c r="A344">
        <v>1821551797</v>
      </c>
      <c r="B344" s="36">
        <v>0.60262986778411964</v>
      </c>
      <c r="C344" s="63">
        <f>_xlfn.XLOOKUP($A344,'[1]FRV Output'!$F:$F,'[1]FRV Output'!$M:$M)</f>
        <v>54272</v>
      </c>
      <c r="D344" s="63">
        <f>_xlfn.XLOOKUP($A344,'[1]FRV Output'!$F:$F,'[1]FRV Output'!$N:$N)</f>
        <v>54420.690410958909</v>
      </c>
      <c r="E344" s="31">
        <f>_xlfn.XLOOKUP(A344,'[1]FRV Output'!$F:$F,'[1]FRV Output'!$U:$U)</f>
        <v>27104</v>
      </c>
      <c r="F344" s="31">
        <f>_xlfn.XLOOKUP($A344,'[1]FRV Output'!$F:$F,'[1]FRV Output'!$W:$W)</f>
        <v>230</v>
      </c>
      <c r="G344" s="59">
        <f>_xlfn.XLOOKUP($A344,'[1]FRV Output'!$F:$F,'[1]FRV Output'!$AO:$AO)</f>
        <v>24.8900000000001</v>
      </c>
      <c r="H344" s="63">
        <f t="shared" si="5"/>
        <v>73990</v>
      </c>
      <c r="I344" s="59">
        <f>_xlfn.XLOOKUP($A344,'[1]FRV Output'!$F:$F,'[1]FRV Output'!$Z:$Z)</f>
        <v>321.69565217391306</v>
      </c>
      <c r="J344" s="162">
        <v>9.4499999999999993</v>
      </c>
      <c r="K344" s="164">
        <v>1.1473</v>
      </c>
      <c r="L344" s="59">
        <f>_xlfn.XLOOKUP(A344,'[1]Aging Schedule'!$OA:$OA,'[1]Aging Schedule'!$NW:$NW)</f>
        <v>24.8900000000001</v>
      </c>
      <c r="M344" s="59">
        <f>_xlfn.XLOOKUP(A344,'[1]FRV Output'!$F:$F,'[1]FRV Output'!$BC:$BC)</f>
        <v>12.552538221756672</v>
      </c>
      <c r="N344" s="68"/>
      <c r="O344" s="68"/>
      <c r="R344" s="31"/>
      <c r="T344" s="59"/>
      <c r="U344" s="108"/>
      <c r="V344" s="110"/>
    </row>
    <row r="345" spans="1:22" hidden="1" x14ac:dyDescent="0.25">
      <c r="A345">
        <v>1992793962</v>
      </c>
      <c r="B345" s="36">
        <v>0.62065199126197279</v>
      </c>
      <c r="C345" s="63">
        <f>_xlfn.XLOOKUP($A345,'[1]FRV Output'!$F:$F,'[1]FRV Output'!$M:$M)</f>
        <v>36890</v>
      </c>
      <c r="D345" s="63">
        <f>_xlfn.XLOOKUP($A345,'[1]FRV Output'!$F:$F,'[1]FRV Output'!$N:$N)</f>
        <v>36991.068493150691</v>
      </c>
      <c r="E345" s="31">
        <f>_xlfn.XLOOKUP(A345,'[1]FRV Output'!$F:$F,'[1]FRV Output'!$U:$U)</f>
        <v>28443</v>
      </c>
      <c r="F345" s="31">
        <f>_xlfn.XLOOKUP($A345,'[1]FRV Output'!$F:$F,'[1]FRV Output'!$W:$W)</f>
        <v>112</v>
      </c>
      <c r="G345" s="59">
        <f>_xlfn.XLOOKUP($A345,'[1]FRV Output'!$F:$F,'[1]FRV Output'!$AO:$AO)</f>
        <v>17.200000000000045</v>
      </c>
      <c r="H345" s="63">
        <f t="shared" si="5"/>
        <v>54741.65635609204</v>
      </c>
      <c r="I345" s="59">
        <f>_xlfn.XLOOKUP($A345,'[1]FRV Output'!$F:$F,'[1]FRV Output'!$Z:$Z)</f>
        <v>488.76478889367894</v>
      </c>
      <c r="J345" s="162">
        <v>29.25</v>
      </c>
      <c r="K345" s="164">
        <v>1.3160000000000001</v>
      </c>
      <c r="L345" s="59">
        <f>_xlfn.XLOOKUP(A345,'[1]Aging Schedule'!$OA:$OA,'[1]Aging Schedule'!$NW:$NW)</f>
        <v>17.200000000000045</v>
      </c>
      <c r="M345" s="59">
        <f>_xlfn.XLOOKUP(A345,'[1]FRV Output'!$F:$F,'[1]FRV Output'!$BC:$BC)</f>
        <v>19.894753601888304</v>
      </c>
      <c r="N345" s="68"/>
      <c r="O345" s="68"/>
      <c r="R345" s="31"/>
      <c r="T345" s="59"/>
      <c r="U345" s="108"/>
      <c r="V345" s="110"/>
    </row>
    <row r="346" spans="1:22" hidden="1" x14ac:dyDescent="0.25">
      <c r="A346">
        <v>1023481520</v>
      </c>
      <c r="B346" s="36">
        <v>0.62712392829306307</v>
      </c>
      <c r="C346" s="63">
        <f>_xlfn.XLOOKUP($A346,'[1]FRV Output'!$F:$F,'[1]FRV Output'!$M:$M)</f>
        <v>22986</v>
      </c>
      <c r="D346" s="63">
        <f>_xlfn.XLOOKUP($A346,'[1]FRV Output'!$F:$F,'[1]FRV Output'!$N:$N)</f>
        <v>23048.975342465757</v>
      </c>
      <c r="E346" s="31">
        <f>_xlfn.XLOOKUP(A346,'[1]FRV Output'!$F:$F,'[1]FRV Output'!$U:$U)</f>
        <v>28301</v>
      </c>
      <c r="F346" s="31">
        <f>_xlfn.XLOOKUP($A346,'[1]FRV Output'!$F:$F,'[1]FRV Output'!$W:$W)</f>
        <v>80</v>
      </c>
      <c r="G346" s="59">
        <f>_xlfn.XLOOKUP($A346,'[1]FRV Output'!$F:$F,'[1]FRV Output'!$AO:$AO)</f>
        <v>6.1199999999998909</v>
      </c>
      <c r="H346" s="63">
        <f t="shared" si="5"/>
        <v>67197.431807300527</v>
      </c>
      <c r="I346" s="59">
        <f>_xlfn.XLOOKUP($A346,'[1]FRV Output'!$F:$F,'[1]FRV Output'!$Z:$Z)</f>
        <v>839.96789759125659</v>
      </c>
      <c r="J346" s="162">
        <v>29.25</v>
      </c>
      <c r="K346" s="164">
        <v>1.1314</v>
      </c>
      <c r="L346" s="59">
        <f>_xlfn.XLOOKUP(A346,'[1]Aging Schedule'!$OA:$OA,'[1]Aging Schedule'!$NW:$NW)</f>
        <v>6.1199999999998909</v>
      </c>
      <c r="M346" s="59">
        <f>_xlfn.XLOOKUP(A346,'[1]FRV Output'!$F:$F,'[1]FRV Output'!$BC:$BC)</f>
        <v>41.103725475906508</v>
      </c>
      <c r="N346" s="68"/>
      <c r="O346" s="68"/>
      <c r="R346" s="31"/>
      <c r="T346" s="59"/>
      <c r="U346" s="108"/>
      <c r="V346" s="110"/>
    </row>
    <row r="347" spans="1:22" hidden="1" x14ac:dyDescent="0.25">
      <c r="A347">
        <v>1174178313</v>
      </c>
      <c r="B347" s="36">
        <v>0.61685034504068392</v>
      </c>
      <c r="C347" s="63">
        <f>_xlfn.XLOOKUP($A347,'[1]FRV Output'!$F:$F,'[1]FRV Output'!$M:$M)</f>
        <v>34553</v>
      </c>
      <c r="D347" s="63">
        <f>_xlfn.XLOOKUP($A347,'[1]FRV Output'!$F:$F,'[1]FRV Output'!$N:$N)</f>
        <v>34647.665753424662</v>
      </c>
      <c r="E347" s="31">
        <f>_xlfn.XLOOKUP(A347,'[1]FRV Output'!$F:$F,'[1]FRV Output'!$U:$U)</f>
        <v>27055</v>
      </c>
      <c r="F347" s="31">
        <f>_xlfn.XLOOKUP($A347,'[1]FRV Output'!$F:$F,'[1]FRV Output'!$W:$W)</f>
        <v>147</v>
      </c>
      <c r="G347" s="59">
        <f>_xlfn.XLOOKUP($A347,'[1]FRV Output'!$F:$F,'[1]FRV Output'!$AO:$AO)</f>
        <v>35.5</v>
      </c>
      <c r="H347" s="63">
        <f t="shared" si="5"/>
        <v>51036.141932869403</v>
      </c>
      <c r="I347" s="59">
        <f>_xlfn.XLOOKUP($A347,'[1]FRV Output'!$F:$F,'[1]FRV Output'!$Z:$Z)</f>
        <v>347.1846389991116</v>
      </c>
      <c r="J347" s="162">
        <v>29.25</v>
      </c>
      <c r="K347" s="164">
        <v>1.3205</v>
      </c>
      <c r="L347" s="59">
        <f>_xlfn.XLOOKUP(A347,'[1]Aging Schedule'!$OA:$OA,'[1]Aging Schedule'!$NW:$NW)</f>
        <v>39.410000000000082</v>
      </c>
      <c r="M347" s="59">
        <f>_xlfn.XLOOKUP(A347,'[1]FRV Output'!$F:$F,'[1]FRV Output'!$BC:$BC)</f>
        <v>9.1785237552993273</v>
      </c>
      <c r="N347" s="68"/>
      <c r="O347" s="68"/>
      <c r="R347" s="31"/>
      <c r="T347" s="59"/>
      <c r="U347" s="108"/>
      <c r="V347" s="110"/>
    </row>
    <row r="348" spans="1:22" hidden="1" x14ac:dyDescent="0.25">
      <c r="A348">
        <v>1487060893</v>
      </c>
      <c r="B348" s="36">
        <v>0.8077647692100659</v>
      </c>
      <c r="C348" s="63">
        <f>_xlfn.XLOOKUP($A348,'[1]FRV Output'!$F:$F,'[1]FRV Output'!$M:$M)</f>
        <v>28255</v>
      </c>
      <c r="D348" s="63">
        <f>_xlfn.XLOOKUP($A348,'[1]FRV Output'!$F:$F,'[1]FRV Output'!$N:$N)</f>
        <v>28332.410958904111</v>
      </c>
      <c r="E348" s="31">
        <f>_xlfn.XLOOKUP(A348,'[1]FRV Output'!$F:$F,'[1]FRV Output'!$U:$U)</f>
        <v>28170</v>
      </c>
      <c r="F348" s="31">
        <f>_xlfn.XLOOKUP($A348,'[1]FRV Output'!$F:$F,'[1]FRV Output'!$W:$W)</f>
        <v>95</v>
      </c>
      <c r="G348" s="59">
        <f>_xlfn.XLOOKUP($A348,'[1]FRV Output'!$F:$F,'[1]FRV Output'!$AO:$AO)</f>
        <v>19.849999999999909</v>
      </c>
      <c r="H348" s="63">
        <f t="shared" si="5"/>
        <v>38518</v>
      </c>
      <c r="I348" s="59">
        <f>_xlfn.XLOOKUP($A348,'[1]FRV Output'!$F:$F,'[1]FRV Output'!$Z:$Z)</f>
        <v>405.45263157894738</v>
      </c>
      <c r="J348" s="162">
        <v>29.25</v>
      </c>
      <c r="K348" s="164">
        <v>1.4276</v>
      </c>
      <c r="L348" s="59">
        <f>_xlfn.XLOOKUP(A348,'[1]Aging Schedule'!$OA:$OA,'[1]Aging Schedule'!$NW:$NW)</f>
        <v>19.849999999999909</v>
      </c>
      <c r="M348" s="59">
        <f>_xlfn.XLOOKUP(A348,'[1]FRV Output'!$F:$F,'[1]FRV Output'!$BC:$BC)</f>
        <v>18.243210287219746</v>
      </c>
      <c r="N348" s="68"/>
      <c r="O348" s="68"/>
      <c r="R348" s="31"/>
      <c r="T348" s="59"/>
      <c r="U348" s="108"/>
      <c r="V348" s="110"/>
    </row>
    <row r="349" spans="1:22" hidden="1" x14ac:dyDescent="0.25">
      <c r="A349">
        <v>1629535455</v>
      </c>
      <c r="B349" s="36">
        <v>0.6417586750788643</v>
      </c>
      <c r="C349" s="63">
        <f>_xlfn.XLOOKUP($A349,'[1]FRV Output'!$F:$F,'[1]FRV Output'!$M:$M)</f>
        <v>26079</v>
      </c>
      <c r="D349" s="63">
        <f>_xlfn.XLOOKUP($A349,'[1]FRV Output'!$F:$F,'[1]FRV Output'!$N:$N)</f>
        <v>26150.449315068498</v>
      </c>
      <c r="E349" s="31">
        <f>_xlfn.XLOOKUP(A349,'[1]FRV Output'!$F:$F,'[1]FRV Output'!$U:$U)</f>
        <v>28605</v>
      </c>
      <c r="F349" s="31">
        <f>_xlfn.XLOOKUP($A349,'[1]FRV Output'!$F:$F,'[1]FRV Output'!$W:$W)</f>
        <v>92</v>
      </c>
      <c r="G349" s="59">
        <f>_xlfn.XLOOKUP($A349,'[1]FRV Output'!$F:$F,'[1]FRV Output'!$AO:$AO)</f>
        <v>5.5499999999999545</v>
      </c>
      <c r="H349" s="63">
        <f t="shared" si="5"/>
        <v>64259.722815478242</v>
      </c>
      <c r="I349" s="59">
        <f>_xlfn.XLOOKUP($A349,'[1]FRV Output'!$F:$F,'[1]FRV Output'!$Z:$Z)</f>
        <v>698.4752479943287</v>
      </c>
      <c r="J349" s="162">
        <v>29.25</v>
      </c>
      <c r="K349" s="164">
        <v>1.1704000000000001</v>
      </c>
      <c r="L349" s="59">
        <f>_xlfn.XLOOKUP(A349,'[1]Aging Schedule'!$OA:$OA,'[1]Aging Schedule'!$NW:$NW)</f>
        <v>5.5499999999999545</v>
      </c>
      <c r="M349" s="59">
        <f>_xlfn.XLOOKUP(A349,'[1]FRV Output'!$F:$F,'[1]FRV Output'!$BC:$BC)</f>
        <v>40.906910671643629</v>
      </c>
      <c r="N349" s="68"/>
      <c r="O349" s="68"/>
      <c r="R349" s="31"/>
      <c r="T349" s="59"/>
      <c r="U349" s="108"/>
      <c r="V349" s="110"/>
    </row>
    <row r="350" spans="1:22" hidden="1" x14ac:dyDescent="0.25">
      <c r="A350">
        <v>1265441208</v>
      </c>
      <c r="B350" s="36">
        <v>0.60937891309792136</v>
      </c>
      <c r="C350" s="63">
        <f>_xlfn.XLOOKUP($A350,'[1]FRV Output'!$F:$F,'[1]FRV Output'!$M:$M)</f>
        <v>19351</v>
      </c>
      <c r="D350" s="63">
        <f>_xlfn.XLOOKUP($A350,'[1]FRV Output'!$F:$F,'[1]FRV Output'!$N:$N)</f>
        <v>19404.016438356168</v>
      </c>
      <c r="E350" s="31">
        <f>_xlfn.XLOOKUP(A350,'[1]FRV Output'!$F:$F,'[1]FRV Output'!$U:$U)</f>
        <v>27565</v>
      </c>
      <c r="F350" s="31">
        <f>_xlfn.XLOOKUP($A350,'[1]FRV Output'!$F:$F,'[1]FRV Output'!$W:$W)</f>
        <v>80</v>
      </c>
      <c r="G350" s="59">
        <f>_xlfn.XLOOKUP($A350,'[1]FRV Output'!$F:$F,'[1]FRV Output'!$AO:$AO)</f>
        <v>24.369999999999891</v>
      </c>
      <c r="H350" s="63">
        <f t="shared" si="5"/>
        <v>24991</v>
      </c>
      <c r="I350" s="59">
        <f>_xlfn.XLOOKUP($A350,'[1]FRV Output'!$F:$F,'[1]FRV Output'!$Z:$Z)</f>
        <v>312.38749999999999</v>
      </c>
      <c r="J350" s="162">
        <v>29.25</v>
      </c>
      <c r="K350" s="164">
        <v>1.0940000000000001</v>
      </c>
      <c r="L350" s="59">
        <f>_xlfn.XLOOKUP(A350,'[1]Aging Schedule'!$OA:$OA,'[1]Aging Schedule'!$NW:$NW)</f>
        <v>24.369999999999891</v>
      </c>
      <c r="M350" s="59">
        <f>_xlfn.XLOOKUP(A350,'[1]FRV Output'!$F:$F,'[1]FRV Output'!$BC:$BC)</f>
        <v>14.820076559226449</v>
      </c>
      <c r="N350" s="68"/>
      <c r="O350" s="68"/>
      <c r="R350" s="31"/>
      <c r="T350" s="59"/>
      <c r="U350" s="108"/>
      <c r="V350" s="110"/>
    </row>
    <row r="351" spans="1:22" hidden="1" x14ac:dyDescent="0.25">
      <c r="A351">
        <v>1710537998</v>
      </c>
      <c r="B351" s="36">
        <v>0.71405100364311724</v>
      </c>
      <c r="C351" s="63">
        <f>_xlfn.XLOOKUP($A351,'[1]FRV Output'!$F:$F,'[1]FRV Output'!$M:$M)</f>
        <v>30385</v>
      </c>
      <c r="D351" s="63">
        <f>_xlfn.XLOOKUP($A351,'[1]FRV Output'!$F:$F,'[1]FRV Output'!$N:$N)</f>
        <v>30468.246575342469</v>
      </c>
      <c r="E351" s="31">
        <f>_xlfn.XLOOKUP(A351,'[1]FRV Output'!$F:$F,'[1]FRV Output'!$U:$U)</f>
        <v>28150</v>
      </c>
      <c r="F351" s="31">
        <f>_xlfn.XLOOKUP($A351,'[1]FRV Output'!$F:$F,'[1]FRV Output'!$W:$W)</f>
        <v>120</v>
      </c>
      <c r="G351" s="59">
        <f>_xlfn.XLOOKUP($A351,'[1]FRV Output'!$F:$F,'[1]FRV Output'!$AO:$AO)</f>
        <v>3.3399999999999181</v>
      </c>
      <c r="H351" s="63">
        <f t="shared" si="5"/>
        <v>51000</v>
      </c>
      <c r="I351" s="59">
        <f>_xlfn.XLOOKUP($A351,'[1]FRV Output'!$F:$F,'[1]FRV Output'!$Z:$Z)</f>
        <v>425</v>
      </c>
      <c r="J351" s="162">
        <v>29.25</v>
      </c>
      <c r="K351" s="164">
        <v>1.2522</v>
      </c>
      <c r="L351" s="59">
        <f>_xlfn.XLOOKUP(A351,'[1]Aging Schedule'!$OA:$OA,'[1]Aging Schedule'!$NW:$NW)</f>
        <v>3.3399999999999181</v>
      </c>
      <c r="M351" s="59">
        <f>_xlfn.XLOOKUP(A351,'[1]FRV Output'!$F:$F,'[1]FRV Output'!$BC:$BC)</f>
        <v>26.9993795910556</v>
      </c>
      <c r="N351" s="68"/>
      <c r="O351" s="68"/>
      <c r="R351" s="31"/>
      <c r="T351" s="59"/>
      <c r="U351" s="108"/>
      <c r="V351" s="110"/>
    </row>
    <row r="352" spans="1:22" hidden="1" x14ac:dyDescent="0.25">
      <c r="A352">
        <v>1184196206</v>
      </c>
      <c r="B352" s="36">
        <v>0.69968333456071874</v>
      </c>
      <c r="C352" s="63">
        <f>_xlfn.XLOOKUP($A352,'[1]FRV Output'!$F:$F,'[1]FRV Output'!$M:$M)</f>
        <v>19363</v>
      </c>
      <c r="D352" s="63">
        <f>_xlfn.XLOOKUP($A352,'[1]FRV Output'!$F:$F,'[1]FRV Output'!$N:$N)</f>
        <v>19416.049315068496</v>
      </c>
      <c r="E352" s="31">
        <f>_xlfn.XLOOKUP(A352,'[1]FRV Output'!$F:$F,'[1]FRV Output'!$U:$U)</f>
        <v>28741</v>
      </c>
      <c r="F352" s="31">
        <f>_xlfn.XLOOKUP($A352,'[1]FRV Output'!$F:$F,'[1]FRV Output'!$W:$W)</f>
        <v>80</v>
      </c>
      <c r="G352" s="59">
        <f>_xlfn.XLOOKUP($A352,'[1]FRV Output'!$F:$F,'[1]FRV Output'!$AO:$AO)</f>
        <v>20.599999999999909</v>
      </c>
      <c r="H352" s="63">
        <f t="shared" si="5"/>
        <v>30000</v>
      </c>
      <c r="I352" s="59">
        <f>_xlfn.XLOOKUP($A352,'[1]FRV Output'!$F:$F,'[1]FRV Output'!$Z:$Z)</f>
        <v>375</v>
      </c>
      <c r="J352" s="162">
        <v>29.25</v>
      </c>
      <c r="K352" s="164">
        <v>0.94269999999999998</v>
      </c>
      <c r="L352" s="59">
        <f>_xlfn.XLOOKUP(A352,'[1]Aging Schedule'!$OA:$OA,'[1]Aging Schedule'!$NW:$NW)</f>
        <v>20.599999999999909</v>
      </c>
      <c r="M352" s="59">
        <f>_xlfn.XLOOKUP(A352,'[1]FRV Output'!$F:$F,'[1]FRV Output'!$BC:$BC)</f>
        <v>17.092321701853386</v>
      </c>
      <c r="N352" s="68"/>
      <c r="O352" s="68"/>
      <c r="R352" s="31"/>
      <c r="T352" s="59"/>
      <c r="U352" s="108"/>
      <c r="V352" s="110"/>
    </row>
    <row r="353" spans="1:22" hidden="1" x14ac:dyDescent="0.25">
      <c r="A353">
        <v>1104950765</v>
      </c>
      <c r="B353" s="36">
        <v>0.6362317087918733</v>
      </c>
      <c r="C353" s="63">
        <f>_xlfn.XLOOKUP($A353,'[1]FRV Output'!$F:$F,'[1]FRV Output'!$M:$M)</f>
        <v>25007</v>
      </c>
      <c r="D353" s="63">
        <f>_xlfn.XLOOKUP($A353,'[1]FRV Output'!$F:$F,'[1]FRV Output'!$N:$N)</f>
        <v>25075.512328767127</v>
      </c>
      <c r="E353" s="31">
        <f>_xlfn.XLOOKUP(A353,'[1]FRV Output'!$F:$F,'[1]FRV Output'!$U:$U)</f>
        <v>28621</v>
      </c>
      <c r="F353" s="31">
        <f>_xlfn.XLOOKUP($A353,'[1]FRV Output'!$F:$F,'[1]FRV Output'!$W:$W)</f>
        <v>99</v>
      </c>
      <c r="G353" s="59">
        <f>_xlfn.XLOOKUP($A353,'[1]FRV Output'!$F:$F,'[1]FRV Output'!$AO:$AO)</f>
        <v>16.339999999999918</v>
      </c>
      <c r="H353" s="63">
        <f t="shared" si="5"/>
        <v>64170.765887379515</v>
      </c>
      <c r="I353" s="59">
        <f>_xlfn.XLOOKUP($A353,'[1]FRV Output'!$F:$F,'[1]FRV Output'!$Z:$Z)</f>
        <v>648.18955441797493</v>
      </c>
      <c r="J353" s="162">
        <v>29.25</v>
      </c>
      <c r="K353" s="164">
        <v>1.2144999999999999</v>
      </c>
      <c r="L353" s="59">
        <f>_xlfn.XLOOKUP(A353,'[1]Aging Schedule'!$OA:$OA,'[1]Aging Schedule'!$NW:$NW)</f>
        <v>16.339999999999918</v>
      </c>
      <c r="M353" s="59">
        <f>_xlfn.XLOOKUP(A353,'[1]FRV Output'!$F:$F,'[1]FRV Output'!$BC:$BC)</f>
        <v>30.084272955326892</v>
      </c>
      <c r="N353" s="68"/>
      <c r="O353" s="68"/>
      <c r="R353" s="31"/>
      <c r="T353" s="59"/>
      <c r="U353" s="108"/>
      <c r="V353" s="110"/>
    </row>
    <row r="354" spans="1:22" hidden="1" x14ac:dyDescent="0.25">
      <c r="A354">
        <v>1760462196</v>
      </c>
      <c r="B354" s="36">
        <v>0.64982648696634648</v>
      </c>
      <c r="C354" s="63">
        <f>_xlfn.XLOOKUP($A354,'[1]FRV Output'!$F:$F,'[1]FRV Output'!$M:$M)</f>
        <v>9728</v>
      </c>
      <c r="D354" s="63">
        <f>_xlfn.XLOOKUP($A354,'[1]FRV Output'!$F:$F,'[1]FRV Output'!$N:$N)</f>
        <v>9754.652054794522</v>
      </c>
      <c r="E354" s="31">
        <f>_xlfn.XLOOKUP(A354,'[1]FRV Output'!$F:$F,'[1]FRV Output'!$U:$U)</f>
        <v>28677</v>
      </c>
      <c r="F354" s="31">
        <f>_xlfn.XLOOKUP($A354,'[1]FRV Output'!$F:$F,'[1]FRV Output'!$W:$W)</f>
        <v>48</v>
      </c>
      <c r="G354" s="59">
        <f>_xlfn.XLOOKUP($A354,'[1]FRV Output'!$F:$F,'[1]FRV Output'!$AO:$AO)</f>
        <v>35.5</v>
      </c>
      <c r="H354" s="63">
        <f t="shared" si="5"/>
        <v>21394.17</v>
      </c>
      <c r="I354" s="59">
        <f>_xlfn.XLOOKUP($A354,'[1]FRV Output'!$F:$F,'[1]FRV Output'!$Z:$Z)</f>
        <v>445.71187499999996</v>
      </c>
      <c r="J354" s="162">
        <v>29.25</v>
      </c>
      <c r="K354" s="164">
        <v>1.1438999999999999</v>
      </c>
      <c r="L354" s="59">
        <f>_xlfn.XLOOKUP(A354,'[1]Aging Schedule'!$OA:$OA,'[1]Aging Schedule'!$NW:$NW)</f>
        <v>41.190000000000055</v>
      </c>
      <c r="M354" s="59">
        <f>_xlfn.XLOOKUP(A354,'[1]FRV Output'!$F:$F,'[1]FRV Output'!$BC:$BC)</f>
        <v>10.657411372750801</v>
      </c>
      <c r="N354" s="68"/>
      <c r="O354" s="68"/>
      <c r="R354" s="31"/>
      <c r="T354" s="59"/>
      <c r="U354" s="108"/>
      <c r="V354" s="110"/>
    </row>
    <row r="355" spans="1:22" hidden="1" x14ac:dyDescent="0.25">
      <c r="A355">
        <v>1134298615</v>
      </c>
      <c r="B355" s="36">
        <v>0.43942823608316567</v>
      </c>
      <c r="C355" s="63">
        <f>_xlfn.XLOOKUP($A355,'[1]FRV Output'!$F:$F,'[1]FRV Output'!$M:$M)</f>
        <v>2033</v>
      </c>
      <c r="D355" s="63">
        <f>_xlfn.XLOOKUP($A355,'[1]FRV Output'!$F:$F,'[1]FRV Output'!$N:$N)</f>
        <v>2038.5698630136988</v>
      </c>
      <c r="E355" s="31">
        <f>_xlfn.XLOOKUP(A355,'[1]FRV Output'!$F:$F,'[1]FRV Output'!$U:$U)</f>
        <v>27406</v>
      </c>
      <c r="F355" s="31">
        <f>_xlfn.XLOOKUP($A355,'[1]FRV Output'!$F:$F,'[1]FRV Output'!$W:$W)</f>
        <v>23</v>
      </c>
      <c r="G355" s="59">
        <f>_xlfn.XLOOKUP($A355,'[1]FRV Output'!$F:$F,'[1]FRV Output'!$AO:$AO)</f>
        <v>13</v>
      </c>
      <c r="H355" s="63">
        <f t="shared" si="5"/>
        <v>9200</v>
      </c>
      <c r="I355" s="59">
        <f>_xlfn.XLOOKUP($A355,'[1]FRV Output'!$F:$F,'[1]FRV Output'!$Z:$Z)</f>
        <v>400</v>
      </c>
      <c r="J355" s="162">
        <v>29.25</v>
      </c>
      <c r="K355" s="164">
        <v>1.6978</v>
      </c>
      <c r="L355" s="59">
        <f>_xlfn.XLOOKUP(A355,'[1]Aging Schedule'!$OA:$OA,'[1]Aging Schedule'!$NW:$NW)</f>
        <v>13</v>
      </c>
      <c r="M355" s="59">
        <f>_xlfn.XLOOKUP(A355,'[1]FRV Output'!$F:$F,'[1]FRV Output'!$BC:$BC)</f>
        <v>21.036003674456083</v>
      </c>
      <c r="N355" s="68"/>
      <c r="O355" s="68"/>
      <c r="R355" s="31"/>
      <c r="T355" s="59"/>
      <c r="U355" s="108"/>
      <c r="V355" s="110"/>
    </row>
    <row r="356" spans="1:22" hidden="1" x14ac:dyDescent="0.25">
      <c r="A356">
        <v>1720088339</v>
      </c>
      <c r="B356" s="36">
        <v>0.6285949575573293</v>
      </c>
      <c r="C356" s="63">
        <f>_xlfn.XLOOKUP($A356,'[1]FRV Output'!$F:$F,'[1]FRV Output'!$M:$M)</f>
        <v>28615</v>
      </c>
      <c r="D356" s="63">
        <f>_xlfn.XLOOKUP($A356,'[1]FRV Output'!$F:$F,'[1]FRV Output'!$N:$N)</f>
        <v>28693.397260273974</v>
      </c>
      <c r="E356" s="31">
        <f>_xlfn.XLOOKUP(A356,'[1]FRV Output'!$F:$F,'[1]FRV Output'!$U:$U)</f>
        <v>27288</v>
      </c>
      <c r="F356" s="31">
        <f>_xlfn.XLOOKUP($A356,'[1]FRV Output'!$F:$F,'[1]FRV Output'!$W:$W)</f>
        <v>121</v>
      </c>
      <c r="G356" s="59">
        <f>_xlfn.XLOOKUP($A356,'[1]FRV Output'!$F:$F,'[1]FRV Output'!$AO:$AO)</f>
        <v>28.450000000000045</v>
      </c>
      <c r="H356" s="63">
        <f t="shared" si="5"/>
        <v>42350</v>
      </c>
      <c r="I356" s="59">
        <f>_xlfn.XLOOKUP($A356,'[1]FRV Output'!$F:$F,'[1]FRV Output'!$Z:$Z)</f>
        <v>350</v>
      </c>
      <c r="J356" s="162">
        <v>29.25</v>
      </c>
      <c r="K356" s="164">
        <v>1.0808</v>
      </c>
      <c r="L356" s="59">
        <f>_xlfn.XLOOKUP(A356,'[1]Aging Schedule'!$OA:$OA,'[1]Aging Schedule'!$NW:$NW)</f>
        <v>28.450000000000045</v>
      </c>
      <c r="M356" s="59">
        <f>_xlfn.XLOOKUP(A356,'[1]FRV Output'!$F:$F,'[1]FRV Output'!$BC:$BC)</f>
        <v>12.177909936502804</v>
      </c>
      <c r="N356" s="68"/>
      <c r="O356" s="68"/>
      <c r="R356" s="31"/>
      <c r="T356" s="59"/>
      <c r="U356" s="108"/>
      <c r="V356" s="110"/>
    </row>
    <row r="357" spans="1:22" hidden="1" x14ac:dyDescent="0.25">
      <c r="A357">
        <v>1326143504</v>
      </c>
      <c r="B357" s="36">
        <v>0.62723923903719025</v>
      </c>
      <c r="C357" s="63">
        <f>_xlfn.XLOOKUP($A357,'[1]FRV Output'!$F:$F,'[1]FRV Output'!$M:$M)</f>
        <v>29198</v>
      </c>
      <c r="D357" s="63">
        <f>_xlfn.XLOOKUP($A357,'[1]FRV Output'!$F:$F,'[1]FRV Output'!$N:$N)</f>
        <v>29277.994520547949</v>
      </c>
      <c r="E357" s="31">
        <f>_xlfn.XLOOKUP(A357,'[1]FRV Output'!$F:$F,'[1]FRV Output'!$U:$U)</f>
        <v>27401</v>
      </c>
      <c r="F357" s="31">
        <f>_xlfn.XLOOKUP($A357,'[1]FRV Output'!$F:$F,'[1]FRV Output'!$W:$W)</f>
        <v>107</v>
      </c>
      <c r="G357" s="59">
        <f>_xlfn.XLOOKUP($A357,'[1]FRV Output'!$F:$F,'[1]FRV Output'!$AO:$AO)</f>
        <v>30.069999999999936</v>
      </c>
      <c r="H357" s="63">
        <f t="shared" si="5"/>
        <v>40869.231125857914</v>
      </c>
      <c r="I357" s="59">
        <f>_xlfn.XLOOKUP($A357,'[1]FRV Output'!$F:$F,'[1]FRV Output'!$Z:$Z)</f>
        <v>381.95543108278423</v>
      </c>
      <c r="J357" s="162">
        <v>29.25</v>
      </c>
      <c r="K357" s="164">
        <v>1.1585000000000001</v>
      </c>
      <c r="L357" s="59">
        <f>_xlfn.XLOOKUP(A357,'[1]Aging Schedule'!$OA:$OA,'[1]Aging Schedule'!$NW:$NW)</f>
        <v>30.069999999999936</v>
      </c>
      <c r="M357" s="59">
        <f>_xlfn.XLOOKUP(A357,'[1]FRV Output'!$F:$F,'[1]FRV Output'!$BC:$BC)</f>
        <v>12.097021812327121</v>
      </c>
      <c r="N357" s="68"/>
      <c r="O357" s="68"/>
      <c r="R357" s="31"/>
      <c r="T357" s="59"/>
      <c r="U357" s="108"/>
      <c r="V357" s="110"/>
    </row>
    <row r="358" spans="1:22" hidden="1" x14ac:dyDescent="0.25">
      <c r="A358">
        <v>1952486771</v>
      </c>
      <c r="B358" s="36">
        <v>0.63871511913966406</v>
      </c>
      <c r="C358" s="63">
        <f>_xlfn.XLOOKUP($A358,'[1]FRV Output'!$F:$F,'[1]FRV Output'!$M:$M)</f>
        <v>32287</v>
      </c>
      <c r="D358" s="63">
        <f>_xlfn.XLOOKUP($A358,'[1]FRV Output'!$F:$F,'[1]FRV Output'!$N:$N)</f>
        <v>32375.45753424658</v>
      </c>
      <c r="E358" s="31">
        <f>_xlfn.XLOOKUP(A358,'[1]FRV Output'!$F:$F,'[1]FRV Output'!$U:$U)</f>
        <v>28906</v>
      </c>
      <c r="F358" s="31">
        <f>_xlfn.XLOOKUP($A358,'[1]FRV Output'!$F:$F,'[1]FRV Output'!$W:$W)</f>
        <v>134</v>
      </c>
      <c r="G358" s="59">
        <f>_xlfn.XLOOKUP($A358,'[1]FRV Output'!$F:$F,'[1]FRV Output'!$AO:$AO)</f>
        <v>4</v>
      </c>
      <c r="H358" s="63">
        <f t="shared" si="5"/>
        <v>74094.999999999985</v>
      </c>
      <c r="I358" s="59">
        <f>_xlfn.XLOOKUP($A358,'[1]FRV Output'!$F:$F,'[1]FRV Output'!$Z:$Z)</f>
        <v>552.94776119402979</v>
      </c>
      <c r="J358" s="162">
        <v>29.25</v>
      </c>
      <c r="K358" s="164">
        <v>1.2742</v>
      </c>
      <c r="L358" s="59">
        <f>_xlfn.XLOOKUP(A358,'[1]Aging Schedule'!$OA:$OA,'[1]Aging Schedule'!$NW:$NW)</f>
        <v>4</v>
      </c>
      <c r="M358" s="59">
        <f>_xlfn.XLOOKUP(A358,'[1]FRV Output'!$F:$F,'[1]FRV Output'!$BC:$BC)</f>
        <v>33.019219258142193</v>
      </c>
      <c r="N358" s="68"/>
      <c r="O358" s="68"/>
      <c r="R358" s="31"/>
      <c r="T358" s="59"/>
      <c r="U358" s="108"/>
      <c r="V358" s="110"/>
    </row>
    <row r="359" spans="1:22" hidden="1" x14ac:dyDescent="0.25">
      <c r="A359">
        <v>1932107547</v>
      </c>
      <c r="B359" s="36">
        <v>0.69069657054705114</v>
      </c>
      <c r="C359" s="63">
        <f>_xlfn.XLOOKUP($A359,'[1]FRV Output'!$F:$F,'[1]FRV Output'!$M:$M)</f>
        <v>11182</v>
      </c>
      <c r="D359" s="63">
        <f>_xlfn.XLOOKUP($A359,'[1]FRV Output'!$F:$F,'[1]FRV Output'!$N:$N)</f>
        <v>11212.635616438358</v>
      </c>
      <c r="E359" s="31">
        <f>_xlfn.XLOOKUP(A359,'[1]FRV Output'!$F:$F,'[1]FRV Output'!$U:$U)</f>
        <v>27030</v>
      </c>
      <c r="F359" s="31">
        <f>_xlfn.XLOOKUP($A359,'[1]FRV Output'!$F:$F,'[1]FRV Output'!$W:$W)</f>
        <v>33</v>
      </c>
      <c r="G359" s="59">
        <f>_xlfn.XLOOKUP($A359,'[1]FRV Output'!$F:$F,'[1]FRV Output'!$AO:$AO)</f>
        <v>18.660000000000082</v>
      </c>
      <c r="H359" s="63">
        <f t="shared" si="5"/>
        <v>13200</v>
      </c>
      <c r="I359" s="59">
        <f>_xlfn.XLOOKUP($A359,'[1]FRV Output'!$F:$F,'[1]FRV Output'!$Z:$Z)</f>
        <v>400</v>
      </c>
      <c r="J359" s="162">
        <v>29.25</v>
      </c>
      <c r="K359" s="164">
        <v>1.0001</v>
      </c>
      <c r="L359" s="59">
        <f>_xlfn.XLOOKUP(A359,'[1]Aging Schedule'!$OA:$OA,'[1]Aging Schedule'!$NW:$NW)</f>
        <v>18.660000000000082</v>
      </c>
      <c r="M359" s="59">
        <f>_xlfn.XLOOKUP(A359,'[1]FRV Output'!$F:$F,'[1]FRV Output'!$BC:$BC)</f>
        <v>16.827482967054156</v>
      </c>
      <c r="N359" s="68"/>
      <c r="O359" s="68"/>
      <c r="R359" s="31"/>
      <c r="T359" s="59"/>
      <c r="U359" s="108"/>
      <c r="V359" s="110"/>
    </row>
    <row r="360" spans="1:22" hidden="1" x14ac:dyDescent="0.25">
      <c r="A360">
        <v>1558391250</v>
      </c>
      <c r="B360" s="36">
        <v>0.5733029092983456</v>
      </c>
      <c r="C360" s="63">
        <f>_xlfn.XLOOKUP($A360,'[1]FRV Output'!$F:$F,'[1]FRV Output'!$M:$M)</f>
        <v>15675</v>
      </c>
      <c r="D360" s="63">
        <f>_xlfn.XLOOKUP($A360,'[1]FRV Output'!$F:$F,'[1]FRV Output'!$N:$N)</f>
        <v>15717.945205479453</v>
      </c>
      <c r="E360" s="31">
        <f>_xlfn.XLOOKUP(A360,'[1]FRV Output'!$F:$F,'[1]FRV Output'!$U:$U)</f>
        <v>27874</v>
      </c>
      <c r="F360" s="31">
        <f>_xlfn.XLOOKUP($A360,'[1]FRV Output'!$F:$F,'[1]FRV Output'!$W:$W)</f>
        <v>60</v>
      </c>
      <c r="G360" s="59">
        <f>_xlfn.XLOOKUP($A360,'[1]FRV Output'!$F:$F,'[1]FRV Output'!$AO:$AO)</f>
        <v>29.029999999999973</v>
      </c>
      <c r="H360" s="63">
        <f t="shared" si="5"/>
        <v>30440.402732527589</v>
      </c>
      <c r="I360" s="59">
        <f>_xlfn.XLOOKUP($A360,'[1]FRV Output'!$F:$F,'[1]FRV Output'!$Z:$Z)</f>
        <v>507.34004554212646</v>
      </c>
      <c r="J360" s="162">
        <v>29.25</v>
      </c>
      <c r="K360" s="164">
        <v>1.2001999999999999</v>
      </c>
      <c r="L360" s="59">
        <f>_xlfn.XLOOKUP(A360,'[1]Aging Schedule'!$OA:$OA,'[1]Aging Schedule'!$NW:$NW)</f>
        <v>29.029999999999973</v>
      </c>
      <c r="M360" s="59">
        <f>_xlfn.XLOOKUP(A360,'[1]FRV Output'!$F:$F,'[1]FRV Output'!$BC:$BC)</f>
        <v>16.554125393587579</v>
      </c>
      <c r="N360" s="68"/>
      <c r="O360" s="68"/>
      <c r="R360" s="31"/>
      <c r="T360" s="59"/>
      <c r="U360" s="108"/>
      <c r="V360" s="110"/>
    </row>
    <row r="361" spans="1:22" hidden="1" x14ac:dyDescent="0.25">
      <c r="A361">
        <v>1538137468</v>
      </c>
      <c r="B361" s="36">
        <v>0.25893416273535674</v>
      </c>
      <c r="C361" s="63">
        <f>_xlfn.XLOOKUP($A361,'[1]FRV Output'!$F:$F,'[1]FRV Output'!$M:$M)</f>
        <v>10559.442013129103</v>
      </c>
      <c r="D361" s="63">
        <f>_xlfn.XLOOKUP($A361,'[1]FRV Output'!$F:$F,'[1]FRV Output'!$N:$N)</f>
        <v>8456.796010514774</v>
      </c>
      <c r="E361" s="31">
        <f>_xlfn.XLOOKUP(A361,'[1]FRV Output'!$F:$F,'[1]FRV Output'!$U:$U)</f>
        <v>28425</v>
      </c>
      <c r="F361" s="31">
        <f>_xlfn.XLOOKUP($A361,'[1]FRV Output'!$F:$F,'[1]FRV Output'!$W:$W)</f>
        <v>43</v>
      </c>
      <c r="G361" s="59">
        <f>_xlfn.XLOOKUP($A361,'[1]FRV Output'!$F:$F,'[1]FRV Output'!$AO:$AO)</f>
        <v>27.480000000000018</v>
      </c>
      <c r="H361" s="63">
        <f t="shared" si="5"/>
        <v>15050</v>
      </c>
      <c r="I361" s="59">
        <f>_xlfn.XLOOKUP($A361,'[1]FRV Output'!$F:$F,'[1]FRV Output'!$Z:$Z)</f>
        <v>350</v>
      </c>
      <c r="J361" s="162">
        <v>29.25</v>
      </c>
      <c r="K361" s="164">
        <v>0.96760000000000002</v>
      </c>
      <c r="L361" s="59">
        <f>_xlfn.XLOOKUP(A361,'[1]Aging Schedule'!$OA:$OA,'[1]Aging Schedule'!$NW:$NW)</f>
        <v>27.480000000000018</v>
      </c>
      <c r="M361" s="59">
        <f>_xlfn.XLOOKUP(A361,'[1]FRV Output'!$F:$F,'[1]FRV Output'!$BC:$BC)</f>
        <v>12.182498776631739</v>
      </c>
      <c r="N361" s="68"/>
      <c r="O361" s="68"/>
      <c r="R361" s="31"/>
      <c r="T361" s="59"/>
      <c r="U361" s="108"/>
      <c r="V361" s="110"/>
    </row>
    <row r="362" spans="1:22" hidden="1" x14ac:dyDescent="0.25">
      <c r="A362">
        <v>1942583752</v>
      </c>
      <c r="B362" s="36">
        <v>0.54753444525018125</v>
      </c>
      <c r="C362" s="63">
        <f>_xlfn.XLOOKUP($A362,'[1]FRV Output'!$F:$F,'[1]FRV Output'!$M:$M)</f>
        <v>19085</v>
      </c>
      <c r="D362" s="63">
        <f>_xlfn.XLOOKUP($A362,'[1]FRV Output'!$F:$F,'[1]FRV Output'!$N:$N)</f>
        <v>19085</v>
      </c>
      <c r="E362" s="31">
        <f>_xlfn.XLOOKUP(A362,'[1]FRV Output'!$F:$F,'[1]FRV Output'!$U:$U)</f>
        <v>27573</v>
      </c>
      <c r="F362" s="31">
        <f>_xlfn.XLOOKUP($A362,'[1]FRV Output'!$F:$F,'[1]FRV Output'!$W:$W)</f>
        <v>60</v>
      </c>
      <c r="G362" s="59">
        <f>_xlfn.XLOOKUP($A362,'[1]FRV Output'!$F:$F,'[1]FRV Output'!$AO:$AO)</f>
        <v>7</v>
      </c>
      <c r="H362" s="63">
        <f t="shared" si="5"/>
        <v>25500</v>
      </c>
      <c r="I362" s="59">
        <f>_xlfn.XLOOKUP($A362,'[1]FRV Output'!$F:$F,'[1]FRV Output'!$Z:$Z)</f>
        <v>425</v>
      </c>
      <c r="J362" s="162">
        <v>29.25</v>
      </c>
      <c r="K362" s="164">
        <v>1.0096000000000001</v>
      </c>
      <c r="L362" s="59">
        <f>_xlfn.XLOOKUP(A362,'[1]Aging Schedule'!$OA:$OA,'[1]Aging Schedule'!$NW:$NW)</f>
        <v>7</v>
      </c>
      <c r="M362" s="59">
        <f>_xlfn.XLOOKUP(A362,'[1]FRV Output'!$F:$F,'[1]FRV Output'!$BC:$BC)</f>
        <v>24.670387459297086</v>
      </c>
      <c r="N362" s="68"/>
      <c r="O362" s="68"/>
      <c r="R362" s="31"/>
      <c r="T362" s="59"/>
      <c r="U362" s="108"/>
      <c r="V362" s="110"/>
    </row>
    <row r="363" spans="1:22" hidden="1" x14ac:dyDescent="0.25">
      <c r="A363">
        <v>1376542878</v>
      </c>
      <c r="B363" s="36">
        <v>0.80820548991947339</v>
      </c>
      <c r="C363" s="63">
        <f>_xlfn.XLOOKUP($A363,'[1]FRV Output'!$F:$F,'[1]FRV Output'!$M:$M)</f>
        <v>29950</v>
      </c>
      <c r="D363" s="63">
        <f>_xlfn.XLOOKUP($A363,'[1]FRV Output'!$F:$F,'[1]FRV Output'!$N:$N)</f>
        <v>30032.054794520551</v>
      </c>
      <c r="E363" s="31">
        <f>_xlfn.XLOOKUP(A363,'[1]FRV Output'!$F:$F,'[1]FRV Output'!$U:$U)</f>
        <v>27607</v>
      </c>
      <c r="F363" s="31">
        <f>_xlfn.XLOOKUP($A363,'[1]FRV Output'!$F:$F,'[1]FRV Output'!$W:$W)</f>
        <v>120</v>
      </c>
      <c r="G363" s="59">
        <f>_xlfn.XLOOKUP($A363,'[1]FRV Output'!$F:$F,'[1]FRV Output'!$AO:$AO)</f>
        <v>10.630000000000109</v>
      </c>
      <c r="H363" s="63">
        <f t="shared" si="5"/>
        <v>48000</v>
      </c>
      <c r="I363" s="59">
        <f>_xlfn.XLOOKUP($A363,'[1]FRV Output'!$F:$F,'[1]FRV Output'!$Z:$Z)</f>
        <v>400</v>
      </c>
      <c r="J363" s="162">
        <v>29.25</v>
      </c>
      <c r="K363" s="164">
        <v>0.9204</v>
      </c>
      <c r="L363" s="59">
        <f>_xlfn.XLOOKUP(A363,'[1]Aging Schedule'!$OA:$OA,'[1]Aging Schedule'!$NW:$NW)</f>
        <v>10.630000000000109</v>
      </c>
      <c r="M363" s="59">
        <f>_xlfn.XLOOKUP(A363,'[1]FRV Output'!$F:$F,'[1]FRV Output'!$BC:$BC)</f>
        <v>23.467881221917825</v>
      </c>
      <c r="N363" s="68"/>
      <c r="O363" s="68"/>
      <c r="R363" s="31"/>
      <c r="T363" s="59"/>
      <c r="U363" s="108"/>
      <c r="V363" s="110"/>
    </row>
    <row r="364" spans="1:22" hidden="1" x14ac:dyDescent="0.25">
      <c r="A364">
        <v>1629511597</v>
      </c>
      <c r="B364" s="36">
        <v>0.57240091555234318</v>
      </c>
      <c r="C364" s="63">
        <f>_xlfn.XLOOKUP($A364,'[1]FRV Output'!$F:$F,'[1]FRV Output'!$M:$M)</f>
        <v>13746</v>
      </c>
      <c r="D364" s="63">
        <f>_xlfn.XLOOKUP($A364,'[1]FRV Output'!$F:$F,'[1]FRV Output'!$N:$N)</f>
        <v>13783.660273972604</v>
      </c>
      <c r="E364" s="31">
        <f>_xlfn.XLOOKUP(A364,'[1]FRV Output'!$F:$F,'[1]FRV Output'!$U:$U)</f>
        <v>27016</v>
      </c>
      <c r="F364" s="31">
        <f>_xlfn.XLOOKUP($A364,'[1]FRV Output'!$F:$F,'[1]FRV Output'!$W:$W)</f>
        <v>40</v>
      </c>
      <c r="G364" s="59">
        <f>_xlfn.XLOOKUP($A364,'[1]FRV Output'!$F:$F,'[1]FRV Output'!$AO:$AO)</f>
        <v>35.5</v>
      </c>
      <c r="H364" s="63">
        <f t="shared" si="5"/>
        <v>25352</v>
      </c>
      <c r="I364" s="59">
        <f>_xlfn.XLOOKUP($A364,'[1]FRV Output'!$F:$F,'[1]FRV Output'!$Z:$Z)</f>
        <v>633.79999999999995</v>
      </c>
      <c r="J364" s="162">
        <v>29.25</v>
      </c>
      <c r="K364" s="164">
        <v>0.70499999999999996</v>
      </c>
      <c r="L364" s="59">
        <f>_xlfn.XLOOKUP(A364,'[1]Aging Schedule'!$OA:$OA,'[1]Aging Schedule'!$NW:$NW)</f>
        <v>43.829999999999927</v>
      </c>
      <c r="M364" s="59">
        <f>_xlfn.XLOOKUP(A364,'[1]FRV Output'!$F:$F,'[1]FRV Output'!$BC:$BC)</f>
        <v>10.849557095810511</v>
      </c>
      <c r="N364" s="68"/>
      <c r="O364" s="68"/>
      <c r="R364" s="31"/>
      <c r="T364" s="59"/>
      <c r="U364" s="108"/>
      <c r="V364" s="110"/>
    </row>
    <row r="365" spans="1:22" hidden="1" x14ac:dyDescent="0.25">
      <c r="A365">
        <v>1053953844</v>
      </c>
      <c r="B365" s="36">
        <v>0.68801064904066833</v>
      </c>
      <c r="C365" s="63">
        <f>_xlfn.XLOOKUP($A365,'[1]FRV Output'!$F:$F,'[1]FRV Output'!$M:$M)</f>
        <v>16960</v>
      </c>
      <c r="D365" s="63">
        <f>_xlfn.XLOOKUP($A365,'[1]FRV Output'!$F:$F,'[1]FRV Output'!$N:$N)</f>
        <v>17006.465753424658</v>
      </c>
      <c r="E365" s="31">
        <f>_xlfn.XLOOKUP(A365,'[1]FRV Output'!$F:$F,'[1]FRV Output'!$U:$U)</f>
        <v>28112</v>
      </c>
      <c r="F365" s="31">
        <f>_xlfn.XLOOKUP($A365,'[1]FRV Output'!$F:$F,'[1]FRV Output'!$W:$W)</f>
        <v>70</v>
      </c>
      <c r="G365" s="59">
        <f>_xlfn.XLOOKUP($A365,'[1]FRV Output'!$F:$F,'[1]FRV Output'!$AO:$AO)</f>
        <v>16.299999999999955</v>
      </c>
      <c r="H365" s="63">
        <f t="shared" si="5"/>
        <v>28000</v>
      </c>
      <c r="I365" s="59">
        <f>_xlfn.XLOOKUP($A365,'[1]FRV Output'!$F:$F,'[1]FRV Output'!$Z:$Z)</f>
        <v>400</v>
      </c>
      <c r="J365" s="162">
        <v>29.25</v>
      </c>
      <c r="K365" s="164">
        <v>1.1672</v>
      </c>
      <c r="L365" s="59">
        <f>_xlfn.XLOOKUP(A365,'[1]Aging Schedule'!$OA:$OA,'[1]Aging Schedule'!$NW:$NW)</f>
        <v>16.299999999999955</v>
      </c>
      <c r="M365" s="59">
        <f>_xlfn.XLOOKUP(A365,'[1]FRV Output'!$F:$F,'[1]FRV Output'!$BC:$BC)</f>
        <v>19.695677975825962</v>
      </c>
      <c r="N365" s="68"/>
      <c r="O365" s="68"/>
      <c r="R365" s="31"/>
      <c r="T365" s="59"/>
      <c r="U365" s="108"/>
      <c r="V365" s="110"/>
    </row>
    <row r="366" spans="1:22" hidden="1" x14ac:dyDescent="0.25">
      <c r="A366">
        <v>1528040888</v>
      </c>
      <c r="B366" s="36">
        <v>0.39681613332036442</v>
      </c>
      <c r="C366" s="63">
        <f>_xlfn.XLOOKUP($A366,'[1]FRV Output'!$F:$F,'[1]FRV Output'!$M:$M)</f>
        <v>22588</v>
      </c>
      <c r="D366" s="63">
        <f>_xlfn.XLOOKUP($A366,'[1]FRV Output'!$F:$F,'[1]FRV Output'!$N:$N)</f>
        <v>30282.813186813186</v>
      </c>
      <c r="E366" s="31">
        <f>_xlfn.XLOOKUP(A366,'[1]FRV Output'!$F:$F,'[1]FRV Output'!$U:$U)</f>
        <v>28359</v>
      </c>
      <c r="F366" s="31">
        <f>_xlfn.XLOOKUP($A366,'[1]FRV Output'!$F:$F,'[1]FRV Output'!$W:$W)</f>
        <v>115</v>
      </c>
      <c r="G366" s="59">
        <f>_xlfn.XLOOKUP($A366,'[1]FRV Output'!$F:$F,'[1]FRV Output'!$AO:$AO)</f>
        <v>10</v>
      </c>
      <c r="H366" s="63">
        <f t="shared" si="5"/>
        <v>46000</v>
      </c>
      <c r="I366" s="59">
        <f>_xlfn.XLOOKUP($A366,'[1]FRV Output'!$F:$F,'[1]FRV Output'!$Z:$Z)</f>
        <v>400</v>
      </c>
      <c r="J366" s="162">
        <v>29.25</v>
      </c>
      <c r="K366" s="164">
        <v>0.96730000000000005</v>
      </c>
      <c r="L366" s="59">
        <f>_xlfn.XLOOKUP(A366,'[1]Aging Schedule'!$OA:$OA,'[1]Aging Schedule'!$NW:$NW)</f>
        <v>10</v>
      </c>
      <c r="M366" s="59">
        <f>_xlfn.XLOOKUP(A366,'[1]FRV Output'!$F:$F,'[1]FRV Output'!$BC:$BC)</f>
        <v>23.735789576954069</v>
      </c>
      <c r="N366" s="68"/>
      <c r="O366" s="68"/>
      <c r="R366" s="31"/>
      <c r="T366" s="59"/>
      <c r="U366" s="108"/>
      <c r="V366" s="110"/>
    </row>
    <row r="367" spans="1:22" hidden="1" x14ac:dyDescent="0.25">
      <c r="A367">
        <v>1225000888</v>
      </c>
      <c r="B367" s="36">
        <v>0.65658618216590969</v>
      </c>
      <c r="C367" s="63">
        <f>_xlfn.XLOOKUP($A367,'[1]FRV Output'!$F:$F,'[1]FRV Output'!$M:$M)</f>
        <v>28796</v>
      </c>
      <c r="D367" s="63">
        <f>_xlfn.XLOOKUP($A367,'[1]FRV Output'!$F:$F,'[1]FRV Output'!$N:$N)</f>
        <v>28874.893150684933</v>
      </c>
      <c r="E367" s="31">
        <f>_xlfn.XLOOKUP(A367,'[1]FRV Output'!$F:$F,'[1]FRV Output'!$U:$U)</f>
        <v>27313</v>
      </c>
      <c r="F367" s="31">
        <f>_xlfn.XLOOKUP($A367,'[1]FRV Output'!$F:$F,'[1]FRV Output'!$W:$W)</f>
        <v>118</v>
      </c>
      <c r="G367" s="59">
        <f>_xlfn.XLOOKUP($A367,'[1]FRV Output'!$F:$F,'[1]FRV Output'!$AO:$AO)</f>
        <v>11.019999999999982</v>
      </c>
      <c r="H367" s="63">
        <f t="shared" si="5"/>
        <v>58851</v>
      </c>
      <c r="I367" s="59">
        <f>_xlfn.XLOOKUP($A367,'[1]FRV Output'!$F:$F,'[1]FRV Output'!$Z:$Z)</f>
        <v>498.73728813559325</v>
      </c>
      <c r="J367" s="162">
        <v>29.25</v>
      </c>
      <c r="K367" s="164">
        <v>1.1201000000000001</v>
      </c>
      <c r="L367" s="59">
        <f>_xlfn.XLOOKUP(A367,'[1]Aging Schedule'!$OA:$OA,'[1]Aging Schedule'!$NW:$NW)</f>
        <v>11.019999999999982</v>
      </c>
      <c r="M367" s="59">
        <f>_xlfn.XLOOKUP(A367,'[1]FRV Output'!$F:$F,'[1]FRV Output'!$BC:$BC)</f>
        <v>26.906539509210862</v>
      </c>
      <c r="N367" s="68"/>
      <c r="O367" s="68"/>
      <c r="R367" s="31"/>
      <c r="T367" s="59"/>
      <c r="U367" s="108"/>
      <c r="V367" s="110"/>
    </row>
    <row r="368" spans="1:22" hidden="1" x14ac:dyDescent="0.25">
      <c r="A368">
        <v>1639556806</v>
      </c>
      <c r="B368" s="36">
        <v>0.59404571262192463</v>
      </c>
      <c r="C368" s="63">
        <f>_xlfn.XLOOKUP($A368,'[1]FRV Output'!$F:$F,'[1]FRV Output'!$M:$M)</f>
        <v>31903</v>
      </c>
      <c r="D368" s="63">
        <f>_xlfn.XLOOKUP($A368,'[1]FRV Output'!$F:$F,'[1]FRV Output'!$N:$N)</f>
        <v>31990.405479452056</v>
      </c>
      <c r="E368" s="31">
        <f>_xlfn.XLOOKUP(A368,'[1]FRV Output'!$F:$F,'[1]FRV Output'!$U:$U)</f>
        <v>27612</v>
      </c>
      <c r="F368" s="31">
        <f>_xlfn.XLOOKUP($A368,'[1]FRV Output'!$F:$F,'[1]FRV Output'!$W:$W)</f>
        <v>134</v>
      </c>
      <c r="G368" s="59">
        <f>_xlfn.XLOOKUP($A368,'[1]FRV Output'!$F:$F,'[1]FRV Output'!$AO:$AO)</f>
        <v>12.970000000000027</v>
      </c>
      <c r="H368" s="63">
        <f t="shared" si="5"/>
        <v>50666</v>
      </c>
      <c r="I368" s="59">
        <f>_xlfn.XLOOKUP($A368,'[1]FRV Output'!$F:$F,'[1]FRV Output'!$Z:$Z)</f>
        <v>378.1044776119403</v>
      </c>
      <c r="J368" s="162">
        <v>29.25</v>
      </c>
      <c r="K368" s="164">
        <v>0.81579999999999997</v>
      </c>
      <c r="L368" s="59">
        <f>_xlfn.XLOOKUP(A368,'[1]Aging Schedule'!$OA:$OA,'[1]Aging Schedule'!$NW:$NW)</f>
        <v>12.970000000000027</v>
      </c>
      <c r="M368" s="59">
        <f>_xlfn.XLOOKUP(A368,'[1]FRV Output'!$F:$F,'[1]FRV Output'!$BC:$BC)</f>
        <v>21.050088742626897</v>
      </c>
      <c r="N368" s="68"/>
      <c r="O368" s="68"/>
      <c r="R368" s="31"/>
      <c r="T368" s="59"/>
      <c r="U368" s="108"/>
      <c r="V368" s="110"/>
    </row>
    <row r="369" spans="1:22" hidden="1" x14ac:dyDescent="0.25">
      <c r="C369" s="63">
        <f>_xlfn.XLOOKUP($A369,'[1]FRV Output'!$F:$F,'[1]FRV Output'!$M:$M)</f>
        <v>0</v>
      </c>
      <c r="D369" s="63">
        <f>_xlfn.XLOOKUP($A369,'[1]FRV Output'!$F:$F,'[1]FRV Output'!$N:$N)</f>
        <v>0</v>
      </c>
      <c r="E369" s="31">
        <f>_xlfn.XLOOKUP(A369,'[1]FRV Output'!$F:$F,'[1]FRV Output'!$U:$U)</f>
        <v>0</v>
      </c>
      <c r="F369" s="31">
        <f>_xlfn.XLOOKUP($A369,'[1]FRV Output'!$F:$F,'[1]FRV Output'!$W:$W)</f>
        <v>0</v>
      </c>
      <c r="G369" s="59">
        <f>_xlfn.XLOOKUP($A369,'[1]FRV Output'!$F:$F,'[1]FRV Output'!$AO:$AO)</f>
        <v>0</v>
      </c>
      <c r="H369" s="63">
        <f t="shared" si="5"/>
        <v>0</v>
      </c>
      <c r="I369" s="59">
        <f>_xlfn.XLOOKUP($A369,'[1]FRV Output'!$F:$F,'[1]FRV Output'!$Z:$Z)</f>
        <v>0</v>
      </c>
      <c r="J369" s="162"/>
      <c r="K369" s="164"/>
      <c r="L369" s="59">
        <f>_xlfn.XLOOKUP(A369,'[1]Aging Schedule'!$OA:$OA,'[1]Aging Schedule'!$NW:$NW)</f>
        <v>0</v>
      </c>
      <c r="M369" s="59">
        <f>_xlfn.XLOOKUP(A369,'[1]FRV Output'!$F:$F,'[1]FRV Output'!$BC:$BC)</f>
        <v>0</v>
      </c>
      <c r="N369" s="68"/>
      <c r="O369" s="68"/>
      <c r="R369" s="31"/>
      <c r="T369" s="59"/>
      <c r="U369" s="108"/>
      <c r="V369" s="110"/>
    </row>
    <row r="370" spans="1:22" hidden="1" x14ac:dyDescent="0.25">
      <c r="C370" s="63">
        <f>_xlfn.XLOOKUP($A370,'[1]FRV Output'!$F:$F,'[1]FRV Output'!$M:$M)</f>
        <v>0</v>
      </c>
      <c r="D370" s="63">
        <f>_xlfn.XLOOKUP($A370,'[1]FRV Output'!$F:$F,'[1]FRV Output'!$N:$N)</f>
        <v>0</v>
      </c>
      <c r="E370" s="31">
        <f>_xlfn.XLOOKUP(A370,'[1]FRV Output'!$F:$F,'[1]FRV Output'!$U:$U)</f>
        <v>0</v>
      </c>
      <c r="F370" s="31">
        <f>_xlfn.XLOOKUP($A370,'[1]FRV Output'!$F:$F,'[1]FRV Output'!$W:$W)</f>
        <v>0</v>
      </c>
      <c r="G370" s="59">
        <f>_xlfn.XLOOKUP($A370,'[1]FRV Output'!$F:$F,'[1]FRV Output'!$AO:$AO)</f>
        <v>0</v>
      </c>
      <c r="H370" s="63">
        <f t="shared" si="5"/>
        <v>0</v>
      </c>
      <c r="I370" s="59">
        <f>_xlfn.XLOOKUP($A370,'[1]FRV Output'!$F:$F,'[1]FRV Output'!$Z:$Z)</f>
        <v>0</v>
      </c>
      <c r="J370" s="162"/>
      <c r="K370" s="164"/>
      <c r="L370" s="59">
        <f>_xlfn.XLOOKUP(A370,'[1]Aging Schedule'!$OA:$OA,'[1]Aging Schedule'!$NW:$NW)</f>
        <v>0</v>
      </c>
      <c r="M370" s="59">
        <f>_xlfn.XLOOKUP(A370,'[1]FRV Output'!$F:$F,'[1]FRV Output'!$BC:$BC)</f>
        <v>0</v>
      </c>
      <c r="N370" s="68"/>
      <c r="O370" s="68"/>
      <c r="R370" s="31"/>
      <c r="T370" s="59"/>
      <c r="U370" s="108"/>
      <c r="V370" s="110"/>
    </row>
    <row r="371" spans="1:22" hidden="1" x14ac:dyDescent="0.25">
      <c r="C371" s="63">
        <f>_xlfn.XLOOKUP($A371,'[1]FRV Output'!$F:$F,'[1]FRV Output'!$M:$M)</f>
        <v>0</v>
      </c>
      <c r="D371" s="63">
        <f>_xlfn.XLOOKUP($A371,'[1]FRV Output'!$F:$F,'[1]FRV Output'!$N:$N)</f>
        <v>0</v>
      </c>
      <c r="E371" s="31">
        <f>_xlfn.XLOOKUP(A371,'[1]FRV Output'!$F:$F,'[1]FRV Output'!$U:$U)</f>
        <v>0</v>
      </c>
      <c r="F371" s="31">
        <f>_xlfn.XLOOKUP($A371,'[1]FRV Output'!$F:$F,'[1]FRV Output'!$W:$W)</f>
        <v>0</v>
      </c>
      <c r="G371" s="59">
        <f>_xlfn.XLOOKUP($A371,'[1]FRV Output'!$F:$F,'[1]FRV Output'!$AO:$AO)</f>
        <v>0</v>
      </c>
      <c r="H371" s="63">
        <f t="shared" si="5"/>
        <v>0</v>
      </c>
      <c r="I371" s="59">
        <f>_xlfn.XLOOKUP($A371,'[1]FRV Output'!$F:$F,'[1]FRV Output'!$Z:$Z)</f>
        <v>0</v>
      </c>
      <c r="J371" s="162"/>
      <c r="K371" s="164"/>
      <c r="L371" s="59">
        <f>_xlfn.XLOOKUP(A371,'[1]Aging Schedule'!$OA:$OA,'[1]Aging Schedule'!$NW:$NW)</f>
        <v>0</v>
      </c>
      <c r="M371" s="59">
        <f>_xlfn.XLOOKUP(A371,'[1]FRV Output'!$F:$F,'[1]FRV Output'!$BC:$BC)</f>
        <v>0</v>
      </c>
      <c r="N371" s="68"/>
      <c r="O371" s="68"/>
      <c r="R371" s="31"/>
      <c r="T371" s="59"/>
      <c r="U371" s="108"/>
      <c r="V371" s="110"/>
    </row>
    <row r="372" spans="1:22" hidden="1" x14ac:dyDescent="0.25">
      <c r="C372" s="63">
        <f>_xlfn.XLOOKUP($A372,'[1]FRV Output'!$F:$F,'[1]FRV Output'!$M:$M)</f>
        <v>0</v>
      </c>
      <c r="D372" s="63">
        <f>_xlfn.XLOOKUP($A372,'[1]FRV Output'!$F:$F,'[1]FRV Output'!$N:$N)</f>
        <v>0</v>
      </c>
      <c r="E372" s="31">
        <f>_xlfn.XLOOKUP(A372,'[1]FRV Output'!$F:$F,'[1]FRV Output'!$U:$U)</f>
        <v>0</v>
      </c>
      <c r="F372" s="31">
        <f>_xlfn.XLOOKUP($A372,'[1]FRV Output'!$F:$F,'[1]FRV Output'!$W:$W)</f>
        <v>0</v>
      </c>
      <c r="G372" s="59">
        <f>_xlfn.XLOOKUP($A372,'[1]FRV Output'!$F:$F,'[1]FRV Output'!$AO:$AO)</f>
        <v>0</v>
      </c>
      <c r="H372" s="63">
        <f t="shared" si="5"/>
        <v>0</v>
      </c>
      <c r="I372" s="59">
        <f>_xlfn.XLOOKUP($A372,'[1]FRV Output'!$F:$F,'[1]FRV Output'!$Z:$Z)</f>
        <v>0</v>
      </c>
      <c r="J372" s="162"/>
      <c r="K372" s="164"/>
      <c r="L372" s="59">
        <f>_xlfn.XLOOKUP(A372,'[1]Aging Schedule'!$OA:$OA,'[1]Aging Schedule'!$NW:$NW)</f>
        <v>0</v>
      </c>
      <c r="M372" s="59">
        <f>_xlfn.XLOOKUP(A372,'[1]FRV Output'!$F:$F,'[1]FRV Output'!$BC:$BC)</f>
        <v>0</v>
      </c>
      <c r="N372" s="68"/>
      <c r="O372" s="68"/>
      <c r="R372" s="31"/>
      <c r="T372" s="59"/>
      <c r="U372" s="108"/>
      <c r="V372" s="110"/>
    </row>
    <row r="373" spans="1:22" hidden="1" x14ac:dyDescent="0.25">
      <c r="C373" s="63">
        <f>_xlfn.XLOOKUP($A373,'[1]FRV Output'!$F:$F,'[1]FRV Output'!$M:$M)</f>
        <v>0</v>
      </c>
      <c r="D373" s="63">
        <f>_xlfn.XLOOKUP($A373,'[1]FRV Output'!$F:$F,'[1]FRV Output'!$N:$N)</f>
        <v>0</v>
      </c>
      <c r="E373" s="31">
        <f>_xlfn.XLOOKUP(A373,'[1]FRV Output'!$F:$F,'[1]FRV Output'!$U:$U)</f>
        <v>0</v>
      </c>
      <c r="F373" s="31">
        <f>_xlfn.XLOOKUP($A373,'[1]FRV Output'!$F:$F,'[1]FRV Output'!$W:$W)</f>
        <v>0</v>
      </c>
      <c r="G373" s="59">
        <f>_xlfn.XLOOKUP($A373,'[1]FRV Output'!$F:$F,'[1]FRV Output'!$AO:$AO)</f>
        <v>0</v>
      </c>
      <c r="H373" s="63">
        <f t="shared" si="5"/>
        <v>0</v>
      </c>
      <c r="I373" s="59">
        <f>_xlfn.XLOOKUP($A373,'[1]FRV Output'!$F:$F,'[1]FRV Output'!$Z:$Z)</f>
        <v>0</v>
      </c>
      <c r="J373" s="162"/>
      <c r="K373" s="164"/>
      <c r="L373" s="59">
        <f>_xlfn.XLOOKUP(A373,'[1]Aging Schedule'!$OA:$OA,'[1]Aging Schedule'!$NW:$NW)</f>
        <v>0</v>
      </c>
      <c r="M373" s="59">
        <f>_xlfn.XLOOKUP(A373,'[1]FRV Output'!$F:$F,'[1]FRV Output'!$BC:$BC)</f>
        <v>0</v>
      </c>
      <c r="N373" s="68"/>
      <c r="O373" s="68"/>
      <c r="R373" s="31"/>
      <c r="T373" s="59"/>
      <c r="U373" s="108"/>
      <c r="V373" s="110"/>
    </row>
    <row r="374" spans="1:22" hidden="1" x14ac:dyDescent="0.25">
      <c r="C374" s="63">
        <f>_xlfn.XLOOKUP($A374,'[1]FRV Output'!$F:$F,'[1]FRV Output'!$M:$M)</f>
        <v>0</v>
      </c>
      <c r="D374" s="63">
        <f>_xlfn.XLOOKUP($A374,'[1]FRV Output'!$F:$F,'[1]FRV Output'!$N:$N)</f>
        <v>0</v>
      </c>
      <c r="E374" s="31">
        <f>_xlfn.XLOOKUP(A374,'[1]FRV Output'!$F:$F,'[1]FRV Output'!$U:$U)</f>
        <v>0</v>
      </c>
      <c r="F374" s="31">
        <f>_xlfn.XLOOKUP($A374,'[1]FRV Output'!$F:$F,'[1]FRV Output'!$W:$W)</f>
        <v>0</v>
      </c>
      <c r="G374" s="59">
        <f>_xlfn.XLOOKUP($A374,'[1]FRV Output'!$F:$F,'[1]FRV Output'!$AO:$AO)</f>
        <v>0</v>
      </c>
      <c r="H374" s="63">
        <f t="shared" si="5"/>
        <v>0</v>
      </c>
      <c r="I374" s="59">
        <f>_xlfn.XLOOKUP($A374,'[1]FRV Output'!$F:$F,'[1]FRV Output'!$Z:$Z)</f>
        <v>0</v>
      </c>
      <c r="J374" s="162"/>
      <c r="K374" s="164"/>
      <c r="L374" s="59">
        <f>_xlfn.XLOOKUP(A374,'[1]Aging Schedule'!$OA:$OA,'[1]Aging Schedule'!$NW:$NW)</f>
        <v>0</v>
      </c>
      <c r="M374" s="59">
        <f>_xlfn.XLOOKUP(A374,'[1]FRV Output'!$F:$F,'[1]FRV Output'!$BC:$BC)</f>
        <v>0</v>
      </c>
      <c r="N374" s="68"/>
      <c r="O374" s="68"/>
      <c r="R374" s="31"/>
      <c r="T374" s="59"/>
      <c r="U374" s="108"/>
      <c r="V374" s="110"/>
    </row>
    <row r="375" spans="1:22" hidden="1" x14ac:dyDescent="0.25">
      <c r="C375" s="63">
        <f>_xlfn.XLOOKUP($A375,'[1]FRV Output'!$F:$F,'[1]FRV Output'!$M:$M)</f>
        <v>0</v>
      </c>
      <c r="D375" s="63">
        <f>_xlfn.XLOOKUP($A375,'[1]FRV Output'!$F:$F,'[1]FRV Output'!$N:$N)</f>
        <v>0</v>
      </c>
      <c r="E375" s="31">
        <f>_xlfn.XLOOKUP(A375,'[1]FRV Output'!$F:$F,'[1]FRV Output'!$U:$U)</f>
        <v>0</v>
      </c>
      <c r="F375" s="31">
        <f>_xlfn.XLOOKUP($A375,'[1]FRV Output'!$F:$F,'[1]FRV Output'!$W:$W)</f>
        <v>0</v>
      </c>
      <c r="G375" s="59">
        <f>_xlfn.XLOOKUP($A375,'[1]FRV Output'!$F:$F,'[1]FRV Output'!$AO:$AO)</f>
        <v>0</v>
      </c>
      <c r="H375" s="63">
        <f t="shared" si="5"/>
        <v>0</v>
      </c>
      <c r="I375" s="59">
        <f>_xlfn.XLOOKUP($A375,'[1]FRV Output'!$F:$F,'[1]FRV Output'!$Z:$Z)</f>
        <v>0</v>
      </c>
      <c r="J375" s="162">
        <v>25.933190405206275</v>
      </c>
      <c r="K375" s="164">
        <v>1.1958354890007605</v>
      </c>
      <c r="L375" s="59">
        <f>_xlfn.XLOOKUP(A375,'[1]Aging Schedule'!$OA:$OA,'[1]Aging Schedule'!$NW:$NW)</f>
        <v>0</v>
      </c>
      <c r="M375" s="59">
        <f>_xlfn.XLOOKUP(A375,'[1]FRV Output'!$F:$F,'[1]FRV Output'!$BC:$BC)</f>
        <v>0</v>
      </c>
      <c r="N375" s="68"/>
      <c r="O375" s="68"/>
      <c r="R375" s="31"/>
      <c r="T375" s="59"/>
      <c r="U375" s="108"/>
      <c r="V375" s="110"/>
    </row>
    <row r="376" spans="1:22" hidden="1" x14ac:dyDescent="0.25">
      <c r="C376" s="63">
        <f>_xlfn.XLOOKUP($A376,'[1]FRV Output'!$F:$F,'[1]FRV Output'!$M:$M)</f>
        <v>0</v>
      </c>
      <c r="D376" s="63">
        <f>_xlfn.XLOOKUP($A376,'[1]FRV Output'!$F:$F,'[1]FRV Output'!$N:$N)</f>
        <v>0</v>
      </c>
      <c r="E376" s="31">
        <f>_xlfn.XLOOKUP(A376,'[1]FRV Output'!$F:$F,'[1]FRV Output'!$U:$U)</f>
        <v>0</v>
      </c>
      <c r="F376" s="31">
        <f>_xlfn.XLOOKUP($A376,'[1]FRV Output'!$F:$F,'[1]FRV Output'!$W:$W)</f>
        <v>0</v>
      </c>
      <c r="G376" s="59">
        <f>_xlfn.XLOOKUP($A376,'[1]FRV Output'!$F:$F,'[1]FRV Output'!$AO:$AO)</f>
        <v>0</v>
      </c>
      <c r="H376" s="63">
        <f t="shared" si="5"/>
        <v>0</v>
      </c>
      <c r="I376" s="59">
        <f>_xlfn.XLOOKUP($A376,'[1]FRV Output'!$F:$F,'[1]FRV Output'!$Z:$Z)</f>
        <v>0</v>
      </c>
      <c r="J376" s="162"/>
      <c r="K376" s="164"/>
      <c r="L376" s="59">
        <f>_xlfn.XLOOKUP(A376,'[1]Aging Schedule'!$OA:$OA,'[1]Aging Schedule'!$NW:$NW)</f>
        <v>0</v>
      </c>
      <c r="M376" s="59">
        <f>_xlfn.XLOOKUP(A376,'[1]FRV Output'!$F:$F,'[1]FRV Output'!$BC:$BC)</f>
        <v>0</v>
      </c>
      <c r="N376" s="68"/>
      <c r="O376" s="68"/>
      <c r="R376" s="31"/>
      <c r="T376" s="59"/>
      <c r="U376" s="108"/>
      <c r="V376" s="110"/>
    </row>
    <row r="377" spans="1:22" hidden="1" x14ac:dyDescent="0.25">
      <c r="C377" s="63">
        <f>_xlfn.XLOOKUP($A377,'[1]FRV Output'!$F:$F,'[1]FRV Output'!$M:$M)</f>
        <v>0</v>
      </c>
      <c r="D377" s="63">
        <f>_xlfn.XLOOKUP($A377,'[1]FRV Output'!$F:$F,'[1]FRV Output'!$N:$N)</f>
        <v>0</v>
      </c>
      <c r="E377" s="31">
        <f>_xlfn.XLOOKUP(A377,'[1]FRV Output'!$F:$F,'[1]FRV Output'!$U:$U)</f>
        <v>0</v>
      </c>
      <c r="F377" s="31">
        <f>_xlfn.XLOOKUP($A377,'[1]FRV Output'!$F:$F,'[1]FRV Output'!$W:$W)</f>
        <v>0</v>
      </c>
      <c r="G377" s="59">
        <f>_xlfn.XLOOKUP($A377,'[1]FRV Output'!$F:$F,'[1]FRV Output'!$AO:$AO)</f>
        <v>0</v>
      </c>
      <c r="H377" s="63">
        <f t="shared" si="5"/>
        <v>0</v>
      </c>
      <c r="I377" s="59">
        <f>_xlfn.XLOOKUP($A377,'[1]FRV Output'!$F:$F,'[1]FRV Output'!$Z:$Z)</f>
        <v>0</v>
      </c>
      <c r="J377" s="162"/>
      <c r="K377" s="164"/>
      <c r="L377" s="59">
        <f>_xlfn.XLOOKUP(A377,'[1]Aging Schedule'!$OA:$OA,'[1]Aging Schedule'!$NW:$NW)</f>
        <v>0</v>
      </c>
      <c r="M377" s="59">
        <f>_xlfn.XLOOKUP(A377,'[1]FRV Output'!$F:$F,'[1]FRV Output'!$BC:$BC)</f>
        <v>0</v>
      </c>
      <c r="N377" s="68"/>
      <c r="O377" s="68"/>
      <c r="R377" s="31"/>
      <c r="T377" s="59"/>
      <c r="U377" s="108"/>
      <c r="V377" s="110"/>
    </row>
    <row r="378" spans="1:22" hidden="1" x14ac:dyDescent="0.25">
      <c r="C378" s="63">
        <f>_xlfn.XLOOKUP($A378,'[1]FRV Output'!$F:$F,'[1]FRV Output'!$M:$M)</f>
        <v>0</v>
      </c>
      <c r="D378" s="63">
        <f>_xlfn.XLOOKUP($A378,'[1]FRV Output'!$F:$F,'[1]FRV Output'!$N:$N)</f>
        <v>0</v>
      </c>
      <c r="E378" s="31">
        <f>_xlfn.XLOOKUP(A378,'[1]FRV Output'!$F:$F,'[1]FRV Output'!$U:$U)</f>
        <v>0</v>
      </c>
      <c r="F378" s="31">
        <f>_xlfn.XLOOKUP($A378,'[1]FRV Output'!$F:$F,'[1]FRV Output'!$W:$W)</f>
        <v>0</v>
      </c>
      <c r="G378" s="59">
        <f>_xlfn.XLOOKUP($A378,'[1]FRV Output'!$F:$F,'[1]FRV Output'!$AO:$AO)</f>
        <v>0</v>
      </c>
      <c r="H378" s="63">
        <f t="shared" si="5"/>
        <v>0</v>
      </c>
      <c r="I378" s="59">
        <f>_xlfn.XLOOKUP($A378,'[1]FRV Output'!$F:$F,'[1]FRV Output'!$Z:$Z)</f>
        <v>0</v>
      </c>
      <c r="J378" s="162"/>
      <c r="K378" s="164"/>
      <c r="L378" s="59">
        <f>_xlfn.XLOOKUP(A378,'[1]Aging Schedule'!$OA:$OA,'[1]Aging Schedule'!$NW:$NW)</f>
        <v>0</v>
      </c>
      <c r="M378" s="59">
        <f>_xlfn.XLOOKUP(A378,'[1]FRV Output'!$F:$F,'[1]FRV Output'!$BC:$BC)</f>
        <v>0</v>
      </c>
      <c r="N378" s="68"/>
      <c r="O378" s="68"/>
      <c r="R378" s="31"/>
      <c r="T378" s="59"/>
      <c r="U378" s="108"/>
      <c r="V378" s="110"/>
    </row>
    <row r="379" spans="1:22" hidden="1" x14ac:dyDescent="0.25">
      <c r="C379" s="63">
        <f>_xlfn.XLOOKUP($A379,'[1]FRV Output'!$F:$F,'[1]FRV Output'!$M:$M)</f>
        <v>0</v>
      </c>
      <c r="D379" s="63">
        <f>_xlfn.XLOOKUP($A379,'[1]FRV Output'!$F:$F,'[1]FRV Output'!$N:$N)</f>
        <v>0</v>
      </c>
      <c r="E379" s="31">
        <f>_xlfn.XLOOKUP(A379,'[1]FRV Output'!$F:$F,'[1]FRV Output'!$U:$U)</f>
        <v>0</v>
      </c>
      <c r="F379" s="31">
        <f>_xlfn.XLOOKUP($A379,'[1]FRV Output'!$F:$F,'[1]FRV Output'!$W:$W)</f>
        <v>0</v>
      </c>
      <c r="G379" s="59">
        <f>_xlfn.XLOOKUP($A379,'[1]FRV Output'!$F:$F,'[1]FRV Output'!$AO:$AO)</f>
        <v>0</v>
      </c>
      <c r="H379" s="63">
        <f t="shared" si="5"/>
        <v>0</v>
      </c>
      <c r="I379" s="59">
        <f>_xlfn.XLOOKUP($A379,'[1]FRV Output'!$F:$F,'[1]FRV Output'!$Z:$Z)</f>
        <v>0</v>
      </c>
      <c r="J379" s="162"/>
      <c r="K379" s="164"/>
      <c r="L379" s="59">
        <f>_xlfn.XLOOKUP(A379,'[1]Aging Schedule'!$OA:$OA,'[1]Aging Schedule'!$NW:$NW)</f>
        <v>0</v>
      </c>
      <c r="M379" s="59">
        <f>_xlfn.XLOOKUP(A379,'[1]FRV Output'!$F:$F,'[1]FRV Output'!$BC:$BC)</f>
        <v>0</v>
      </c>
      <c r="N379" s="68"/>
      <c r="O379" s="68"/>
      <c r="R379" s="31"/>
      <c r="T379" s="59"/>
      <c r="U379" s="108"/>
      <c r="V379" s="110"/>
    </row>
    <row r="380" spans="1:22" hidden="1" x14ac:dyDescent="0.25">
      <c r="A380">
        <v>1366552739</v>
      </c>
      <c r="B380" s="36">
        <v>0.65</v>
      </c>
      <c r="C380" s="63">
        <f>_xlfn.XLOOKUP($A380,'[1]FRV Output'!$F:$F,'[1]FRV Output'!$M:$M)</f>
        <v>32525</v>
      </c>
      <c r="D380" s="63">
        <f>_xlfn.XLOOKUP($A380,'[1]FRV Output'!$F:$F,'[1]FRV Output'!$N:$N)</f>
        <v>32614.109589041098</v>
      </c>
      <c r="E380" s="31">
        <f>_xlfn.XLOOKUP(A380,'[1]FRV Output'!$F:$F,'[1]FRV Output'!$U:$U)</f>
        <v>27282</v>
      </c>
      <c r="F380" s="31">
        <f>_xlfn.XLOOKUP($A380,'[1]FRV Output'!$F:$F,'[1]FRV Output'!$W:$W)</f>
        <v>120</v>
      </c>
      <c r="G380" s="59">
        <f>_xlfn.XLOOKUP($A380,'[1]FRV Output'!$F:$F,'[1]FRV Output'!$AO:$AO)</f>
        <v>21.759999999999991</v>
      </c>
      <c r="H380" s="63">
        <f t="shared" si="5"/>
        <v>43375</v>
      </c>
      <c r="I380" s="59">
        <f>_xlfn.XLOOKUP($A380,'[1]FRV Output'!$F:$F,'[1]FRV Output'!$Z:$Z)</f>
        <v>361.45833333333331</v>
      </c>
      <c r="J380" s="162">
        <v>29.25</v>
      </c>
      <c r="K380" s="164">
        <v>1.1989000000000001</v>
      </c>
      <c r="L380" s="59">
        <f>_xlfn.XLOOKUP(A380,'[1]Aging Schedule'!$OA:$OA,'[1]Aging Schedule'!$NW:$NW)</f>
        <v>21.759999999999991</v>
      </c>
      <c r="M380" s="59">
        <f>_xlfn.XLOOKUP(A380,'[1]FRV Output'!$F:$F,'[1]FRV Output'!$BC:$BC)</f>
        <v>15.998131936341609</v>
      </c>
      <c r="N380" s="68"/>
      <c r="O380" s="68"/>
      <c r="R380" s="31"/>
      <c r="T380" s="59"/>
      <c r="U380" s="108"/>
      <c r="V380" s="110"/>
    </row>
    <row r="381" spans="1:22" hidden="1" x14ac:dyDescent="0.25">
      <c r="A381">
        <v>1861504946</v>
      </c>
      <c r="B381" s="36">
        <v>0.65</v>
      </c>
      <c r="C381" s="63">
        <f>_xlfn.XLOOKUP($A381,'[1]FRV Output'!$F:$F,'[1]FRV Output'!$M:$M)</f>
        <v>12363</v>
      </c>
      <c r="D381" s="63">
        <f>_xlfn.XLOOKUP($A381,'[1]FRV Output'!$F:$F,'[1]FRV Output'!$N:$N)</f>
        <v>12396.871232876714</v>
      </c>
      <c r="E381" s="31">
        <f>_xlfn.XLOOKUP(A381,'[1]FRV Output'!$F:$F,'[1]FRV Output'!$U:$U)</f>
        <v>28721</v>
      </c>
      <c r="F381" s="31">
        <f>_xlfn.XLOOKUP($A381,'[1]FRV Output'!$F:$F,'[1]FRV Output'!$W:$W)</f>
        <v>50</v>
      </c>
      <c r="G381" s="59">
        <f>_xlfn.XLOOKUP($A381,'[1]FRV Output'!$F:$F,'[1]FRV Output'!$AO:$AO)</f>
        <v>10.819999999999936</v>
      </c>
      <c r="H381" s="63">
        <f t="shared" si="5"/>
        <v>28544</v>
      </c>
      <c r="I381" s="59">
        <f>_xlfn.XLOOKUP($A381,'[1]FRV Output'!$F:$F,'[1]FRV Output'!$Z:$Z)</f>
        <v>570.88</v>
      </c>
      <c r="J381" s="162">
        <v>29.25</v>
      </c>
      <c r="K381" s="164">
        <v>1.2843</v>
      </c>
      <c r="L381" s="59">
        <f>_xlfn.XLOOKUP(A381,'[1]Aging Schedule'!$OA:$OA,'[1]Aging Schedule'!$NW:$NW)</f>
        <v>10.819999999999936</v>
      </c>
      <c r="M381" s="59">
        <f>_xlfn.XLOOKUP(A381,'[1]FRV Output'!$F:$F,'[1]FRV Output'!$BC:$BC)</f>
        <v>28.468937675455056</v>
      </c>
      <c r="N381" s="68"/>
      <c r="O381" s="68"/>
      <c r="R381" s="31"/>
      <c r="T381" s="59"/>
      <c r="U381" s="108"/>
      <c r="V381" s="110"/>
    </row>
    <row r="382" spans="1:22" hidden="1" x14ac:dyDescent="0.25">
      <c r="A382">
        <v>1326519844</v>
      </c>
      <c r="B382" s="36">
        <v>0.65</v>
      </c>
      <c r="C382" s="63">
        <f>_xlfn.XLOOKUP($A382,'[1]FRV Output'!$F:$F,'[1]FRV Output'!$M:$M)</f>
        <v>28256</v>
      </c>
      <c r="D382" s="63">
        <f>_xlfn.XLOOKUP($A382,'[1]FRV Output'!$F:$F,'[1]FRV Output'!$N:$N)</f>
        <v>28333.413698630138</v>
      </c>
      <c r="E382" s="31">
        <f>_xlfn.XLOOKUP(A382,'[1]FRV Output'!$F:$F,'[1]FRV Output'!$U:$U)</f>
        <v>28401</v>
      </c>
      <c r="F382" s="31">
        <f>_xlfn.XLOOKUP($A382,'[1]FRV Output'!$F:$F,'[1]FRV Output'!$W:$W)</f>
        <v>110</v>
      </c>
      <c r="G382" s="59">
        <f>_xlfn.XLOOKUP($A382,'[1]FRV Output'!$F:$F,'[1]FRV Output'!$AO:$AO)</f>
        <v>15.069999999999936</v>
      </c>
      <c r="H382" s="63">
        <f t="shared" si="5"/>
        <v>60860</v>
      </c>
      <c r="I382" s="59">
        <f>_xlfn.XLOOKUP($A382,'[1]FRV Output'!$F:$F,'[1]FRV Output'!$Z:$Z)</f>
        <v>553.27272727272725</v>
      </c>
      <c r="J382" s="162">
        <v>29.25</v>
      </c>
      <c r="K382" s="164">
        <v>1.2997000000000001</v>
      </c>
      <c r="L382" s="59">
        <f>_xlfn.XLOOKUP(A382,'[1]Aging Schedule'!$OA:$OA,'[1]Aging Schedule'!$NW:$NW)</f>
        <v>15.069999999999936</v>
      </c>
      <c r="M382" s="59">
        <f>_xlfn.XLOOKUP(A382,'[1]FRV Output'!$F:$F,'[1]FRV Output'!$BC:$BC)</f>
        <v>25.648418391623501</v>
      </c>
      <c r="N382" s="68"/>
      <c r="O382" s="68"/>
      <c r="R382" s="31"/>
      <c r="T382" s="59"/>
      <c r="U382" s="108"/>
      <c r="V382" s="110"/>
    </row>
    <row r="383" spans="1:22" hidden="1" x14ac:dyDescent="0.25">
      <c r="A383">
        <v>1285656272</v>
      </c>
      <c r="B383" s="36">
        <v>0.65</v>
      </c>
      <c r="C383" s="63" t="e">
        <f>_xlfn.XLOOKUP($A383,'[1]FRV Output'!$F:$F,'[1]FRV Output'!$M:$M)</f>
        <v>#N/A</v>
      </c>
      <c r="D383" s="63" t="e">
        <f>_xlfn.XLOOKUP($A383,'[1]FRV Output'!$F:$F,'[1]FRV Output'!$N:$N)</f>
        <v>#N/A</v>
      </c>
      <c r="E383" s="31" t="e">
        <f>_xlfn.XLOOKUP(A383,'[1]FRV Output'!$F:$F,'[1]FRV Output'!$U:$U)</f>
        <v>#N/A</v>
      </c>
      <c r="F383" s="31" t="e">
        <f>_xlfn.XLOOKUP($A383,'[1]FRV Output'!$F:$F,'[1]FRV Output'!$W:$W)</f>
        <v>#N/A</v>
      </c>
      <c r="G383" s="59" t="e">
        <f>_xlfn.XLOOKUP($A383,'[1]FRV Output'!$F:$F,'[1]FRV Output'!$AO:$AO)</f>
        <v>#N/A</v>
      </c>
      <c r="H383" s="63" t="e">
        <f t="shared" si="5"/>
        <v>#N/A</v>
      </c>
      <c r="I383" s="59" t="e">
        <f>_xlfn.XLOOKUP($A383,'[1]FRV Output'!$F:$F,'[1]FRV Output'!$Z:$Z)</f>
        <v>#N/A</v>
      </c>
      <c r="J383" s="162">
        <v>29.25</v>
      </c>
      <c r="K383" s="164">
        <v>1.46</v>
      </c>
      <c r="L383" s="59" t="e">
        <f>_xlfn.XLOOKUP(A383,'[1]Aging Schedule'!$OA:$OA,'[1]Aging Schedule'!$NW:$NW)</f>
        <v>#N/A</v>
      </c>
      <c r="M383" s="59" t="e">
        <f>_xlfn.XLOOKUP(A383,'[1]FRV Output'!$F:$F,'[1]FRV Output'!$BC:$BC)</f>
        <v>#N/A</v>
      </c>
      <c r="N383" s="68"/>
      <c r="O383" s="68"/>
      <c r="R383" s="31"/>
      <c r="T383" s="59"/>
      <c r="U383" s="108"/>
      <c r="V383" s="110"/>
    </row>
    <row r="384" spans="1:22" hidden="1" x14ac:dyDescent="0.25">
      <c r="A384">
        <v>1003380890</v>
      </c>
      <c r="B384" s="36">
        <v>0.65</v>
      </c>
      <c r="C384" s="63">
        <f>_xlfn.XLOOKUP($A384,'[1]FRV Output'!$F:$F,'[1]FRV Output'!$M:$M)</f>
        <v>0</v>
      </c>
      <c r="D384" s="63">
        <f>_xlfn.XLOOKUP($A384,'[1]FRV Output'!$F:$F,'[1]FRV Output'!$N:$N)</f>
        <v>0</v>
      </c>
      <c r="E384" s="31">
        <f>_xlfn.XLOOKUP(A384,'[1]FRV Output'!$F:$F,'[1]FRV Output'!$U:$U)</f>
        <v>28712</v>
      </c>
      <c r="F384" s="31">
        <f>_xlfn.XLOOKUP($A384,'[1]FRV Output'!$F:$F,'[1]FRV Output'!$W:$W)</f>
        <v>10</v>
      </c>
      <c r="G384" s="59">
        <f>_xlfn.XLOOKUP($A384,'[1]FRV Output'!$F:$F,'[1]FRV Output'!$AO:$AO)</f>
        <v>0</v>
      </c>
      <c r="H384" s="63">
        <f t="shared" si="5"/>
        <v>4250</v>
      </c>
      <c r="I384" s="59">
        <f>_xlfn.XLOOKUP($A384,'[1]FRV Output'!$F:$F,'[1]FRV Output'!$Z:$Z)</f>
        <v>425</v>
      </c>
      <c r="J384" s="162">
        <v>29.25</v>
      </c>
      <c r="K384" s="164">
        <v>0.56999999999999995</v>
      </c>
      <c r="L384" s="59" t="e">
        <f>_xlfn.XLOOKUP(A384,'[1]Aging Schedule'!$OA:$OA,'[1]Aging Schedule'!$NW:$NW)</f>
        <v>#N/A</v>
      </c>
      <c r="M384" s="59">
        <f>_xlfn.XLOOKUP(A384,'[1]FRV Output'!$F:$F,'[1]FRV Output'!$BC:$BC)</f>
        <v>27.595690128928279</v>
      </c>
      <c r="N384" s="68"/>
      <c r="O384" s="68"/>
      <c r="R384" s="31"/>
      <c r="T384" s="59"/>
      <c r="U384" s="108"/>
      <c r="V384" s="110"/>
    </row>
    <row r="385" spans="1:22" hidden="1" x14ac:dyDescent="0.25">
      <c r="C385" s="63">
        <f>_xlfn.XLOOKUP($A385,'[1]FRV Output'!$F:$F,'[1]FRV Output'!$M:$M)</f>
        <v>0</v>
      </c>
      <c r="D385" s="63">
        <f>_xlfn.XLOOKUP($A385,'[1]FRV Output'!$F:$F,'[1]FRV Output'!$N:$N)</f>
        <v>0</v>
      </c>
      <c r="E385" s="31">
        <f>_xlfn.XLOOKUP(A385,'[1]FRV Output'!$F:$F,'[1]FRV Output'!$U:$U)</f>
        <v>0</v>
      </c>
      <c r="F385" s="31">
        <f>_xlfn.XLOOKUP($A385,'[1]FRV Output'!$F:$F,'[1]FRV Output'!$W:$W)</f>
        <v>0</v>
      </c>
      <c r="G385" s="59">
        <f>_xlfn.XLOOKUP($A385,'[1]FRV Output'!$F:$F,'[1]FRV Output'!$AO:$AO)</f>
        <v>0</v>
      </c>
      <c r="H385" s="63">
        <f t="shared" si="5"/>
        <v>0</v>
      </c>
      <c r="I385" s="59">
        <f>_xlfn.XLOOKUP($A385,'[1]FRV Output'!$F:$F,'[1]FRV Output'!$Z:$Z)</f>
        <v>0</v>
      </c>
      <c r="J385" s="162"/>
      <c r="K385" s="164"/>
      <c r="L385" s="59">
        <f>_xlfn.XLOOKUP(A385,'[1]Aging Schedule'!$OA:$OA,'[1]Aging Schedule'!$NW:$NW)</f>
        <v>0</v>
      </c>
      <c r="M385" s="59">
        <f>_xlfn.XLOOKUP(A385,'[1]FRV Output'!$F:$F,'[1]FRV Output'!$BC:$BC)</f>
        <v>0</v>
      </c>
      <c r="N385" s="68"/>
      <c r="O385" s="68"/>
      <c r="R385" s="31"/>
      <c r="T385" s="59"/>
      <c r="U385" s="108"/>
      <c r="V385" s="110"/>
    </row>
    <row r="386" spans="1:22" hidden="1" x14ac:dyDescent="0.25">
      <c r="C386" s="63">
        <f>_xlfn.XLOOKUP($A386,'[1]FRV Output'!$F:$F,'[1]FRV Output'!$M:$M)</f>
        <v>0</v>
      </c>
      <c r="D386" s="63">
        <f>_xlfn.XLOOKUP($A386,'[1]FRV Output'!$F:$F,'[1]FRV Output'!$N:$N)</f>
        <v>0</v>
      </c>
      <c r="E386" s="31">
        <f>_xlfn.XLOOKUP(A386,'[1]FRV Output'!$F:$F,'[1]FRV Output'!$U:$U)</f>
        <v>0</v>
      </c>
      <c r="F386" s="31">
        <f>_xlfn.XLOOKUP($A386,'[1]FRV Output'!$F:$F,'[1]FRV Output'!$W:$W)</f>
        <v>0</v>
      </c>
      <c r="G386" s="59">
        <f>_xlfn.XLOOKUP($A386,'[1]FRV Output'!$F:$F,'[1]FRV Output'!$AO:$AO)</f>
        <v>0</v>
      </c>
      <c r="H386" s="63">
        <f t="shared" si="5"/>
        <v>0</v>
      </c>
      <c r="I386" s="59">
        <f>_xlfn.XLOOKUP($A386,'[1]FRV Output'!$F:$F,'[1]FRV Output'!$Z:$Z)</f>
        <v>0</v>
      </c>
      <c r="J386" s="162"/>
      <c r="K386" s="164"/>
      <c r="L386" s="59">
        <f>_xlfn.XLOOKUP(A386,'[1]Aging Schedule'!$OA:$OA,'[1]Aging Schedule'!$NW:$NW)</f>
        <v>0</v>
      </c>
      <c r="M386" s="59">
        <f>_xlfn.XLOOKUP(A386,'[1]FRV Output'!$F:$F,'[1]FRV Output'!$BC:$BC)</f>
        <v>0</v>
      </c>
      <c r="N386" s="68"/>
      <c r="O386" s="68"/>
      <c r="R386" s="31"/>
      <c r="T386" s="59"/>
      <c r="U386" s="108"/>
      <c r="V386" s="110"/>
    </row>
    <row r="387" spans="1:22" hidden="1" x14ac:dyDescent="0.25">
      <c r="C387" s="63">
        <f>_xlfn.XLOOKUP($A387,'[1]FRV Output'!$F:$F,'[1]FRV Output'!$M:$M)</f>
        <v>0</v>
      </c>
      <c r="D387" s="63">
        <f>_xlfn.XLOOKUP($A387,'[1]FRV Output'!$F:$F,'[1]FRV Output'!$N:$N)</f>
        <v>0</v>
      </c>
      <c r="E387" s="31">
        <f>_xlfn.XLOOKUP(A387,'[1]FRV Output'!$F:$F,'[1]FRV Output'!$U:$U)</f>
        <v>0</v>
      </c>
      <c r="F387" s="31">
        <f>_xlfn.XLOOKUP($A387,'[1]FRV Output'!$F:$F,'[1]FRV Output'!$W:$W)</f>
        <v>0</v>
      </c>
      <c r="G387" s="59">
        <f>_xlfn.XLOOKUP($A387,'[1]FRV Output'!$F:$F,'[1]FRV Output'!$AO:$AO)</f>
        <v>0</v>
      </c>
      <c r="H387" s="63">
        <f t="shared" ref="H387:H416" si="6">+I387*F387</f>
        <v>0</v>
      </c>
      <c r="I387" s="59">
        <f>_xlfn.XLOOKUP($A387,'[1]FRV Output'!$F:$F,'[1]FRV Output'!$Z:$Z)</f>
        <v>0</v>
      </c>
      <c r="J387" s="162"/>
      <c r="K387" s="164"/>
      <c r="L387" s="59">
        <f>_xlfn.XLOOKUP(A387,'[1]Aging Schedule'!$OA:$OA,'[1]Aging Schedule'!$NW:$NW)</f>
        <v>0</v>
      </c>
      <c r="M387" s="59">
        <f>_xlfn.XLOOKUP(A387,'[1]FRV Output'!$F:$F,'[1]FRV Output'!$BC:$BC)</f>
        <v>0</v>
      </c>
      <c r="N387" s="68"/>
      <c r="O387" s="68"/>
      <c r="R387" s="31"/>
      <c r="T387" s="59"/>
      <c r="U387" s="108"/>
      <c r="V387" s="110"/>
    </row>
    <row r="388" spans="1:22" hidden="1" x14ac:dyDescent="0.25">
      <c r="C388" s="63">
        <f>_xlfn.XLOOKUP($A388,'[1]FRV Output'!$F:$F,'[1]FRV Output'!$M:$M)</f>
        <v>0</v>
      </c>
      <c r="D388" s="63">
        <f>_xlfn.XLOOKUP($A388,'[1]FRV Output'!$F:$F,'[1]FRV Output'!$N:$N)</f>
        <v>0</v>
      </c>
      <c r="E388" s="31">
        <f>_xlfn.XLOOKUP(A388,'[1]FRV Output'!$F:$F,'[1]FRV Output'!$U:$U)</f>
        <v>0</v>
      </c>
      <c r="F388" s="31">
        <f>_xlfn.XLOOKUP($A388,'[1]FRV Output'!$F:$F,'[1]FRV Output'!$W:$W)</f>
        <v>0</v>
      </c>
      <c r="G388" s="59">
        <f>_xlfn.XLOOKUP($A388,'[1]FRV Output'!$F:$F,'[1]FRV Output'!$AO:$AO)</f>
        <v>0</v>
      </c>
      <c r="H388" s="63">
        <f t="shared" si="6"/>
        <v>0</v>
      </c>
      <c r="I388" s="59">
        <f>_xlfn.XLOOKUP($A388,'[1]FRV Output'!$F:$F,'[1]FRV Output'!$Z:$Z)</f>
        <v>0</v>
      </c>
      <c r="J388" s="162"/>
      <c r="K388" s="164"/>
      <c r="L388" s="59">
        <f>_xlfn.XLOOKUP(A388,'[1]Aging Schedule'!$OA:$OA,'[1]Aging Schedule'!$NW:$NW)</f>
        <v>0</v>
      </c>
      <c r="M388" s="59">
        <f>_xlfn.XLOOKUP(A388,'[1]FRV Output'!$F:$F,'[1]FRV Output'!$BC:$BC)</f>
        <v>0</v>
      </c>
      <c r="N388" s="68"/>
      <c r="O388" s="68"/>
      <c r="R388" s="31"/>
      <c r="T388" s="59"/>
      <c r="U388" s="108"/>
      <c r="V388" s="110"/>
    </row>
    <row r="389" spans="1:22" hidden="1" x14ac:dyDescent="0.25">
      <c r="A389">
        <v>1730136250</v>
      </c>
      <c r="B389" s="36">
        <v>0.65</v>
      </c>
      <c r="C389" s="63">
        <f>_xlfn.XLOOKUP($A389,'[1]FRV Output'!$F:$F,'[1]FRV Output'!$M:$M)</f>
        <v>40312</v>
      </c>
      <c r="D389" s="63">
        <f>_xlfn.XLOOKUP($A389,'[1]FRV Output'!$F:$F,'[1]FRV Output'!$N:$N)</f>
        <v>40422.443835616439</v>
      </c>
      <c r="E389" s="31">
        <f>_xlfn.XLOOKUP(A389,'[1]FRV Output'!$F:$F,'[1]FRV Output'!$U:$U)</f>
        <v>27603</v>
      </c>
      <c r="F389" s="31">
        <f>_xlfn.XLOOKUP($A389,'[1]FRV Output'!$F:$F,'[1]FRV Output'!$W:$W)</f>
        <v>150</v>
      </c>
      <c r="G389" s="59">
        <f>_xlfn.XLOOKUP($A389,'[1]FRV Output'!$F:$F,'[1]FRV Output'!$AO:$AO)</f>
        <v>4.1500000000000909</v>
      </c>
      <c r="H389" s="63">
        <f t="shared" si="6"/>
        <v>57695</v>
      </c>
      <c r="I389" s="59">
        <f>_xlfn.XLOOKUP($A389,'[1]FRV Output'!$F:$F,'[1]FRV Output'!$Z:$Z)</f>
        <v>384.63333333333333</v>
      </c>
      <c r="J389" s="162">
        <v>29.25</v>
      </c>
      <c r="K389" s="164">
        <v>1.2157</v>
      </c>
      <c r="L389" s="59">
        <f>_xlfn.XLOOKUP(A389,'[1]Aging Schedule'!$OA:$OA,'[1]Aging Schedule'!$NW:$NW)</f>
        <v>4.1500000000000909</v>
      </c>
      <c r="M389" s="59">
        <f>_xlfn.XLOOKUP(A389,'[1]FRV Output'!$F:$F,'[1]FRV Output'!$BC:$BC)</f>
        <v>26.275957683964485</v>
      </c>
      <c r="N389" s="68"/>
      <c r="O389" s="68"/>
      <c r="R389" s="31"/>
      <c r="T389" s="59"/>
      <c r="U389" s="108"/>
      <c r="V389" s="110"/>
    </row>
    <row r="390" spans="1:22" hidden="1" x14ac:dyDescent="0.25">
      <c r="A390">
        <v>1982328829</v>
      </c>
      <c r="B390" s="36">
        <v>0.65</v>
      </c>
      <c r="C390" s="63">
        <f>_xlfn.XLOOKUP($A390,'[1]FRV Output'!$F:$F,'[1]FRV Output'!$M:$M)</f>
        <v>28887</v>
      </c>
      <c r="D390" s="63">
        <f>_xlfn.XLOOKUP($A390,'[1]FRV Output'!$F:$F,'[1]FRV Output'!$N:$N)</f>
        <v>28966.142465753426</v>
      </c>
      <c r="E390" s="31">
        <f>_xlfn.XLOOKUP(A390,'[1]FRV Output'!$F:$F,'[1]FRV Output'!$U:$U)</f>
        <v>28078</v>
      </c>
      <c r="F390" s="31">
        <f>_xlfn.XLOOKUP($A390,'[1]FRV Output'!$F:$F,'[1]FRV Output'!$W:$W)</f>
        <v>114</v>
      </c>
      <c r="G390" s="59">
        <f>_xlfn.XLOOKUP($A390,'[1]FRV Output'!$F:$F,'[1]FRV Output'!$AO:$AO)</f>
        <v>13.8900000000001</v>
      </c>
      <c r="H390" s="63">
        <f t="shared" si="6"/>
        <v>47889</v>
      </c>
      <c r="I390" s="59">
        <f>_xlfn.XLOOKUP($A390,'[1]FRV Output'!$F:$F,'[1]FRV Output'!$Z:$Z)</f>
        <v>420.07894736842104</v>
      </c>
      <c r="J390" s="162">
        <v>29.25</v>
      </c>
      <c r="K390" s="164">
        <v>1.2588999999999999</v>
      </c>
      <c r="L390" s="59">
        <f>_xlfn.XLOOKUP(A390,'[1]Aging Schedule'!$OA:$OA,'[1]Aging Schedule'!$NW:$NW)</f>
        <v>13.8900000000001</v>
      </c>
      <c r="M390" s="59">
        <f>_xlfn.XLOOKUP(A390,'[1]FRV Output'!$F:$F,'[1]FRV Output'!$BC:$BC)</f>
        <v>21.331531688215051</v>
      </c>
      <c r="N390" s="68"/>
      <c r="O390" s="68"/>
      <c r="R390" s="31"/>
      <c r="T390" s="59"/>
      <c r="U390" s="108"/>
      <c r="V390" s="110"/>
    </row>
    <row r="391" spans="1:22" hidden="1" x14ac:dyDescent="0.25">
      <c r="A391">
        <v>1891908687</v>
      </c>
      <c r="B391" s="36">
        <v>0.65</v>
      </c>
      <c r="C391" s="63">
        <f>_xlfn.XLOOKUP($A391,'[1]FRV Output'!$F:$F,'[1]FRV Output'!$M:$M)</f>
        <v>28273</v>
      </c>
      <c r="D391" s="63">
        <f>_xlfn.XLOOKUP($A391,'[1]FRV Output'!$F:$F,'[1]FRV Output'!$N:$N)</f>
        <v>28350.460273972607</v>
      </c>
      <c r="E391" s="31">
        <f>_xlfn.XLOOKUP(A391,'[1]FRV Output'!$F:$F,'[1]FRV Output'!$U:$U)</f>
        <v>27006</v>
      </c>
      <c r="F391" s="31">
        <f>_xlfn.XLOOKUP($A391,'[1]FRV Output'!$F:$F,'[1]FRV Output'!$W:$W)</f>
        <v>117</v>
      </c>
      <c r="G391" s="59">
        <f>_xlfn.XLOOKUP($A391,'[1]FRV Output'!$F:$F,'[1]FRV Output'!$AO:$AO)</f>
        <v>21.569999999999936</v>
      </c>
      <c r="H391" s="63">
        <f t="shared" si="6"/>
        <v>40627</v>
      </c>
      <c r="I391" s="59">
        <f>_xlfn.XLOOKUP($A391,'[1]FRV Output'!$F:$F,'[1]FRV Output'!$Z:$Z)</f>
        <v>347.23931623931622</v>
      </c>
      <c r="J391" s="162">
        <v>29.25</v>
      </c>
      <c r="K391" s="164">
        <v>1.2602</v>
      </c>
      <c r="L391" s="59">
        <f>_xlfn.XLOOKUP(A391,'[1]Aging Schedule'!$OA:$OA,'[1]Aging Schedule'!$NW:$NW)</f>
        <v>21.569999999999936</v>
      </c>
      <c r="M391" s="59">
        <f>_xlfn.XLOOKUP(A391,'[1]FRV Output'!$F:$F,'[1]FRV Output'!$BC:$BC)</f>
        <v>16.029133393634194</v>
      </c>
      <c r="N391" s="68"/>
      <c r="O391" s="68"/>
      <c r="R391" s="31"/>
      <c r="T391" s="59"/>
      <c r="U391" s="108"/>
      <c r="V391" s="110"/>
    </row>
    <row r="392" spans="1:22" hidden="1" x14ac:dyDescent="0.25">
      <c r="A392">
        <v>1932368586</v>
      </c>
      <c r="B392" s="36">
        <v>0.65</v>
      </c>
      <c r="C392" s="63">
        <f>_xlfn.XLOOKUP($A392,'[1]FRV Output'!$F:$F,'[1]FRV Output'!$M:$M)</f>
        <v>4691</v>
      </c>
      <c r="D392" s="63">
        <f>_xlfn.XLOOKUP($A392,'[1]FRV Output'!$F:$F,'[1]FRV Output'!$N:$N)</f>
        <v>4703.8520547945209</v>
      </c>
      <c r="E392" s="31">
        <f>_xlfn.XLOOKUP(A392,'[1]FRV Output'!$F:$F,'[1]FRV Output'!$U:$U)</f>
        <v>27215</v>
      </c>
      <c r="F392" s="31">
        <f>_xlfn.XLOOKUP($A392,'[1]FRV Output'!$F:$F,'[1]FRV Output'!$W:$W)</f>
        <v>16</v>
      </c>
      <c r="G392" s="59">
        <f>_xlfn.XLOOKUP($A392,'[1]FRV Output'!$F:$F,'[1]FRV Output'!$AO:$AO)</f>
        <v>4</v>
      </c>
      <c r="H392" s="63">
        <f t="shared" si="6"/>
        <v>216687</v>
      </c>
      <c r="I392" s="59">
        <f>_xlfn.XLOOKUP($A392,'[1]FRV Output'!$F:$F,'[1]FRV Output'!$Z:$Z)</f>
        <v>13542.9375</v>
      </c>
      <c r="J392" s="162">
        <v>0</v>
      </c>
      <c r="K392" s="164">
        <v>0</v>
      </c>
      <c r="L392" s="59">
        <f>_xlfn.XLOOKUP(A392,'[1]Aging Schedule'!$OA:$OA,'[1]Aging Schedule'!$NW:$NW)</f>
        <v>4</v>
      </c>
      <c r="M392" s="59">
        <f>_xlfn.XLOOKUP(A392,'[1]FRV Output'!$F:$F,'[1]FRV Output'!$BC:$BC)</f>
        <v>42.673823545527789</v>
      </c>
      <c r="N392" s="68"/>
      <c r="O392" s="68"/>
      <c r="R392" s="31"/>
      <c r="T392" s="59"/>
      <c r="U392" s="108"/>
      <c r="V392" s="110"/>
    </row>
    <row r="393" spans="1:22" hidden="1" x14ac:dyDescent="0.25">
      <c r="A393">
        <v>1306372230</v>
      </c>
      <c r="B393" s="36">
        <v>0.65</v>
      </c>
      <c r="C393" s="63">
        <f>_xlfn.XLOOKUP($A393,'[1]FRV Output'!$F:$F,'[1]FRV Output'!$M:$M)</f>
        <v>43399</v>
      </c>
      <c r="D393" s="63">
        <f>_xlfn.XLOOKUP($A393,'[1]FRV Output'!$F:$F,'[1]FRV Output'!$N:$N)</f>
        <v>43517.901369863015</v>
      </c>
      <c r="E393" s="31">
        <f>_xlfn.XLOOKUP(A393,'[1]FRV Output'!$F:$F,'[1]FRV Output'!$U:$U)</f>
        <v>27407</v>
      </c>
      <c r="F393" s="31">
        <f>_xlfn.XLOOKUP($A393,'[1]FRV Output'!$F:$F,'[1]FRV Output'!$W:$W)</f>
        <v>135</v>
      </c>
      <c r="G393" s="59">
        <f>_xlfn.XLOOKUP($A393,'[1]FRV Output'!$F:$F,'[1]FRV Output'!$AO:$AO)</f>
        <v>14.549999999999955</v>
      </c>
      <c r="H393" s="63">
        <f t="shared" si="6"/>
        <v>66888</v>
      </c>
      <c r="I393" s="59">
        <f>_xlfn.XLOOKUP($A393,'[1]FRV Output'!$F:$F,'[1]FRV Output'!$Z:$Z)</f>
        <v>495.46666666666664</v>
      </c>
      <c r="J393" s="162">
        <v>9.4499999999999993</v>
      </c>
      <c r="K393" s="164">
        <v>1.5388999999999999</v>
      </c>
      <c r="L393" s="59">
        <f>_xlfn.XLOOKUP(A393,'[1]Aging Schedule'!$OA:$OA,'[1]Aging Schedule'!$NW:$NW)</f>
        <v>14.549999999999955</v>
      </c>
      <c r="M393" s="59">
        <f>_xlfn.XLOOKUP(A393,'[1]FRV Output'!$F:$F,'[1]FRV Output'!$BC:$BC)</f>
        <v>23.663529006096908</v>
      </c>
      <c r="N393" s="68"/>
      <c r="O393" s="68"/>
      <c r="R393" s="31"/>
      <c r="T393" s="59"/>
      <c r="U393" s="108"/>
      <c r="V393" s="110"/>
    </row>
    <row r="394" spans="1:22" hidden="1" x14ac:dyDescent="0.25">
      <c r="A394">
        <v>1437484672</v>
      </c>
      <c r="B394" s="36">
        <v>0.65</v>
      </c>
      <c r="C394" s="63">
        <f>_xlfn.XLOOKUP($A394,'[1]FRV Output'!$F:$F,'[1]FRV Output'!$M:$M)</f>
        <v>27515</v>
      </c>
      <c r="D394" s="63">
        <f>_xlfn.XLOOKUP($A394,'[1]FRV Output'!$F:$F,'[1]FRV Output'!$N:$N)</f>
        <v>27590.383561643837</v>
      </c>
      <c r="E394" s="31">
        <f>_xlfn.XLOOKUP(A394,'[1]FRV Output'!$F:$F,'[1]FRV Output'!$U:$U)</f>
        <v>28422</v>
      </c>
      <c r="F394" s="31">
        <f>_xlfn.XLOOKUP($A394,'[1]FRV Output'!$F:$F,'[1]FRV Output'!$W:$W)</f>
        <v>90</v>
      </c>
      <c r="G394" s="59">
        <f>_xlfn.XLOOKUP($A394,'[1]FRV Output'!$F:$F,'[1]FRV Output'!$AO:$AO)</f>
        <v>9.25</v>
      </c>
      <c r="H394" s="63">
        <f t="shared" si="6"/>
        <v>39346</v>
      </c>
      <c r="I394" s="59">
        <f>_xlfn.XLOOKUP($A394,'[1]FRV Output'!$F:$F,'[1]FRV Output'!$Z:$Z)</f>
        <v>437.17777777777781</v>
      </c>
      <c r="J394" s="162">
        <v>29.25</v>
      </c>
      <c r="K394" s="164">
        <v>1.3181</v>
      </c>
      <c r="L394" s="59">
        <f>_xlfn.XLOOKUP(A394,'[1]Aging Schedule'!$OA:$OA,'[1]Aging Schedule'!$NW:$NW)</f>
        <v>9.25</v>
      </c>
      <c r="M394" s="59">
        <f>_xlfn.XLOOKUP(A394,'[1]FRV Output'!$F:$F,'[1]FRV Output'!$BC:$BC)</f>
        <v>23.971369175966668</v>
      </c>
      <c r="N394" s="68"/>
      <c r="O394" s="68"/>
      <c r="R394" s="31"/>
      <c r="T394" s="59"/>
      <c r="U394" s="108"/>
      <c r="V394" s="110"/>
    </row>
    <row r="395" spans="1:22" hidden="1" x14ac:dyDescent="0.25">
      <c r="A395">
        <v>1982130811</v>
      </c>
      <c r="B395" s="36">
        <v>0.65</v>
      </c>
      <c r="C395" s="63">
        <f>_xlfn.XLOOKUP($A395,'[1]FRV Output'!$F:$F,'[1]FRV Output'!$M:$M)</f>
        <v>35282</v>
      </c>
      <c r="D395" s="63">
        <f>_xlfn.XLOOKUP($A395,'[1]FRV Output'!$F:$F,'[1]FRV Output'!$N:$N)</f>
        <v>35378.663013698635</v>
      </c>
      <c r="E395" s="31">
        <f>_xlfn.XLOOKUP(A395,'[1]FRV Output'!$F:$F,'[1]FRV Output'!$U:$U)</f>
        <v>27301</v>
      </c>
      <c r="F395" s="31">
        <f>_xlfn.XLOOKUP($A395,'[1]FRV Output'!$F:$F,'[1]FRV Output'!$W:$W)</f>
        <v>134</v>
      </c>
      <c r="G395" s="59">
        <f>_xlfn.XLOOKUP($A395,'[1]FRV Output'!$F:$F,'[1]FRV Output'!$AO:$AO)</f>
        <v>14.720000000000027</v>
      </c>
      <c r="H395" s="63">
        <f t="shared" si="6"/>
        <v>66888</v>
      </c>
      <c r="I395" s="59">
        <f>_xlfn.XLOOKUP($A395,'[1]FRV Output'!$F:$F,'[1]FRV Output'!$Z:$Z)</f>
        <v>499.16417910447763</v>
      </c>
      <c r="J395" s="162">
        <v>29.25</v>
      </c>
      <c r="K395" s="164">
        <v>1.4384999999999999</v>
      </c>
      <c r="L395" s="59">
        <f>_xlfn.XLOOKUP(A395,'[1]Aging Schedule'!$OA:$OA,'[1]Aging Schedule'!$NW:$NW)</f>
        <v>14.720000000000027</v>
      </c>
      <c r="M395" s="59">
        <f>_xlfn.XLOOKUP(A395,'[1]FRV Output'!$F:$F,'[1]FRV Output'!$BC:$BC)</f>
        <v>24.690908760041847</v>
      </c>
      <c r="N395" s="68"/>
      <c r="O395" s="68"/>
      <c r="R395" s="31"/>
      <c r="T395" s="59"/>
      <c r="U395" s="108"/>
      <c r="V395" s="110"/>
    </row>
    <row r="396" spans="1:22" hidden="1" x14ac:dyDescent="0.25">
      <c r="A396">
        <v>1124342241</v>
      </c>
      <c r="B396" s="36">
        <v>0.65</v>
      </c>
      <c r="C396" s="63">
        <f>_xlfn.XLOOKUP($A396,'[1]FRV Output'!$F:$F,'[1]FRV Output'!$M:$M)</f>
        <v>30264</v>
      </c>
      <c r="D396" s="63">
        <f>_xlfn.XLOOKUP($A396,'[1]FRV Output'!$F:$F,'[1]FRV Output'!$N:$N)</f>
        <v>30346.915068493152</v>
      </c>
      <c r="E396" s="31">
        <f>_xlfn.XLOOKUP(A396,'[1]FRV Output'!$F:$F,'[1]FRV Output'!$U:$U)</f>
        <v>28173</v>
      </c>
      <c r="F396" s="31">
        <f>_xlfn.XLOOKUP($A396,'[1]FRV Output'!$F:$F,'[1]FRV Output'!$W:$W)</f>
        <v>100</v>
      </c>
      <c r="G396" s="59">
        <f>_xlfn.XLOOKUP($A396,'[1]FRV Output'!$F:$F,'[1]FRV Output'!$AO:$AO)</f>
        <v>6.6700000000000728</v>
      </c>
      <c r="H396" s="63">
        <f t="shared" si="6"/>
        <v>60190</v>
      </c>
      <c r="I396" s="59">
        <f>_xlfn.XLOOKUP($A396,'[1]FRV Output'!$F:$F,'[1]FRV Output'!$Z:$Z)</f>
        <v>601.9</v>
      </c>
      <c r="J396" s="162">
        <v>29.25</v>
      </c>
      <c r="K396" s="164">
        <v>1.1924999999999999</v>
      </c>
      <c r="L396" s="59">
        <f>_xlfn.XLOOKUP(A396,'[1]Aging Schedule'!$OA:$OA,'[1]Aging Schedule'!$NW:$NW)</f>
        <v>6.6700000000000728</v>
      </c>
      <c r="M396" s="59">
        <f>_xlfn.XLOOKUP(A396,'[1]FRV Output'!$F:$F,'[1]FRV Output'!$BC:$BC)</f>
        <v>35.628607738425806</v>
      </c>
      <c r="N396" s="68"/>
      <c r="O396" s="68"/>
      <c r="R396" s="31"/>
      <c r="T396" s="59"/>
      <c r="U396" s="108"/>
      <c r="V396" s="110"/>
    </row>
    <row r="397" spans="1:22" hidden="1" x14ac:dyDescent="0.25">
      <c r="A397">
        <v>1669613071</v>
      </c>
      <c r="B397" s="36">
        <v>0.65</v>
      </c>
      <c r="C397" s="63">
        <f>_xlfn.XLOOKUP($A397,'[1]FRV Output'!$F:$F,'[1]FRV Output'!$M:$M)</f>
        <v>26290</v>
      </c>
      <c r="D397" s="63">
        <f>_xlfn.XLOOKUP($A397,'[1]FRV Output'!$F:$F,'[1]FRV Output'!$N:$N)</f>
        <v>26362.027397260277</v>
      </c>
      <c r="E397" s="31">
        <f>_xlfn.XLOOKUP(A397,'[1]FRV Output'!$F:$F,'[1]FRV Output'!$U:$U)</f>
        <v>27282</v>
      </c>
      <c r="F397" s="31">
        <f>_xlfn.XLOOKUP($A397,'[1]FRV Output'!$F:$F,'[1]FRV Output'!$W:$W)</f>
        <v>150</v>
      </c>
      <c r="G397" s="59">
        <f>_xlfn.XLOOKUP($A397,'[1]FRV Output'!$F:$F,'[1]FRV Output'!$AO:$AO)</f>
        <v>13.6400000000001</v>
      </c>
      <c r="H397" s="63">
        <f t="shared" si="6"/>
        <v>60000</v>
      </c>
      <c r="I397" s="59">
        <f>_xlfn.XLOOKUP($A397,'[1]FRV Output'!$F:$F,'[1]FRV Output'!$Z:$Z)</f>
        <v>400</v>
      </c>
      <c r="J397" s="162">
        <v>29.25</v>
      </c>
      <c r="K397" s="164">
        <v>1.3025</v>
      </c>
      <c r="L397" s="59">
        <f>_xlfn.XLOOKUP(A397,'[1]Aging Schedule'!$OA:$OA,'[1]Aging Schedule'!$NW:$NW)</f>
        <v>13.6400000000001</v>
      </c>
      <c r="M397" s="59">
        <f>_xlfn.XLOOKUP(A397,'[1]FRV Output'!$F:$F,'[1]FRV Output'!$BC:$BC)</f>
        <v>20.566501402095081</v>
      </c>
      <c r="N397" s="68"/>
      <c r="O397" s="68"/>
      <c r="R397" s="31"/>
      <c r="T397" s="59"/>
      <c r="U397" s="108"/>
      <c r="V397" s="110"/>
    </row>
    <row r="398" spans="1:22" hidden="1" x14ac:dyDescent="0.25">
      <c r="A398">
        <v>1518112036</v>
      </c>
      <c r="B398" s="36">
        <v>0.65</v>
      </c>
      <c r="C398" s="63">
        <f>_xlfn.XLOOKUP($A398,'[1]FRV Output'!$F:$F,'[1]FRV Output'!$M:$M)</f>
        <v>31978</v>
      </c>
      <c r="D398" s="63">
        <f>_xlfn.XLOOKUP($A398,'[1]FRV Output'!$F:$F,'[1]FRV Output'!$N:$N)</f>
        <v>32065.610958904112</v>
      </c>
      <c r="E398" s="31">
        <f>_xlfn.XLOOKUP(A398,'[1]FRV Output'!$F:$F,'[1]FRV Output'!$U:$U)</f>
        <v>27705</v>
      </c>
      <c r="F398" s="31">
        <f>_xlfn.XLOOKUP($A398,'[1]FRV Output'!$F:$F,'[1]FRV Output'!$W:$W)</f>
        <v>138</v>
      </c>
      <c r="G398" s="59">
        <f>_xlfn.XLOOKUP($A398,'[1]FRV Output'!$F:$F,'[1]FRV Output'!$AO:$AO)</f>
        <v>7.0099999999999909</v>
      </c>
      <c r="H398" s="63">
        <f t="shared" si="6"/>
        <v>45517.328571428574</v>
      </c>
      <c r="I398" s="59">
        <f>_xlfn.XLOOKUP($A398,'[1]FRV Output'!$F:$F,'[1]FRV Output'!$Z:$Z)</f>
        <v>329.83571428571429</v>
      </c>
      <c r="J398" s="162">
        <v>29.25</v>
      </c>
      <c r="K398" s="164">
        <v>1.2416</v>
      </c>
      <c r="L398" s="59">
        <f>_xlfn.XLOOKUP(A398,'[1]Aging Schedule'!$OA:$OA,'[1]Aging Schedule'!$NW:$NW)</f>
        <v>7.0099999999999909</v>
      </c>
      <c r="M398" s="59">
        <f>_xlfn.XLOOKUP(A398,'[1]FRV Output'!$F:$F,'[1]FRV Output'!$BC:$BC)</f>
        <v>25.525294376954037</v>
      </c>
      <c r="N398" s="68"/>
      <c r="O398" s="68"/>
      <c r="R398" s="31"/>
      <c r="T398" s="59"/>
      <c r="U398" s="108"/>
      <c r="V398" s="110"/>
    </row>
    <row r="399" spans="1:22" hidden="1" x14ac:dyDescent="0.25">
      <c r="A399">
        <v>1114463932</v>
      </c>
      <c r="B399" s="36">
        <v>0.65</v>
      </c>
      <c r="C399" s="63">
        <f>_xlfn.XLOOKUP($A399,'[1]FRV Output'!$F:$F,'[1]FRV Output'!$M:$M)</f>
        <v>27871</v>
      </c>
      <c r="D399" s="63">
        <f>_xlfn.XLOOKUP($A399,'[1]FRV Output'!$F:$F,'[1]FRV Output'!$N:$N)</f>
        <v>27947.358904109591</v>
      </c>
      <c r="E399" s="31">
        <f>_xlfn.XLOOKUP(A399,'[1]FRV Output'!$F:$F,'[1]FRV Output'!$U:$U)</f>
        <v>28314</v>
      </c>
      <c r="F399" s="31">
        <f>_xlfn.XLOOKUP($A399,'[1]FRV Output'!$F:$F,'[1]FRV Output'!$W:$W)</f>
        <v>90</v>
      </c>
      <c r="G399" s="59">
        <f>_xlfn.XLOOKUP($A399,'[1]FRV Output'!$F:$F,'[1]FRV Output'!$AO:$AO)</f>
        <v>11.220000000000027</v>
      </c>
      <c r="H399" s="63">
        <f t="shared" si="6"/>
        <v>62100</v>
      </c>
      <c r="I399" s="59">
        <f>_xlfn.XLOOKUP($A399,'[1]FRV Output'!$F:$F,'[1]FRV Output'!$Z:$Z)</f>
        <v>690</v>
      </c>
      <c r="J399" s="162">
        <v>29.25</v>
      </c>
      <c r="K399" s="164">
        <v>1.1960999999999999</v>
      </c>
      <c r="L399" s="59">
        <f>_xlfn.XLOOKUP(A399,'[1]Aging Schedule'!$OA:$OA,'[1]Aging Schedule'!$NW:$NW)</f>
        <v>11.220000000000027</v>
      </c>
      <c r="M399" s="59">
        <f>_xlfn.XLOOKUP(A399,'[1]FRV Output'!$F:$F,'[1]FRV Output'!$BC:$BC)</f>
        <v>36.03789506320711</v>
      </c>
      <c r="N399" s="68"/>
      <c r="O399" s="68"/>
    </row>
    <row r="400" spans="1:22" s="179" customFormat="1" x14ac:dyDescent="0.25">
      <c r="A400" s="179">
        <v>1194028118</v>
      </c>
      <c r="B400" s="180">
        <v>0.65</v>
      </c>
      <c r="C400" s="63">
        <f>_xlfn.XLOOKUP($A400,'[1]FRV Output'!$F:$F,'[1]FRV Output'!$M:$M)</f>
        <v>33572</v>
      </c>
      <c r="D400" s="63">
        <f>_xlfn.XLOOKUP($A400,'[1]FRV Output'!$F:$F,'[1]FRV Output'!$N:$N)</f>
        <v>33663.978082191781</v>
      </c>
      <c r="E400" s="31">
        <f>_xlfn.XLOOKUP(A400,'[1]FRV Output'!$F:$F,'[1]FRV Output'!$U:$U)</f>
        <v>28412</v>
      </c>
      <c r="F400" s="31">
        <f>_xlfn.XLOOKUP($A400,'[1]FRV Output'!$F:$F,'[1]FRV Output'!$W:$W)</f>
        <v>100</v>
      </c>
      <c r="G400" s="59">
        <f>_xlfn.XLOOKUP($A400,'[1]FRV Output'!$F:$F,'[1]FRV Output'!$AO:$AO)</f>
        <v>8.1300000000001091</v>
      </c>
      <c r="H400" s="63">
        <f t="shared" si="6"/>
        <v>67869</v>
      </c>
      <c r="I400" s="59">
        <f>_xlfn.XLOOKUP($A400,'[1]FRV Output'!$F:$F,'[1]FRV Output'!$Z:$Z)</f>
        <v>678.69</v>
      </c>
      <c r="J400" s="180">
        <v>0</v>
      </c>
      <c r="K400" s="180">
        <v>1.2395</v>
      </c>
      <c r="L400" s="59">
        <f>_xlfn.XLOOKUP(A400,'[1]Aging Schedule'!$OA:$OA,'[1]Aging Schedule'!$NW:$NW)</f>
        <v>8.1300000000001091</v>
      </c>
      <c r="M400" s="59">
        <f>_xlfn.XLOOKUP(A400,'[1]FRV Output'!$F:$F,'[1]FRV Output'!$BC:$BC)</f>
        <v>33.948365775207797</v>
      </c>
      <c r="N400" s="31"/>
      <c r="O400" s="31"/>
      <c r="R400" s="182"/>
      <c r="S400" s="181"/>
    </row>
    <row r="401" spans="1:15" hidden="1" x14ac:dyDescent="0.25">
      <c r="A401">
        <v>1255682522</v>
      </c>
      <c r="B401" s="36">
        <v>0.65</v>
      </c>
      <c r="C401" s="63">
        <f>_xlfn.XLOOKUP($A401,'[1]FRV Output'!$F:$F,'[1]FRV Output'!$M:$M)</f>
        <v>23752</v>
      </c>
      <c r="D401" s="63">
        <f>_xlfn.XLOOKUP($A401,'[1]FRV Output'!$F:$F,'[1]FRV Output'!$N:$N)</f>
        <v>23817.073972602742</v>
      </c>
      <c r="E401" s="31">
        <f>_xlfn.XLOOKUP(A401,'[1]FRV Output'!$F:$F,'[1]FRV Output'!$U:$U)</f>
        <v>28412</v>
      </c>
      <c r="F401" s="31">
        <f>_xlfn.XLOOKUP($A401,'[1]FRV Output'!$F:$F,'[1]FRV Output'!$W:$W)</f>
        <v>80</v>
      </c>
      <c r="G401" s="59">
        <f>_xlfn.XLOOKUP($A401,'[1]FRV Output'!$F:$F,'[1]FRV Output'!$AO:$AO)</f>
        <v>4.4500000000000455</v>
      </c>
      <c r="H401" s="63">
        <f t="shared" si="6"/>
        <v>43500</v>
      </c>
      <c r="I401" s="59">
        <f>_xlfn.XLOOKUP($A401,'[1]FRV Output'!$F:$F,'[1]FRV Output'!$Z:$Z)</f>
        <v>543.75</v>
      </c>
      <c r="J401" s="108">
        <v>29.25</v>
      </c>
      <c r="K401" s="164">
        <v>1.1980999999999999</v>
      </c>
      <c r="L401" s="59">
        <f>_xlfn.XLOOKUP(A401,'[1]Aging Schedule'!$OA:$OA,'[1]Aging Schedule'!$NW:$NW)</f>
        <v>4.4500000000000455</v>
      </c>
      <c r="M401" s="59">
        <f>_xlfn.XLOOKUP(A401,'[1]FRV Output'!$F:$F,'[1]FRV Output'!$BC:$BC)</f>
        <v>32.443755432715598</v>
      </c>
      <c r="O401"/>
    </row>
    <row r="402" spans="1:15" hidden="1" x14ac:dyDescent="0.25">
      <c r="A402">
        <v>1588805014</v>
      </c>
      <c r="B402" s="36">
        <v>0.65</v>
      </c>
      <c r="C402" s="63">
        <f>_xlfn.XLOOKUP($A402,'[1]FRV Output'!$F:$F,'[1]FRV Output'!$M:$M)</f>
        <v>32525</v>
      </c>
      <c r="D402" s="63">
        <f>_xlfn.XLOOKUP($A402,'[1]FRV Output'!$F:$F,'[1]FRV Output'!$N:$N)</f>
        <v>32614.109589041098</v>
      </c>
      <c r="E402" s="31">
        <f>_xlfn.XLOOKUP(A402,'[1]FRV Output'!$F:$F,'[1]FRV Output'!$U:$U)</f>
        <v>27526</v>
      </c>
      <c r="F402" s="31">
        <f>_xlfn.XLOOKUP($A402,'[1]FRV Output'!$F:$F,'[1]FRV Output'!$W:$W)</f>
        <v>100</v>
      </c>
      <c r="G402" s="59">
        <f>_xlfn.XLOOKUP($A402,'[1]FRV Output'!$F:$F,'[1]FRV Output'!$AO:$AO)</f>
        <v>8</v>
      </c>
      <c r="H402" s="63">
        <f t="shared" si="6"/>
        <v>54066</v>
      </c>
      <c r="I402" s="59">
        <f>_xlfn.XLOOKUP($A402,'[1]FRV Output'!$F:$F,'[1]FRV Output'!$Z:$Z)</f>
        <v>540.66</v>
      </c>
      <c r="J402" s="31">
        <v>29.25</v>
      </c>
      <c r="K402" s="164">
        <v>1.2322</v>
      </c>
      <c r="L402" s="59">
        <f>_xlfn.XLOOKUP(A402,'[1]Aging Schedule'!$OA:$OA,'[1]Aging Schedule'!$NW:$NW)</f>
        <v>8</v>
      </c>
      <c r="M402" s="59">
        <f>_xlfn.XLOOKUP(A402,'[1]FRV Output'!$F:$F,'[1]FRV Output'!$BC:$BC)</f>
        <v>29.521077533100684</v>
      </c>
      <c r="O402"/>
    </row>
    <row r="403" spans="1:15" hidden="1" x14ac:dyDescent="0.25">
      <c r="A403">
        <v>1962832899</v>
      </c>
      <c r="B403" s="36">
        <v>0.65</v>
      </c>
      <c r="C403" s="63">
        <f>_xlfn.XLOOKUP($A403,'[1]FRV Output'!$F:$F,'[1]FRV Output'!$M:$M)</f>
        <v>31213</v>
      </c>
      <c r="D403" s="63">
        <f>_xlfn.XLOOKUP($A403,'[1]FRV Output'!$F:$F,'[1]FRV Output'!$N:$N)</f>
        <v>31298.515068493154</v>
      </c>
      <c r="E403" s="31">
        <f>_xlfn.XLOOKUP(A403,'[1]FRV Output'!$F:$F,'[1]FRV Output'!$U:$U)</f>
        <v>28277</v>
      </c>
      <c r="F403" s="31">
        <f>_xlfn.XLOOKUP($A403,'[1]FRV Output'!$F:$F,'[1]FRV Output'!$W:$W)</f>
        <v>120</v>
      </c>
      <c r="G403" s="59">
        <f>_xlfn.XLOOKUP($A403,'[1]FRV Output'!$F:$F,'[1]FRV Output'!$AO:$AO)</f>
        <v>10.700000000000045</v>
      </c>
      <c r="H403" s="63">
        <f t="shared" si="6"/>
        <v>79370</v>
      </c>
      <c r="I403" s="59">
        <f>_xlfn.XLOOKUP($A403,'[1]FRV Output'!$F:$F,'[1]FRV Output'!$Z:$Z)</f>
        <v>661.41666666666663</v>
      </c>
      <c r="J403" s="31">
        <v>29.25</v>
      </c>
      <c r="K403" s="164">
        <v>1.1380999999999999</v>
      </c>
      <c r="L403" s="59">
        <f>_xlfn.XLOOKUP(A403,'[1]Aging Schedule'!$OA:$OA,'[1]Aging Schedule'!$NW:$NW)</f>
        <v>10.700000000000045</v>
      </c>
      <c r="M403" s="59">
        <f>_xlfn.XLOOKUP(A403,'[1]FRV Output'!$F:$F,'[1]FRV Output'!$BC:$BC)</f>
        <v>35.814962869725996</v>
      </c>
      <c r="O403"/>
    </row>
    <row r="404" spans="1:15" hidden="1" x14ac:dyDescent="0.25">
      <c r="A404">
        <v>1710312079</v>
      </c>
      <c r="B404" s="36">
        <v>0.65</v>
      </c>
      <c r="C404" s="63">
        <f>_xlfn.XLOOKUP($A404,'[1]FRV Output'!$F:$F,'[1]FRV Output'!$M:$M)</f>
        <v>24288</v>
      </c>
      <c r="D404" s="63">
        <f>_xlfn.XLOOKUP($A404,'[1]FRV Output'!$F:$F,'[1]FRV Output'!$N:$N)</f>
        <v>24354.542465753428</v>
      </c>
      <c r="E404" s="31">
        <f>_xlfn.XLOOKUP(A404,'[1]FRV Output'!$F:$F,'[1]FRV Output'!$U:$U)</f>
        <v>28227</v>
      </c>
      <c r="F404" s="31">
        <f>_xlfn.XLOOKUP($A404,'[1]FRV Output'!$F:$F,'[1]FRV Output'!$W:$W)</f>
        <v>120</v>
      </c>
      <c r="G404" s="59">
        <f>_xlfn.XLOOKUP($A404,'[1]FRV Output'!$F:$F,'[1]FRV Output'!$AO:$AO)</f>
        <v>10.5</v>
      </c>
      <c r="H404" s="63">
        <f t="shared" si="6"/>
        <v>66812</v>
      </c>
      <c r="I404" s="59">
        <f>_xlfn.XLOOKUP($A404,'[1]FRV Output'!$F:$F,'[1]FRV Output'!$Z:$Z)</f>
        <v>556.76666666666665</v>
      </c>
      <c r="J404" s="108">
        <v>29.25</v>
      </c>
      <c r="K404" s="164">
        <v>1.3001</v>
      </c>
      <c r="L404" s="59">
        <f>_xlfn.XLOOKUP(A404,'[1]Aging Schedule'!$OA:$OA,'[1]Aging Schedule'!$NW:$NW)</f>
        <v>10.5</v>
      </c>
      <c r="M404" s="59">
        <f>_xlfn.XLOOKUP(A404,'[1]FRV Output'!$F:$F,'[1]FRV Output'!$BC:$BC)</f>
        <v>30.554407884995971</v>
      </c>
      <c r="O404"/>
    </row>
    <row r="405" spans="1:15" hidden="1" x14ac:dyDescent="0.25">
      <c r="A405">
        <v>1992106348</v>
      </c>
      <c r="B405" s="36">
        <v>0.65</v>
      </c>
      <c r="C405" s="63">
        <f>_xlfn.XLOOKUP($A405,'[1]FRV Output'!$F:$F,'[1]FRV Output'!$M:$M)</f>
        <v>27427</v>
      </c>
      <c r="D405" s="63">
        <f>_xlfn.XLOOKUP($A405,'[1]FRV Output'!$F:$F,'[1]FRV Output'!$N:$N)</f>
        <v>27502.142465753426</v>
      </c>
      <c r="E405" s="31">
        <f>_xlfn.XLOOKUP(A405,'[1]FRV Output'!$F:$F,'[1]FRV Output'!$U:$U)</f>
        <v>28110</v>
      </c>
      <c r="F405" s="31">
        <f>_xlfn.XLOOKUP($A405,'[1]FRV Output'!$F:$F,'[1]FRV Output'!$W:$W)</f>
        <v>90</v>
      </c>
      <c r="G405" s="59">
        <f>_xlfn.XLOOKUP($A405,'[1]FRV Output'!$F:$F,'[1]FRV Output'!$AO:$AO)</f>
        <v>6.2699999999999818</v>
      </c>
      <c r="H405" s="63">
        <f t="shared" si="6"/>
        <v>61600</v>
      </c>
      <c r="I405" s="59">
        <f>_xlfn.XLOOKUP($A405,'[1]FRV Output'!$F:$F,'[1]FRV Output'!$Z:$Z)</f>
        <v>684.44444444444446</v>
      </c>
      <c r="J405" s="108">
        <v>29.25</v>
      </c>
      <c r="K405" s="164">
        <v>1.1860999999999999</v>
      </c>
      <c r="L405" s="59">
        <f>_xlfn.XLOOKUP(A405,'[1]Aging Schedule'!$OA:$OA,'[1]Aging Schedule'!$NW:$NW)</f>
        <v>6.2699999999999818</v>
      </c>
      <c r="M405" s="59">
        <f>_xlfn.XLOOKUP(A405,'[1]FRV Output'!$F:$F,'[1]FRV Output'!$BC:$BC)</f>
        <v>40.140070508041852</v>
      </c>
      <c r="O405"/>
    </row>
    <row r="406" spans="1:15" hidden="1" x14ac:dyDescent="0.25">
      <c r="A406">
        <v>1376932889</v>
      </c>
      <c r="B406" s="36">
        <v>0.65</v>
      </c>
      <c r="C406" s="63">
        <f>_xlfn.XLOOKUP($A406,'[1]FRV Output'!$F:$F,'[1]FRV Output'!$M:$M)</f>
        <v>31721</v>
      </c>
      <c r="D406" s="63">
        <f>_xlfn.XLOOKUP($A406,'[1]FRV Output'!$F:$F,'[1]FRV Output'!$N:$N)</f>
        <v>31807.90684931507</v>
      </c>
      <c r="E406" s="31">
        <f>_xlfn.XLOOKUP(A406,'[1]FRV Output'!$F:$F,'[1]FRV Output'!$U:$U)</f>
        <v>28031</v>
      </c>
      <c r="F406" s="31">
        <f>_xlfn.XLOOKUP($A406,'[1]FRV Output'!$F:$F,'[1]FRV Output'!$W:$W)</f>
        <v>102</v>
      </c>
      <c r="G406" s="59">
        <f>_xlfn.XLOOKUP($A406,'[1]FRV Output'!$F:$F,'[1]FRV Output'!$AO:$AO)</f>
        <v>7.0599999999999454</v>
      </c>
      <c r="H406" s="63">
        <f t="shared" si="6"/>
        <v>71500</v>
      </c>
      <c r="I406" s="59">
        <f>_xlfn.XLOOKUP($A406,'[1]FRV Output'!$F:$F,'[1]FRV Output'!$Z:$Z)</f>
        <v>700.98039215686276</v>
      </c>
      <c r="J406" s="108">
        <v>29.25</v>
      </c>
      <c r="K406" s="164">
        <v>1.0895999999999999</v>
      </c>
      <c r="L406" s="59">
        <f>_xlfn.XLOOKUP(A406,'[1]Aging Schedule'!$OA:$OA,'[1]Aging Schedule'!$NW:$NW)</f>
        <v>7.0599999999999454</v>
      </c>
      <c r="M406" s="59">
        <f>_xlfn.XLOOKUP(A406,'[1]FRV Output'!$F:$F,'[1]FRV Output'!$BC:$BC)</f>
        <v>40.203034979105333</v>
      </c>
      <c r="O406"/>
    </row>
    <row r="407" spans="1:15" hidden="1" x14ac:dyDescent="0.25">
      <c r="A407">
        <v>1912323635</v>
      </c>
      <c r="B407" s="36">
        <v>0.65</v>
      </c>
      <c r="C407" s="63">
        <f>_xlfn.XLOOKUP($A407,'[1]FRV Output'!$F:$F,'[1]FRV Output'!$M:$M)</f>
        <v>30229</v>
      </c>
      <c r="D407" s="63">
        <f>_xlfn.XLOOKUP($A407,'[1]FRV Output'!$F:$F,'[1]FRV Output'!$N:$N)</f>
        <v>30311.819178082194</v>
      </c>
      <c r="E407" s="31">
        <f>_xlfn.XLOOKUP(A407,'[1]FRV Output'!$F:$F,'[1]FRV Output'!$U:$U)</f>
        <v>27012</v>
      </c>
      <c r="F407" s="31">
        <f>_xlfn.XLOOKUP($A407,'[1]FRV Output'!$F:$F,'[1]FRV Output'!$W:$W)</f>
        <v>100</v>
      </c>
      <c r="G407" s="59">
        <f>_xlfn.XLOOKUP($A407,'[1]FRV Output'!$F:$F,'[1]FRV Output'!$AO:$AO)</f>
        <v>9.6099999999999</v>
      </c>
      <c r="H407" s="63">
        <f t="shared" si="6"/>
        <v>70374</v>
      </c>
      <c r="I407" s="59">
        <f>_xlfn.XLOOKUP($A407,'[1]FRV Output'!$F:$F,'[1]FRV Output'!$Z:$Z)</f>
        <v>703.74</v>
      </c>
      <c r="J407" s="108">
        <v>0</v>
      </c>
      <c r="K407" s="164">
        <v>1.2048000000000001</v>
      </c>
      <c r="L407" s="59">
        <f>_xlfn.XLOOKUP(A407,'[1]Aging Schedule'!$OA:$OA,'[1]Aging Schedule'!$NW:$NW)</f>
        <v>9.6099999999999</v>
      </c>
      <c r="M407" s="59">
        <f>_xlfn.XLOOKUP(A407,'[1]FRV Output'!$F:$F,'[1]FRV Output'!$BC:$BC)</f>
        <v>37.939859516518936</v>
      </c>
      <c r="O407"/>
    </row>
    <row r="408" spans="1:15" hidden="1" x14ac:dyDescent="0.25">
      <c r="A408">
        <v>1841697422</v>
      </c>
      <c r="B408" s="36">
        <v>0.65</v>
      </c>
      <c r="C408" s="63">
        <f>_xlfn.XLOOKUP($A408,'[1]FRV Output'!$F:$F,'[1]FRV Output'!$M:$M)</f>
        <v>5512</v>
      </c>
      <c r="D408" s="63">
        <f>_xlfn.XLOOKUP($A408,'[1]FRV Output'!$F:$F,'[1]FRV Output'!$N:$N)</f>
        <v>5527.101369863014</v>
      </c>
      <c r="E408" s="31">
        <f>_xlfn.XLOOKUP(A408,'[1]FRV Output'!$F:$F,'[1]FRV Output'!$U:$U)</f>
        <v>28405</v>
      </c>
      <c r="F408" s="31">
        <f>_xlfn.XLOOKUP($A408,'[1]FRV Output'!$F:$F,'[1]FRV Output'!$W:$W)</f>
        <v>20</v>
      </c>
      <c r="G408" s="59">
        <f>_xlfn.XLOOKUP($A408,'[1]FRV Output'!$F:$F,'[1]FRV Output'!$AO:$AO)</f>
        <v>7.9900000000000091</v>
      </c>
      <c r="H408" s="63">
        <f t="shared" si="6"/>
        <v>8500</v>
      </c>
      <c r="I408" s="59">
        <f>_xlfn.XLOOKUP($A408,'[1]FRV Output'!$F:$F,'[1]FRV Output'!$Z:$Z)</f>
        <v>425</v>
      </c>
      <c r="J408" s="108">
        <v>29.25</v>
      </c>
      <c r="K408" s="164">
        <v>0.96150000000000002</v>
      </c>
      <c r="L408" s="59">
        <f>_xlfn.XLOOKUP(A408,'[1]Aging Schedule'!$OA:$OA,'[1]Aging Schedule'!$NW:$NW)</f>
        <v>7.9900000000000091</v>
      </c>
      <c r="M408" s="59">
        <f>_xlfn.XLOOKUP(A408,'[1]FRV Output'!$F:$F,'[1]FRV Output'!$BC:$BC)</f>
        <v>23.210199923448826</v>
      </c>
      <c r="O408"/>
    </row>
    <row r="409" spans="1:15" hidden="1" x14ac:dyDescent="0.25">
      <c r="A409">
        <v>1003205337</v>
      </c>
      <c r="B409" s="36">
        <v>0.65</v>
      </c>
      <c r="C409" s="63">
        <f>_xlfn.XLOOKUP($A409,'[1]FRV Output'!$F:$F,'[1]FRV Output'!$M:$M)</f>
        <v>31204</v>
      </c>
      <c r="D409" s="63">
        <f>_xlfn.XLOOKUP($A409,'[1]FRV Output'!$F:$F,'[1]FRV Output'!$N:$N)</f>
        <v>31289.490410958908</v>
      </c>
      <c r="E409" s="31">
        <f>_xlfn.XLOOKUP(A409,'[1]FRV Output'!$F:$F,'[1]FRV Output'!$U:$U)</f>
        <v>27520</v>
      </c>
      <c r="F409" s="31">
        <f>_xlfn.XLOOKUP($A409,'[1]FRV Output'!$F:$F,'[1]FRV Output'!$W:$W)</f>
        <v>100</v>
      </c>
      <c r="G409" s="59">
        <f>_xlfn.XLOOKUP($A409,'[1]FRV Output'!$F:$F,'[1]FRV Output'!$AO:$AO)</f>
        <v>9</v>
      </c>
      <c r="H409" s="63">
        <f t="shared" si="6"/>
        <v>66398</v>
      </c>
      <c r="I409" s="59">
        <f>_xlfn.XLOOKUP($A409,'[1]FRV Output'!$F:$F,'[1]FRV Output'!$Z:$Z)</f>
        <v>663.98</v>
      </c>
      <c r="J409" s="108">
        <v>29.25</v>
      </c>
      <c r="K409" s="164">
        <v>1.1471</v>
      </c>
      <c r="L409" s="59">
        <f>_xlfn.XLOOKUP(A409,'[1]Aging Schedule'!$OA:$OA,'[1]Aging Schedule'!$NW:$NW)</f>
        <v>9</v>
      </c>
      <c r="M409" s="59">
        <f>_xlfn.XLOOKUP(A409,'[1]FRV Output'!$F:$F,'[1]FRV Output'!$BC:$BC)</f>
        <v>36.618744968520055</v>
      </c>
      <c r="O409"/>
    </row>
    <row r="410" spans="1:15" hidden="1" x14ac:dyDescent="0.25">
      <c r="A410">
        <v>1477137628</v>
      </c>
      <c r="B410" s="36">
        <v>0.65</v>
      </c>
      <c r="C410" s="63">
        <f>_xlfn.XLOOKUP($A410,'[1]FRV Output'!$F:$F,'[1]FRV Output'!$M:$M)</f>
        <v>28462.811816192563</v>
      </c>
      <c r="D410" s="63">
        <f>_xlfn.XLOOKUP($A410,'[1]FRV Output'!$F:$F,'[1]FRV Output'!$N:$N)</f>
        <v>22795.16219852621</v>
      </c>
      <c r="E410" s="31">
        <f>_xlfn.XLOOKUP(A410,'[1]FRV Output'!$F:$F,'[1]FRV Output'!$U:$U)</f>
        <v>28078</v>
      </c>
      <c r="F410" s="31">
        <f>_xlfn.XLOOKUP($A410,'[1]FRV Output'!$F:$F,'[1]FRV Output'!$W:$W)</f>
        <v>90</v>
      </c>
      <c r="G410" s="59">
        <f>_xlfn.XLOOKUP($A410,'[1]FRV Output'!$F:$F,'[1]FRV Output'!$AO:$AO)</f>
        <v>4.7599999999999909</v>
      </c>
      <c r="H410" s="63">
        <f t="shared" si="6"/>
        <v>55597</v>
      </c>
      <c r="I410" s="59">
        <f>_xlfn.XLOOKUP($A410,'[1]FRV Output'!$F:$F,'[1]FRV Output'!$Z:$Z)</f>
        <v>617.74444444444441</v>
      </c>
      <c r="J410" s="108">
        <v>29.25</v>
      </c>
      <c r="K410" s="164">
        <v>1.2265999999999999</v>
      </c>
      <c r="L410" s="59">
        <f>_xlfn.XLOOKUP(A410,'[1]Aging Schedule'!$OA:$OA,'[1]Aging Schedule'!$NW:$NW)</f>
        <v>4.7599999999999909</v>
      </c>
      <c r="M410" s="59">
        <f>_xlfn.XLOOKUP(A410,'[1]FRV Output'!$F:$F,'[1]FRV Output'!$BC:$BC)</f>
        <v>37.10003972490221</v>
      </c>
      <c r="O410"/>
    </row>
    <row r="411" spans="1:15" hidden="1" x14ac:dyDescent="0.25">
      <c r="A411">
        <v>1992998504</v>
      </c>
      <c r="B411" s="36">
        <v>0.65</v>
      </c>
      <c r="C411" s="63">
        <f>_xlfn.XLOOKUP($A411,'[1]FRV Output'!$F:$F,'[1]FRV Output'!$M:$M)</f>
        <v>37119</v>
      </c>
      <c r="D411" s="63">
        <f>_xlfn.XLOOKUP($A411,'[1]FRV Output'!$F:$F,'[1]FRV Output'!$N:$N)</f>
        <v>37220.695890410963</v>
      </c>
      <c r="E411" s="31">
        <f>_xlfn.XLOOKUP(A411,'[1]FRV Output'!$F:$F,'[1]FRV Output'!$U:$U)</f>
        <v>28215</v>
      </c>
      <c r="F411" s="31">
        <f>_xlfn.XLOOKUP($A411,'[1]FRV Output'!$F:$F,'[1]FRV Output'!$W:$W)</f>
        <v>120</v>
      </c>
      <c r="G411" s="59">
        <f>_xlfn.XLOOKUP($A411,'[1]FRV Output'!$F:$F,'[1]FRV Output'!$AO:$AO)</f>
        <v>7</v>
      </c>
      <c r="H411" s="63">
        <f t="shared" si="6"/>
        <v>51000</v>
      </c>
      <c r="I411" s="59">
        <f>_xlfn.XLOOKUP($A411,'[1]FRV Output'!$F:$F,'[1]FRV Output'!$Z:$Z)</f>
        <v>425</v>
      </c>
      <c r="J411" s="108">
        <v>0</v>
      </c>
      <c r="K411" s="164">
        <v>0.90029999999999999</v>
      </c>
      <c r="L411" s="59">
        <f>_xlfn.XLOOKUP(A411,'[1]Aging Schedule'!$OA:$OA,'[1]Aging Schedule'!$NW:$NW)</f>
        <v>7</v>
      </c>
      <c r="M411" s="59">
        <f>_xlfn.XLOOKUP(A411,'[1]FRV Output'!$F:$F,'[1]FRV Output'!$BC:$BC)</f>
        <v>25.495211005237707</v>
      </c>
      <c r="O411"/>
    </row>
    <row r="412" spans="1:15" hidden="1" x14ac:dyDescent="0.25">
      <c r="A412">
        <v>1093228397</v>
      </c>
      <c r="B412" s="36">
        <v>0.65</v>
      </c>
      <c r="C412" s="63">
        <f>_xlfn.XLOOKUP($A412,'[1]FRV Output'!$F:$F,'[1]FRV Output'!$M:$M)</f>
        <v>27249</v>
      </c>
      <c r="D412" s="63">
        <f>_xlfn.XLOOKUP($A412,'[1]FRV Output'!$F:$F,'[1]FRV Output'!$N:$N)</f>
        <v>27323.654794520549</v>
      </c>
      <c r="E412" s="31">
        <f>_xlfn.XLOOKUP(A412,'[1]FRV Output'!$F:$F,'[1]FRV Output'!$U:$U)</f>
        <v>27529</v>
      </c>
      <c r="F412" s="31">
        <f>_xlfn.XLOOKUP($A412,'[1]FRV Output'!$F:$F,'[1]FRV Output'!$W:$W)</f>
        <v>100</v>
      </c>
      <c r="G412" s="59">
        <f>_xlfn.XLOOKUP($A412,'[1]FRV Output'!$F:$F,'[1]FRV Output'!$AO:$AO)</f>
        <v>7</v>
      </c>
      <c r="H412" s="63">
        <f t="shared" si="6"/>
        <v>42500</v>
      </c>
      <c r="I412" s="59">
        <f>_xlfn.XLOOKUP($A412,'[1]FRV Output'!$F:$F,'[1]FRV Output'!$Z:$Z)</f>
        <v>425</v>
      </c>
      <c r="J412" s="108">
        <v>29.25</v>
      </c>
      <c r="K412" s="164">
        <v>1.2599</v>
      </c>
      <c r="L412" s="59">
        <f>_xlfn.XLOOKUP(A412,'[1]Aging Schedule'!$OA:$OA,'[1]Aging Schedule'!$NW:$NW)</f>
        <v>7</v>
      </c>
      <c r="M412" s="59">
        <f>_xlfn.XLOOKUP(A412,'[1]FRV Output'!$F:$F,'[1]FRV Output'!$BC:$BC)</f>
        <v>25.224169327155519</v>
      </c>
      <c r="O412"/>
    </row>
    <row r="413" spans="1:15" hidden="1" x14ac:dyDescent="0.25">
      <c r="A413">
        <v>1558872333</v>
      </c>
      <c r="B413" s="36">
        <v>0.65</v>
      </c>
      <c r="C413" s="63">
        <f>_xlfn.XLOOKUP($A413,'[1]FRV Output'!$F:$F,'[1]FRV Output'!$M:$M)</f>
        <v>26910</v>
      </c>
      <c r="D413" s="63">
        <f>_xlfn.XLOOKUP($A413,'[1]FRV Output'!$F:$F,'[1]FRV Output'!$N:$N)</f>
        <v>26983.726027397264</v>
      </c>
      <c r="E413" s="31">
        <f>_xlfn.XLOOKUP(A413,'[1]FRV Output'!$F:$F,'[1]FRV Output'!$U:$U)</f>
        <v>28420</v>
      </c>
      <c r="F413" s="31">
        <f>_xlfn.XLOOKUP($A413,'[1]FRV Output'!$F:$F,'[1]FRV Output'!$W:$W)</f>
        <v>100</v>
      </c>
      <c r="G413" s="59">
        <f>_xlfn.XLOOKUP($A413,'[1]FRV Output'!$F:$F,'[1]FRV Output'!$AO:$AO)</f>
        <v>4.1300000000001091</v>
      </c>
      <c r="H413" s="63">
        <f t="shared" si="6"/>
        <v>64400</v>
      </c>
      <c r="I413" s="59">
        <f>_xlfn.XLOOKUP($A413,'[1]FRV Output'!$F:$F,'[1]FRV Output'!$Z:$Z)</f>
        <v>644</v>
      </c>
      <c r="J413" s="108">
        <v>29.25</v>
      </c>
      <c r="K413" s="164">
        <v>1.1383000000000001</v>
      </c>
      <c r="L413" s="59">
        <f>_xlfn.XLOOKUP(A413,'[1]Aging Schedule'!$OA:$OA,'[1]Aging Schedule'!$NW:$NW)</f>
        <v>4.1300000000001091</v>
      </c>
      <c r="M413" s="59">
        <f>_xlfn.XLOOKUP(A413,'[1]FRV Output'!$F:$F,'[1]FRV Output'!$BC:$BC)</f>
        <v>37.583502461356979</v>
      </c>
      <c r="O413"/>
    </row>
    <row r="414" spans="1:15" hidden="1" x14ac:dyDescent="0.25">
      <c r="A414">
        <v>1730183625</v>
      </c>
      <c r="B414" s="36">
        <v>0.65</v>
      </c>
      <c r="C414" s="63">
        <f>_xlfn.XLOOKUP($A414,'[1]FRV Output'!$F:$F,'[1]FRV Output'!$M:$M)</f>
        <v>11928</v>
      </c>
      <c r="D414" s="63">
        <f>_xlfn.XLOOKUP($A414,'[1]FRV Output'!$F:$F,'[1]FRV Output'!$N:$N)</f>
        <v>11960.679452054796</v>
      </c>
      <c r="E414" s="31">
        <f>_xlfn.XLOOKUP(A414,'[1]FRV Output'!$F:$F,'[1]FRV Output'!$U:$U)</f>
        <v>27410</v>
      </c>
      <c r="F414" s="31">
        <f>_xlfn.XLOOKUP($A414,'[1]FRV Output'!$F:$F,'[1]FRV Output'!$W:$W)</f>
        <v>40</v>
      </c>
      <c r="G414" s="59">
        <f>_xlfn.XLOOKUP($A414,'[1]FRV Output'!$F:$F,'[1]FRV Output'!$AO:$AO)</f>
        <v>29</v>
      </c>
      <c r="H414" s="63">
        <f t="shared" si="6"/>
        <v>14000</v>
      </c>
      <c r="I414" s="59">
        <f>_xlfn.XLOOKUP($A414,'[1]FRV Output'!$F:$F,'[1]FRV Output'!$Z:$Z)</f>
        <v>350</v>
      </c>
      <c r="J414" s="108">
        <v>0</v>
      </c>
      <c r="K414" s="164">
        <v>0</v>
      </c>
      <c r="L414" s="59">
        <f>_xlfn.XLOOKUP(A414,'[1]Aging Schedule'!$OA:$OA,'[1]Aging Schedule'!$NW:$NW)</f>
        <v>29</v>
      </c>
      <c r="M414" s="59">
        <f>_xlfn.XLOOKUP(A414,'[1]FRV Output'!$F:$F,'[1]FRV Output'!$BC:$BC)</f>
        <v>11.953132965350521</v>
      </c>
      <c r="O414"/>
    </row>
    <row r="415" spans="1:15" hidden="1" x14ac:dyDescent="0.25">
      <c r="A415">
        <v>1033611959</v>
      </c>
      <c r="B415" s="36">
        <v>0.65</v>
      </c>
      <c r="C415" s="63">
        <f>_xlfn.XLOOKUP($A415,'[1]FRV Output'!$F:$F,'[1]FRV Output'!$M:$M)</f>
        <v>25753</v>
      </c>
      <c r="D415" s="63">
        <f>_xlfn.XLOOKUP($A415,'[1]FRV Output'!$F:$F,'[1]FRV Output'!$N:$N)</f>
        <v>25823.556164383564</v>
      </c>
      <c r="E415" s="31">
        <f>_xlfn.XLOOKUP(A415,'[1]FRV Output'!$F:$F,'[1]FRV Output'!$U:$U)</f>
        <v>27517</v>
      </c>
      <c r="F415" s="31">
        <f>_xlfn.XLOOKUP($A415,'[1]FRV Output'!$F:$F,'[1]FRV Output'!$W:$W)</f>
        <v>133</v>
      </c>
      <c r="G415" s="59">
        <f>_xlfn.XLOOKUP($A415,'[1]FRV Output'!$F:$F,'[1]FRV Output'!$AO:$AO)</f>
        <v>5.6700000000000728</v>
      </c>
      <c r="H415" s="63">
        <f t="shared" si="6"/>
        <v>58275.060786229202</v>
      </c>
      <c r="I415" s="59">
        <f>_xlfn.XLOOKUP($A415,'[1]FRV Output'!$F:$F,'[1]FRV Output'!$Z:$Z)</f>
        <v>438.15835177615941</v>
      </c>
      <c r="J415" s="108">
        <v>29.25</v>
      </c>
      <c r="K415" s="164">
        <v>1.0398000000000001</v>
      </c>
      <c r="L415" s="59">
        <f>_xlfn.XLOOKUP(A415,'[1]Aging Schedule'!$OA:$OA,'[1]Aging Schedule'!$NW:$NW)</f>
        <v>5.6700000000000728</v>
      </c>
      <c r="M415" s="59">
        <f>_xlfn.XLOOKUP(A415,'[1]FRV Output'!$F:$F,'[1]FRV Output'!$BC:$BC)</f>
        <v>26.624339372100511</v>
      </c>
    </row>
    <row r="416" spans="1:15" hidden="1" x14ac:dyDescent="0.25">
      <c r="A416">
        <v>1891871901</v>
      </c>
      <c r="B416" s="36">
        <v>0.65</v>
      </c>
      <c r="C416" s="63">
        <f>_xlfn.XLOOKUP($A416,'[1]FRV Output'!$F:$F,'[1]FRV Output'!$M:$M)</f>
        <v>0</v>
      </c>
      <c r="D416" s="63">
        <f>_xlfn.XLOOKUP($A416,'[1]FRV Output'!$F:$F,'[1]FRV Output'!$N:$N)</f>
        <v>0</v>
      </c>
      <c r="E416" s="31">
        <f>_xlfn.XLOOKUP(A416,'[1]FRV Output'!$F:$F,'[1]FRV Output'!$U:$U)</f>
        <v>28207</v>
      </c>
      <c r="F416" s="31">
        <f>_xlfn.XLOOKUP($A416,'[1]FRV Output'!$F:$F,'[1]FRV Output'!$W:$W)</f>
        <v>16</v>
      </c>
      <c r="G416" s="59">
        <f>_xlfn.XLOOKUP($A416,'[1]FRV Output'!$F:$F,'[1]FRV Output'!$AO:$AO)</f>
        <v>26</v>
      </c>
      <c r="H416" s="63">
        <f t="shared" si="6"/>
        <v>5600</v>
      </c>
      <c r="I416" s="59">
        <f>_xlfn.XLOOKUP($A416,'[1]FRV Output'!$F:$F,'[1]FRV Output'!$Z:$Z)</f>
        <v>350</v>
      </c>
      <c r="J416" s="108">
        <v>29.25</v>
      </c>
      <c r="K416" s="164">
        <v>1.6105</v>
      </c>
      <c r="L416" s="59">
        <f>_xlfn.XLOOKUP(A416,'[1]Aging Schedule'!$OA:$OA,'[1]Aging Schedule'!$NW:$NW)</f>
        <v>26</v>
      </c>
      <c r="M416" s="59">
        <f>_xlfn.XLOOKUP(A416,'[1]FRV Output'!$F:$F,'[1]FRV Output'!$BC:$BC)</f>
        <v>14.218106718372281</v>
      </c>
    </row>
    <row r="417" spans="10:13" x14ac:dyDescent="0.25">
      <c r="J417" s="108"/>
      <c r="K417" s="164"/>
      <c r="L417" s="59"/>
      <c r="M417" s="59"/>
    </row>
    <row r="418" spans="10:13" x14ac:dyDescent="0.25">
      <c r="J418" s="108"/>
      <c r="K418" s="164"/>
      <c r="L418" s="59"/>
      <c r="M418" s="59"/>
    </row>
    <row r="419" spans="10:13" x14ac:dyDescent="0.25">
      <c r="J419" s="108"/>
      <c r="K419" s="164"/>
      <c r="L419" s="59"/>
      <c r="M419" s="59"/>
    </row>
    <row r="420" spans="10:13" x14ac:dyDescent="0.25">
      <c r="J420" s="108"/>
      <c r="K420" s="164"/>
      <c r="L420" s="59"/>
      <c r="M420" s="59"/>
    </row>
    <row r="421" spans="10:13" x14ac:dyDescent="0.25">
      <c r="J421" s="108"/>
      <c r="K421" s="164"/>
      <c r="L421" s="59"/>
      <c r="M421" s="59"/>
    </row>
    <row r="422" spans="10:13" x14ac:dyDescent="0.25">
      <c r="J422" s="108"/>
      <c r="K422" s="164"/>
      <c r="L422" s="59"/>
      <c r="M422" s="59"/>
    </row>
    <row r="423" spans="10:13" x14ac:dyDescent="0.25">
      <c r="J423" s="108"/>
      <c r="K423" s="164"/>
      <c r="L423" s="59"/>
      <c r="M423" s="59"/>
    </row>
    <row r="424" spans="10:13" x14ac:dyDescent="0.25">
      <c r="J424" s="108"/>
      <c r="K424" s="164"/>
      <c r="L424" s="59"/>
      <c r="M424" s="59"/>
    </row>
    <row r="425" spans="10:13" x14ac:dyDescent="0.25">
      <c r="J425" s="108"/>
      <c r="K425" s="164"/>
      <c r="L425" s="59"/>
      <c r="M425" s="59"/>
    </row>
    <row r="426" spans="10:13" x14ac:dyDescent="0.25">
      <c r="J426" s="108"/>
      <c r="K426" s="164"/>
      <c r="L426" s="59"/>
      <c r="M426" s="59"/>
    </row>
    <row r="427" spans="10:13" x14ac:dyDescent="0.25">
      <c r="J427" s="108"/>
      <c r="K427" s="164"/>
      <c r="L427" s="59"/>
      <c r="M427" s="59"/>
    </row>
    <row r="428" spans="10:13" x14ac:dyDescent="0.25">
      <c r="J428" s="108"/>
      <c r="K428" s="164"/>
      <c r="L428" s="59"/>
      <c r="M428" s="59"/>
    </row>
    <row r="429" spans="10:13" x14ac:dyDescent="0.25">
      <c r="J429" s="108"/>
      <c r="K429" s="164"/>
      <c r="L429" s="59"/>
      <c r="M429" s="59"/>
    </row>
    <row r="430" spans="10:13" x14ac:dyDescent="0.25">
      <c r="J430" s="108"/>
      <c r="K430" s="164"/>
      <c r="L430" s="59"/>
      <c r="M430" s="59"/>
    </row>
    <row r="431" spans="10:13" x14ac:dyDescent="0.25">
      <c r="J431" s="108"/>
      <c r="K431" s="164"/>
      <c r="L431" s="59"/>
      <c r="M431" s="59"/>
    </row>
    <row r="432" spans="10:13" x14ac:dyDescent="0.25">
      <c r="J432" s="108"/>
      <c r="K432" s="164"/>
      <c r="L432" s="59"/>
      <c r="M432" s="59"/>
    </row>
    <row r="433" spans="6:15" x14ac:dyDescent="0.25">
      <c r="J433" s="108"/>
      <c r="K433" s="164"/>
      <c r="L433" s="59"/>
      <c r="M433" s="59"/>
    </row>
    <row r="434" spans="6:15" x14ac:dyDescent="0.25">
      <c r="F434" s="63"/>
      <c r="I434" s="63"/>
      <c r="J434" s="31"/>
      <c r="K434" s="164"/>
      <c r="L434" s="59"/>
      <c r="M434" s="59"/>
      <c r="O434"/>
    </row>
    <row r="435" spans="6:15" x14ac:dyDescent="0.25">
      <c r="J435" s="31"/>
      <c r="K435" s="164"/>
      <c r="L435" s="59"/>
      <c r="M435" s="59"/>
      <c r="O435"/>
    </row>
    <row r="436" spans="6:15" x14ac:dyDescent="0.25">
      <c r="F436" s="63"/>
      <c r="I436" s="63"/>
      <c r="J436" s="31"/>
      <c r="K436" s="164"/>
      <c r="L436" s="59"/>
      <c r="M436" s="59"/>
      <c r="O436"/>
    </row>
    <row r="437" spans="6:15" x14ac:dyDescent="0.25">
      <c r="J437" s="108"/>
      <c r="K437" s="164"/>
      <c r="L437" s="59"/>
      <c r="M437" s="59"/>
    </row>
    <row r="438" spans="6:15" x14ac:dyDescent="0.25">
      <c r="J438" s="108"/>
      <c r="K438" s="164"/>
      <c r="L438" s="59"/>
      <c r="M438" s="59"/>
    </row>
    <row r="439" spans="6:15" x14ac:dyDescent="0.25">
      <c r="F439" s="63"/>
      <c r="I439" s="63"/>
      <c r="J439" s="31"/>
      <c r="K439" s="164"/>
      <c r="L439" s="59"/>
      <c r="M439" s="59"/>
      <c r="O439"/>
    </row>
    <row r="440" spans="6:15" x14ac:dyDescent="0.25">
      <c r="J440" s="108"/>
      <c r="K440" s="164"/>
      <c r="L440" s="59"/>
      <c r="M440" s="59"/>
    </row>
    <row r="441" spans="6:15" x14ac:dyDescent="0.25">
      <c r="J441" s="108"/>
      <c r="K441" s="164"/>
      <c r="L441" s="59"/>
      <c r="M441" s="59"/>
    </row>
    <row r="442" spans="6:15" x14ac:dyDescent="0.25">
      <c r="J442" s="108"/>
      <c r="K442" s="164"/>
      <c r="L442" s="59"/>
      <c r="M442" s="59"/>
    </row>
    <row r="443" spans="6:15" x14ac:dyDescent="0.25">
      <c r="J443" s="108"/>
      <c r="K443" s="164"/>
      <c r="L443" s="59"/>
      <c r="M443" s="59"/>
    </row>
    <row r="444" spans="6:15" x14ac:dyDescent="0.25">
      <c r="J444" s="108"/>
      <c r="K444" s="164"/>
      <c r="L444" s="59"/>
      <c r="M444" s="59"/>
    </row>
    <row r="445" spans="6:15" x14ac:dyDescent="0.25">
      <c r="J445" s="108"/>
      <c r="K445" s="164"/>
      <c r="L445" s="59"/>
      <c r="M445" s="59"/>
    </row>
    <row r="446" spans="6:15" x14ac:dyDescent="0.25">
      <c r="J446" s="108"/>
      <c r="K446" s="164"/>
      <c r="L446" s="59"/>
      <c r="M446" s="59"/>
    </row>
    <row r="447" spans="6:15" x14ac:dyDescent="0.25">
      <c r="J447" s="31"/>
      <c r="K447" s="164"/>
      <c r="L447" s="59"/>
      <c r="M447" s="59"/>
      <c r="O447"/>
    </row>
    <row r="448" spans="6:15" x14ac:dyDescent="0.25">
      <c r="J448" s="108"/>
      <c r="K448" s="164"/>
      <c r="L448" s="59"/>
      <c r="M448" s="59"/>
    </row>
    <row r="449" spans="10:15" x14ac:dyDescent="0.25">
      <c r="J449" s="31"/>
      <c r="K449" s="164"/>
      <c r="L449" s="59"/>
      <c r="M449" s="59"/>
      <c r="O449"/>
    </row>
    <row r="450" spans="10:15" x14ac:dyDescent="0.25">
      <c r="J450" s="31"/>
      <c r="K450" s="164"/>
      <c r="L450" s="59"/>
      <c r="M450" s="59"/>
      <c r="O450"/>
    </row>
    <row r="451" spans="10:15" x14ac:dyDescent="0.25">
      <c r="J451" s="108"/>
      <c r="K451" s="164"/>
      <c r="L451" s="59"/>
      <c r="M451" s="59"/>
    </row>
    <row r="452" spans="10:15" x14ac:dyDescent="0.25">
      <c r="J452" s="108"/>
      <c r="K452" s="164"/>
      <c r="L452" s="59"/>
      <c r="M452" s="59"/>
    </row>
    <row r="453" spans="10:15" x14ac:dyDescent="0.25">
      <c r="J453" s="108"/>
      <c r="K453" s="164"/>
      <c r="L453" s="59"/>
      <c r="M453" s="59"/>
    </row>
    <row r="454" spans="10:15" x14ac:dyDescent="0.25">
      <c r="J454" s="108"/>
      <c r="K454" s="164"/>
      <c r="L454" s="59"/>
      <c r="M454" s="59"/>
    </row>
    <row r="455" spans="10:15" x14ac:dyDescent="0.25">
      <c r="J455" s="31"/>
      <c r="K455" s="164"/>
      <c r="L455" s="59"/>
      <c r="M455" s="59"/>
      <c r="O455"/>
    </row>
    <row r="456" spans="10:15" x14ac:dyDescent="0.25">
      <c r="J456" s="31"/>
      <c r="K456" s="164"/>
      <c r="L456" s="59"/>
      <c r="M456" s="59"/>
      <c r="O456"/>
    </row>
    <row r="457" spans="10:15" x14ac:dyDescent="0.25">
      <c r="J457" s="108"/>
      <c r="K457" s="164"/>
      <c r="L457" s="59"/>
      <c r="M457" s="59"/>
    </row>
    <row r="458" spans="10:15" x14ac:dyDescent="0.25">
      <c r="J458" s="31"/>
      <c r="K458" s="164"/>
      <c r="L458" s="59"/>
      <c r="M458" s="59"/>
      <c r="O458"/>
    </row>
    <row r="459" spans="10:15" x14ac:dyDescent="0.25">
      <c r="J459" s="31"/>
      <c r="K459" s="164"/>
      <c r="L459" s="59"/>
      <c r="M459" s="59"/>
      <c r="O459"/>
    </row>
    <row r="460" spans="10:15" x14ac:dyDescent="0.25">
      <c r="J460" s="31"/>
      <c r="K460" s="164"/>
      <c r="L460" s="59"/>
      <c r="M460" s="59"/>
      <c r="O460"/>
    </row>
    <row r="461" spans="10:15" x14ac:dyDescent="0.25">
      <c r="J461" s="108"/>
      <c r="K461" s="164"/>
      <c r="L461" s="59"/>
      <c r="M461" s="59"/>
    </row>
    <row r="462" spans="10:15" x14ac:dyDescent="0.25">
      <c r="J462" s="31"/>
      <c r="K462" s="164"/>
      <c r="L462" s="59"/>
      <c r="M462" s="59"/>
      <c r="O462"/>
    </row>
    <row r="463" spans="10:15" x14ac:dyDescent="0.25">
      <c r="J463" s="108"/>
      <c r="K463" s="164"/>
      <c r="L463" s="59"/>
      <c r="M463" s="59"/>
    </row>
    <row r="464" spans="10:15" x14ac:dyDescent="0.25">
      <c r="J464" s="108"/>
      <c r="K464" s="164"/>
      <c r="L464" s="59"/>
      <c r="M464" s="59"/>
    </row>
    <row r="465" spans="10:15" x14ac:dyDescent="0.25">
      <c r="J465" s="108"/>
      <c r="K465" s="164"/>
      <c r="L465" s="59"/>
      <c r="M465" s="59"/>
    </row>
    <row r="466" spans="10:15" x14ac:dyDescent="0.25">
      <c r="J466" s="108"/>
      <c r="K466" s="164"/>
      <c r="L466" s="59"/>
      <c r="M466" s="59"/>
    </row>
    <row r="467" spans="10:15" x14ac:dyDescent="0.25">
      <c r="J467" s="108"/>
      <c r="K467" s="164"/>
      <c r="L467" s="59"/>
      <c r="M467" s="59"/>
    </row>
    <row r="468" spans="10:15" x14ac:dyDescent="0.25">
      <c r="J468" s="108"/>
      <c r="K468" s="164"/>
      <c r="L468" s="59"/>
      <c r="M468" s="59"/>
    </row>
    <row r="469" spans="10:15" x14ac:dyDescent="0.25">
      <c r="J469" s="108"/>
      <c r="K469" s="164"/>
      <c r="L469" s="59"/>
      <c r="M469" s="59"/>
    </row>
    <row r="470" spans="10:15" x14ac:dyDescent="0.25">
      <c r="J470" s="108"/>
      <c r="K470" s="164"/>
      <c r="L470" s="59"/>
      <c r="M470" s="59"/>
    </row>
    <row r="471" spans="10:15" x14ac:dyDescent="0.25">
      <c r="J471" s="31"/>
      <c r="K471" s="164"/>
      <c r="L471" s="59"/>
      <c r="M471" s="59"/>
      <c r="O471"/>
    </row>
    <row r="472" spans="10:15" x14ac:dyDescent="0.25">
      <c r="J472" s="108"/>
      <c r="K472" s="164"/>
      <c r="L472" s="59"/>
      <c r="M472" s="59"/>
    </row>
    <row r="473" spans="10:15" x14ac:dyDescent="0.25">
      <c r="J473" s="108"/>
      <c r="K473" s="164"/>
      <c r="L473" s="59"/>
      <c r="M473" s="59"/>
    </row>
    <row r="474" spans="10:15" x14ac:dyDescent="0.25">
      <c r="J474" s="108"/>
      <c r="K474" s="164"/>
      <c r="L474" s="59"/>
      <c r="M474" s="59"/>
    </row>
    <row r="475" spans="10:15" x14ac:dyDescent="0.25">
      <c r="J475" s="108"/>
      <c r="K475" s="164"/>
      <c r="L475" s="59"/>
      <c r="M475" s="59"/>
    </row>
    <row r="476" spans="10:15" x14ac:dyDescent="0.25">
      <c r="J476" s="108"/>
      <c r="K476" s="164"/>
      <c r="L476" s="59"/>
      <c r="M476" s="59"/>
    </row>
    <row r="477" spans="10:15" x14ac:dyDescent="0.25">
      <c r="J477" s="108"/>
      <c r="K477" s="164"/>
      <c r="L477" s="59"/>
      <c r="M477" s="59"/>
    </row>
    <row r="478" spans="10:15" x14ac:dyDescent="0.25">
      <c r="J478" s="108"/>
      <c r="K478" s="164"/>
      <c r="L478" s="59"/>
      <c r="M478" s="59"/>
    </row>
    <row r="479" spans="10:15" x14ac:dyDescent="0.25">
      <c r="J479" s="108"/>
      <c r="K479" s="164"/>
      <c r="L479" s="59"/>
      <c r="M479" s="59"/>
    </row>
    <row r="480" spans="10:15" x14ac:dyDescent="0.25">
      <c r="J480" s="108"/>
      <c r="K480" s="164"/>
      <c r="L480" s="59"/>
      <c r="M480" s="59"/>
    </row>
    <row r="481" spans="10:13" x14ac:dyDescent="0.25">
      <c r="J481" s="108"/>
      <c r="K481" s="164"/>
      <c r="L481" s="59"/>
      <c r="M481" s="59"/>
    </row>
    <row r="482" spans="10:13" x14ac:dyDescent="0.25">
      <c r="J482" s="108"/>
      <c r="K482" s="164"/>
      <c r="L482" s="59"/>
      <c r="M482" s="59"/>
    </row>
    <row r="483" spans="10:13" x14ac:dyDescent="0.25">
      <c r="J483" s="108"/>
      <c r="K483" s="164"/>
      <c r="L483" s="59"/>
      <c r="M483" s="59"/>
    </row>
    <row r="484" spans="10:13" x14ac:dyDescent="0.25">
      <c r="J484" s="108"/>
      <c r="K484" s="164"/>
      <c r="L484" s="59"/>
      <c r="M484" s="59"/>
    </row>
    <row r="485" spans="10:13" x14ac:dyDescent="0.25">
      <c r="J485" s="108"/>
      <c r="K485" s="164"/>
      <c r="L485" s="59"/>
      <c r="M485" s="59"/>
    </row>
    <row r="486" spans="10:13" x14ac:dyDescent="0.25">
      <c r="J486" s="108"/>
      <c r="K486" s="164"/>
      <c r="L486" s="59"/>
      <c r="M486" s="59"/>
    </row>
    <row r="487" spans="10:13" x14ac:dyDescent="0.25">
      <c r="J487" s="108"/>
      <c r="K487" s="164"/>
      <c r="L487" s="59"/>
      <c r="M487" s="59"/>
    </row>
    <row r="488" spans="10:13" x14ac:dyDescent="0.25">
      <c r="J488" s="108"/>
      <c r="K488" s="164"/>
      <c r="L488" s="59"/>
      <c r="M488" s="59"/>
    </row>
    <row r="489" spans="10:13" x14ac:dyDescent="0.25">
      <c r="J489" s="108"/>
      <c r="K489" s="164"/>
      <c r="L489" s="59"/>
      <c r="M489" s="59"/>
    </row>
    <row r="490" spans="10:13" x14ac:dyDescent="0.25">
      <c r="J490" s="108"/>
      <c r="K490" s="164"/>
      <c r="L490" s="59"/>
      <c r="M490" s="59"/>
    </row>
    <row r="491" spans="10:13" x14ac:dyDescent="0.25">
      <c r="J491" s="108"/>
      <c r="K491" s="164"/>
      <c r="L491" s="59"/>
      <c r="M491" s="59"/>
    </row>
    <row r="492" spans="10:13" x14ac:dyDescent="0.25">
      <c r="J492" s="108"/>
      <c r="K492" s="164"/>
      <c r="L492" s="59"/>
      <c r="M492" s="59"/>
    </row>
    <row r="493" spans="10:13" x14ac:dyDescent="0.25">
      <c r="J493" s="108"/>
      <c r="K493" s="164"/>
      <c r="L493" s="59"/>
      <c r="M493" s="59"/>
    </row>
    <row r="494" spans="10:13" x14ac:dyDescent="0.25">
      <c r="J494" s="108"/>
      <c r="K494" s="164"/>
      <c r="L494" s="59"/>
      <c r="M494" s="59"/>
    </row>
    <row r="495" spans="10:13" x14ac:dyDescent="0.25">
      <c r="J495" s="108"/>
      <c r="K495" s="164"/>
      <c r="L495" s="59"/>
      <c r="M495" s="59"/>
    </row>
    <row r="496" spans="10:13" x14ac:dyDescent="0.25">
      <c r="J496" s="108"/>
      <c r="K496" s="164"/>
      <c r="L496" s="59"/>
      <c r="M496" s="59"/>
    </row>
    <row r="497" spans="10:13" x14ac:dyDescent="0.25">
      <c r="J497" s="108"/>
      <c r="K497" s="164"/>
      <c r="L497" s="59"/>
      <c r="M497" s="59"/>
    </row>
    <row r="498" spans="10:13" x14ac:dyDescent="0.25">
      <c r="J498" s="108"/>
      <c r="K498" s="164"/>
      <c r="L498" s="59"/>
      <c r="M498" s="59"/>
    </row>
    <row r="499" spans="10:13" x14ac:dyDescent="0.25">
      <c r="J499" s="108"/>
      <c r="K499" s="164"/>
      <c r="L499" s="59"/>
      <c r="M499" s="59"/>
    </row>
    <row r="500" spans="10:13" x14ac:dyDescent="0.25">
      <c r="J500" s="108"/>
      <c r="K500" s="164"/>
      <c r="L500" s="59"/>
      <c r="M500" s="59"/>
    </row>
    <row r="501" spans="10:13" x14ac:dyDescent="0.25">
      <c r="J501" s="108"/>
      <c r="K501" s="164"/>
      <c r="L501" s="59"/>
      <c r="M501" s="59"/>
    </row>
    <row r="502" spans="10:13" x14ac:dyDescent="0.25">
      <c r="J502" s="108"/>
      <c r="K502" s="164"/>
      <c r="L502" s="59"/>
      <c r="M502" s="59"/>
    </row>
    <row r="503" spans="10:13" x14ac:dyDescent="0.25">
      <c r="J503" s="108"/>
      <c r="K503" s="164"/>
      <c r="L503" s="59"/>
      <c r="M503" s="59"/>
    </row>
    <row r="504" spans="10:13" x14ac:dyDescent="0.25">
      <c r="J504" s="108"/>
      <c r="K504" s="164"/>
      <c r="L504" s="59"/>
      <c r="M504" s="59"/>
    </row>
    <row r="505" spans="10:13" x14ac:dyDescent="0.25">
      <c r="J505" s="108"/>
      <c r="K505" s="164"/>
      <c r="L505" s="59"/>
      <c r="M505" s="59"/>
    </row>
    <row r="506" spans="10:13" x14ac:dyDescent="0.25">
      <c r="J506" s="108"/>
      <c r="K506" s="164"/>
      <c r="L506" s="59"/>
      <c r="M506" s="59"/>
    </row>
    <row r="507" spans="10:13" x14ac:dyDescent="0.25">
      <c r="J507" s="108"/>
      <c r="K507" s="164"/>
      <c r="L507" s="59"/>
      <c r="M507" s="59"/>
    </row>
    <row r="508" spans="10:13" x14ac:dyDescent="0.25">
      <c r="J508" s="108"/>
      <c r="K508" s="164"/>
      <c r="L508" s="59"/>
      <c r="M508" s="59"/>
    </row>
    <row r="509" spans="10:13" x14ac:dyDescent="0.25">
      <c r="J509" s="108"/>
      <c r="K509" s="164"/>
      <c r="L509" s="59"/>
      <c r="M509" s="59"/>
    </row>
    <row r="510" spans="10:13" x14ac:dyDescent="0.25">
      <c r="J510" s="108"/>
      <c r="K510" s="164"/>
      <c r="L510" s="59"/>
      <c r="M510" s="59"/>
    </row>
    <row r="511" spans="10:13" x14ac:dyDescent="0.25">
      <c r="J511" s="108"/>
      <c r="K511" s="164"/>
      <c r="L511" s="59"/>
      <c r="M511" s="59"/>
    </row>
    <row r="512" spans="10:13" x14ac:dyDescent="0.25">
      <c r="J512" s="108"/>
      <c r="K512" s="164"/>
      <c r="L512" s="59"/>
      <c r="M512" s="59"/>
    </row>
    <row r="513" spans="10:15" x14ac:dyDescent="0.25">
      <c r="J513" s="108"/>
      <c r="K513" s="164"/>
      <c r="L513" s="59"/>
      <c r="M513" s="59"/>
    </row>
    <row r="514" spans="10:15" x14ac:dyDescent="0.25">
      <c r="J514" s="108"/>
      <c r="K514" s="164"/>
      <c r="L514" s="59"/>
      <c r="M514" s="59"/>
    </row>
    <row r="515" spans="10:15" x14ac:dyDescent="0.25">
      <c r="J515" s="31"/>
      <c r="K515" s="164"/>
      <c r="L515" s="59"/>
      <c r="M515" s="59"/>
      <c r="O515"/>
    </row>
    <row r="516" spans="10:15" x14ac:dyDescent="0.25">
      <c r="J516" s="108"/>
      <c r="K516" s="164"/>
      <c r="L516" s="59"/>
      <c r="M516" s="59"/>
    </row>
    <row r="517" spans="10:15" x14ac:dyDescent="0.25">
      <c r="J517" s="108"/>
      <c r="K517" s="164"/>
      <c r="L517" s="59"/>
      <c r="M517" s="59"/>
    </row>
    <row r="518" spans="10:15" x14ac:dyDescent="0.25">
      <c r="J518" s="108"/>
      <c r="K518" s="164"/>
      <c r="L518" s="59"/>
      <c r="M518" s="59"/>
    </row>
    <row r="519" spans="10:15" x14ac:dyDescent="0.25">
      <c r="J519" s="108"/>
      <c r="K519" s="164"/>
      <c r="L519" s="59"/>
      <c r="M519" s="59"/>
    </row>
    <row r="520" spans="10:15" x14ac:dyDescent="0.25">
      <c r="J520" s="108"/>
      <c r="K520" s="164"/>
      <c r="L520" s="59"/>
      <c r="M520" s="59"/>
    </row>
    <row r="521" spans="10:15" x14ac:dyDescent="0.25">
      <c r="J521" s="108"/>
      <c r="K521" s="164"/>
      <c r="L521" s="59"/>
      <c r="M521" s="59"/>
    </row>
    <row r="522" spans="10:15" x14ac:dyDescent="0.25">
      <c r="J522" s="108"/>
      <c r="K522" s="164"/>
      <c r="L522" s="59"/>
      <c r="M522" s="59"/>
    </row>
    <row r="523" spans="10:15" x14ac:dyDescent="0.25">
      <c r="J523" s="108"/>
      <c r="K523" s="164"/>
      <c r="L523" s="59"/>
      <c r="M523" s="59"/>
    </row>
    <row r="524" spans="10:15" x14ac:dyDescent="0.25">
      <c r="J524" s="108"/>
      <c r="K524" s="164"/>
      <c r="L524" s="59"/>
      <c r="M524" s="59"/>
    </row>
    <row r="525" spans="10:15" x14ac:dyDescent="0.25">
      <c r="J525" s="108"/>
      <c r="K525" s="164"/>
      <c r="L525" s="59"/>
      <c r="M525" s="59"/>
    </row>
    <row r="526" spans="10:15" x14ac:dyDescent="0.25">
      <c r="J526" s="108"/>
      <c r="K526" s="164"/>
      <c r="L526" s="59"/>
      <c r="M526" s="59"/>
    </row>
    <row r="527" spans="10:15" x14ac:dyDescent="0.25">
      <c r="J527" s="108"/>
      <c r="K527" s="164"/>
      <c r="L527" s="59"/>
      <c r="M527" s="59"/>
    </row>
    <row r="528" spans="10:15" x14ac:dyDescent="0.25">
      <c r="J528" s="108"/>
      <c r="K528" s="164"/>
      <c r="L528" s="59"/>
      <c r="M528" s="59"/>
    </row>
    <row r="529" spans="10:13" x14ac:dyDescent="0.25">
      <c r="J529" s="108"/>
      <c r="K529" s="164"/>
      <c r="L529" s="59"/>
      <c r="M529" s="59"/>
    </row>
    <row r="530" spans="10:13" x14ac:dyDescent="0.25">
      <c r="J530" s="108"/>
      <c r="K530" s="164"/>
      <c r="L530" s="59"/>
      <c r="M530" s="59"/>
    </row>
    <row r="531" spans="10:13" x14ac:dyDescent="0.25">
      <c r="J531" s="108"/>
      <c r="K531" s="164"/>
      <c r="L531" s="59"/>
      <c r="M531" s="59"/>
    </row>
    <row r="532" spans="10:13" x14ac:dyDescent="0.25">
      <c r="J532" s="108"/>
      <c r="K532" s="164"/>
      <c r="L532" s="59"/>
      <c r="M532" s="59"/>
    </row>
    <row r="533" spans="10:13" x14ac:dyDescent="0.25">
      <c r="J533" s="108"/>
      <c r="K533" s="164"/>
      <c r="L533" s="59"/>
      <c r="M533" s="59"/>
    </row>
    <row r="534" spans="10:13" x14ac:dyDescent="0.25">
      <c r="J534" s="108"/>
      <c r="K534" s="164"/>
      <c r="L534" s="59"/>
      <c r="M534" s="59"/>
    </row>
    <row r="535" spans="10:13" x14ac:dyDescent="0.25">
      <c r="J535" s="108"/>
      <c r="K535" s="164"/>
      <c r="L535" s="59"/>
      <c r="M535" s="59"/>
    </row>
    <row r="536" spans="10:13" x14ac:dyDescent="0.25">
      <c r="J536" s="108"/>
      <c r="K536" s="164"/>
      <c r="L536" s="59"/>
      <c r="M536" s="59"/>
    </row>
    <row r="537" spans="10:13" x14ac:dyDescent="0.25">
      <c r="J537" s="108"/>
      <c r="K537" s="164"/>
      <c r="L537" s="59"/>
      <c r="M537" s="59"/>
    </row>
    <row r="538" spans="10:13" x14ac:dyDescent="0.25">
      <c r="J538" s="108"/>
      <c r="K538" s="164"/>
      <c r="L538" s="59"/>
      <c r="M538" s="59"/>
    </row>
    <row r="539" spans="10:13" x14ac:dyDescent="0.25">
      <c r="J539" s="108"/>
      <c r="K539" s="164"/>
      <c r="L539" s="59"/>
      <c r="M539" s="59"/>
    </row>
    <row r="540" spans="10:13" x14ac:dyDescent="0.25">
      <c r="J540" s="108"/>
      <c r="K540" s="164"/>
      <c r="L540" s="59"/>
      <c r="M540" s="59"/>
    </row>
    <row r="541" spans="10:13" x14ac:dyDescent="0.25">
      <c r="J541" s="108"/>
      <c r="K541" s="164"/>
      <c r="L541" s="59"/>
      <c r="M541" s="59"/>
    </row>
    <row r="542" spans="10:13" x14ac:dyDescent="0.25">
      <c r="J542" s="108"/>
      <c r="K542" s="164"/>
      <c r="L542" s="59"/>
      <c r="M542" s="59"/>
    </row>
    <row r="543" spans="10:13" x14ac:dyDescent="0.25">
      <c r="J543" s="108"/>
      <c r="K543" s="164"/>
      <c r="L543" s="59"/>
      <c r="M543" s="59"/>
    </row>
    <row r="544" spans="10:13" x14ac:dyDescent="0.25">
      <c r="J544" s="108"/>
      <c r="K544" s="164"/>
      <c r="L544" s="59"/>
      <c r="M544" s="59"/>
    </row>
    <row r="545" spans="10:13" x14ac:dyDescent="0.25">
      <c r="J545" s="108"/>
      <c r="K545" s="164"/>
      <c r="L545" s="59"/>
      <c r="M545" s="59"/>
    </row>
    <row r="546" spans="10:13" x14ac:dyDescent="0.25">
      <c r="J546" s="108"/>
      <c r="K546" s="164"/>
      <c r="L546" s="59"/>
      <c r="M546" s="59"/>
    </row>
    <row r="547" spans="10:13" x14ac:dyDescent="0.25">
      <c r="J547" s="108"/>
      <c r="K547" s="164"/>
      <c r="L547" s="59"/>
      <c r="M547" s="59"/>
    </row>
    <row r="548" spans="10:13" x14ac:dyDescent="0.25">
      <c r="J548" s="108"/>
      <c r="K548" s="164"/>
      <c r="L548" s="59"/>
      <c r="M548" s="59"/>
    </row>
    <row r="549" spans="10:13" x14ac:dyDescent="0.25">
      <c r="J549" s="108"/>
      <c r="K549" s="164"/>
      <c r="L549" s="59"/>
      <c r="M549" s="59"/>
    </row>
    <row r="550" spans="10:13" x14ac:dyDescent="0.25">
      <c r="J550" s="108"/>
      <c r="K550" s="164"/>
      <c r="L550" s="59"/>
      <c r="M550" s="59"/>
    </row>
    <row r="551" spans="10:13" x14ac:dyDescent="0.25">
      <c r="J551" s="108"/>
      <c r="K551" s="164"/>
      <c r="L551" s="59"/>
      <c r="M551" s="59"/>
    </row>
    <row r="552" spans="10:13" x14ac:dyDescent="0.25">
      <c r="J552" s="108"/>
      <c r="K552" s="164"/>
      <c r="L552" s="59"/>
      <c r="M552" s="59"/>
    </row>
    <row r="553" spans="10:13" x14ac:dyDescent="0.25">
      <c r="J553" s="108"/>
      <c r="K553" s="164"/>
      <c r="L553" s="59"/>
      <c r="M553" s="59"/>
    </row>
    <row r="554" spans="10:13" x14ac:dyDescent="0.25">
      <c r="J554" s="108"/>
      <c r="K554" s="164"/>
      <c r="L554" s="59"/>
      <c r="M554" s="59"/>
    </row>
    <row r="555" spans="10:13" x14ac:dyDescent="0.25">
      <c r="J555" s="108"/>
      <c r="K555" s="164"/>
      <c r="L555" s="59"/>
      <c r="M555" s="59"/>
    </row>
    <row r="556" spans="10:13" x14ac:dyDescent="0.25">
      <c r="J556" s="108"/>
      <c r="K556" s="164"/>
      <c r="L556" s="59"/>
      <c r="M556" s="59"/>
    </row>
    <row r="557" spans="10:13" x14ac:dyDescent="0.25">
      <c r="J557" s="108"/>
      <c r="K557" s="164"/>
      <c r="L557" s="59"/>
      <c r="M557" s="59"/>
    </row>
    <row r="558" spans="10:13" x14ac:dyDescent="0.25">
      <c r="J558" s="108"/>
      <c r="K558" s="164"/>
      <c r="L558" s="59"/>
      <c r="M558" s="59"/>
    </row>
    <row r="559" spans="10:13" x14ac:dyDescent="0.25">
      <c r="J559" s="108"/>
      <c r="K559" s="164"/>
      <c r="L559" s="59"/>
      <c r="M559" s="59"/>
    </row>
    <row r="560" spans="10:13" x14ac:dyDescent="0.25">
      <c r="J560" s="108"/>
      <c r="K560" s="164"/>
      <c r="L560" s="59"/>
      <c r="M560" s="59"/>
    </row>
    <row r="561" spans="10:15" x14ac:dyDescent="0.25">
      <c r="J561" s="108"/>
      <c r="K561" s="164"/>
      <c r="L561" s="59"/>
      <c r="M561" s="59"/>
    </row>
    <row r="562" spans="10:15" x14ac:dyDescent="0.25">
      <c r="J562" s="31"/>
      <c r="K562" s="164"/>
      <c r="L562" s="59"/>
      <c r="M562" s="59"/>
      <c r="O562"/>
    </row>
    <row r="563" spans="10:15" x14ac:dyDescent="0.25">
      <c r="J563" s="108"/>
      <c r="K563" s="164"/>
      <c r="L563" s="59"/>
      <c r="M563" s="59"/>
    </row>
    <row r="564" spans="10:15" x14ac:dyDescent="0.25">
      <c r="J564" s="108"/>
      <c r="K564" s="164"/>
      <c r="L564" s="59"/>
      <c r="M564" s="59"/>
    </row>
    <row r="565" spans="10:15" x14ac:dyDescent="0.25">
      <c r="J565" s="108"/>
      <c r="K565" s="164"/>
      <c r="L565" s="59"/>
      <c r="M565" s="59"/>
    </row>
    <row r="566" spans="10:15" x14ac:dyDescent="0.25">
      <c r="J566" s="108"/>
      <c r="K566" s="164"/>
      <c r="L566" s="59"/>
      <c r="M566" s="59"/>
    </row>
    <row r="567" spans="10:15" x14ac:dyDescent="0.25">
      <c r="J567" s="108"/>
      <c r="K567" s="164"/>
      <c r="L567" s="59"/>
      <c r="M567" s="59"/>
    </row>
    <row r="568" spans="10:15" x14ac:dyDescent="0.25">
      <c r="J568" s="108"/>
      <c r="K568" s="164"/>
      <c r="L568" s="59"/>
      <c r="M568" s="59"/>
    </row>
    <row r="569" spans="10:15" x14ac:dyDescent="0.25">
      <c r="J569" s="108"/>
      <c r="K569" s="164"/>
      <c r="L569" s="59"/>
      <c r="M569" s="59"/>
    </row>
    <row r="570" spans="10:15" x14ac:dyDescent="0.25">
      <c r="J570" s="108"/>
      <c r="K570" s="164"/>
      <c r="L570" s="59"/>
      <c r="M570" s="59"/>
    </row>
    <row r="571" spans="10:15" x14ac:dyDescent="0.25">
      <c r="J571" s="108"/>
      <c r="K571" s="164"/>
      <c r="L571" s="59"/>
      <c r="M571" s="59"/>
    </row>
    <row r="572" spans="10:15" x14ac:dyDescent="0.25">
      <c r="J572" s="108"/>
      <c r="K572" s="164"/>
      <c r="L572" s="59"/>
      <c r="M572" s="59"/>
    </row>
    <row r="573" spans="10:15" x14ac:dyDescent="0.25">
      <c r="J573" s="108"/>
      <c r="K573" s="164"/>
      <c r="L573" s="59"/>
      <c r="M573" s="59"/>
    </row>
    <row r="574" spans="10:15" x14ac:dyDescent="0.25">
      <c r="J574" s="108"/>
      <c r="K574" s="164"/>
      <c r="L574" s="59"/>
      <c r="M574" s="59"/>
    </row>
    <row r="575" spans="10:15" x14ac:dyDescent="0.25">
      <c r="J575" s="108"/>
      <c r="K575" s="164"/>
      <c r="L575" s="59"/>
      <c r="M575" s="59"/>
    </row>
    <row r="576" spans="10:15" x14ac:dyDescent="0.25">
      <c r="J576" s="108"/>
      <c r="K576" s="164"/>
      <c r="L576" s="59"/>
      <c r="M576" s="59"/>
    </row>
    <row r="577" spans="10:15" x14ac:dyDescent="0.25">
      <c r="J577" s="108"/>
      <c r="K577" s="164"/>
      <c r="L577" s="59"/>
      <c r="M577" s="59"/>
    </row>
    <row r="578" spans="10:15" x14ac:dyDescent="0.25">
      <c r="J578" s="108"/>
      <c r="K578" s="164"/>
      <c r="L578" s="59"/>
      <c r="M578" s="59"/>
    </row>
    <row r="579" spans="10:15" x14ac:dyDescent="0.25">
      <c r="J579" s="108"/>
      <c r="K579" s="164"/>
      <c r="L579" s="59"/>
      <c r="M579" s="59"/>
    </row>
    <row r="580" spans="10:15" x14ac:dyDescent="0.25">
      <c r="J580" s="108"/>
      <c r="K580" s="164"/>
      <c r="L580" s="59"/>
      <c r="M580" s="59"/>
    </row>
    <row r="581" spans="10:15" x14ac:dyDescent="0.25">
      <c r="J581" s="108"/>
      <c r="K581" s="164"/>
      <c r="L581" s="59"/>
      <c r="M581" s="59"/>
    </row>
    <row r="582" spans="10:15" x14ac:dyDescent="0.25">
      <c r="J582" s="108"/>
      <c r="K582" s="164"/>
      <c r="L582" s="59"/>
      <c r="M582" s="59"/>
    </row>
    <row r="583" spans="10:15" x14ac:dyDescent="0.25">
      <c r="J583" s="108"/>
      <c r="K583" s="164"/>
      <c r="L583" s="59"/>
      <c r="M583" s="59"/>
    </row>
    <row r="584" spans="10:15" x14ac:dyDescent="0.25">
      <c r="J584" s="108"/>
      <c r="K584" s="164"/>
      <c r="L584" s="59"/>
      <c r="M584" s="59"/>
    </row>
    <row r="585" spans="10:15" x14ac:dyDescent="0.25">
      <c r="J585" s="31"/>
      <c r="K585" s="164"/>
      <c r="L585" s="59"/>
      <c r="M585" s="59"/>
      <c r="O585"/>
    </row>
    <row r="586" spans="10:15" x14ac:dyDescent="0.25">
      <c r="J586" s="108"/>
      <c r="K586" s="164"/>
      <c r="L586" s="59"/>
      <c r="M586" s="59"/>
    </row>
    <row r="587" spans="10:15" x14ac:dyDescent="0.25">
      <c r="J587" s="108"/>
      <c r="K587" s="164"/>
      <c r="L587" s="59"/>
      <c r="M587" s="59"/>
    </row>
    <row r="588" spans="10:15" x14ac:dyDescent="0.25">
      <c r="J588" s="108"/>
      <c r="K588" s="164"/>
      <c r="L588" s="59"/>
      <c r="M588" s="59"/>
    </row>
    <row r="589" spans="10:15" x14ac:dyDescent="0.25">
      <c r="J589" s="108"/>
      <c r="K589" s="164"/>
      <c r="L589" s="59"/>
      <c r="M589" s="59"/>
    </row>
    <row r="590" spans="10:15" x14ac:dyDescent="0.25">
      <c r="J590" s="108"/>
      <c r="K590" s="164"/>
      <c r="L590" s="59"/>
      <c r="M590" s="59"/>
    </row>
    <row r="591" spans="10:15" x14ac:dyDescent="0.25">
      <c r="J591" s="108"/>
      <c r="K591" s="164"/>
      <c r="L591" s="59"/>
      <c r="M591" s="59"/>
    </row>
    <row r="592" spans="10:15" x14ac:dyDescent="0.25">
      <c r="J592" s="108"/>
      <c r="K592" s="164"/>
      <c r="L592" s="59"/>
      <c r="M592" s="59"/>
    </row>
    <row r="593" spans="10:13" x14ac:dyDescent="0.25">
      <c r="J593" s="108"/>
      <c r="K593" s="164"/>
      <c r="L593" s="59"/>
      <c r="M593" s="59"/>
    </row>
    <row r="594" spans="10:13" x14ac:dyDescent="0.25">
      <c r="J594" s="108"/>
      <c r="K594" s="164"/>
      <c r="L594" s="59"/>
      <c r="M594" s="59"/>
    </row>
    <row r="595" spans="10:13" x14ac:dyDescent="0.25">
      <c r="J595" s="108"/>
      <c r="K595" s="164"/>
      <c r="L595" s="59"/>
      <c r="M595" s="59"/>
    </row>
    <row r="596" spans="10:13" x14ac:dyDescent="0.25">
      <c r="J596" s="108"/>
      <c r="K596" s="164"/>
      <c r="L596" s="59"/>
      <c r="M596" s="59"/>
    </row>
    <row r="597" spans="10:13" x14ac:dyDescent="0.25">
      <c r="J597" s="108"/>
      <c r="K597" s="164"/>
      <c r="L597" s="59"/>
      <c r="M597" s="59"/>
    </row>
    <row r="598" spans="10:13" x14ac:dyDescent="0.25">
      <c r="J598" s="108"/>
      <c r="K598" s="164"/>
      <c r="L598" s="59"/>
      <c r="M598" s="59"/>
    </row>
    <row r="599" spans="10:13" x14ac:dyDescent="0.25">
      <c r="J599" s="108"/>
      <c r="K599" s="164"/>
      <c r="L599" s="59"/>
      <c r="M599" s="59"/>
    </row>
    <row r="600" spans="10:13" x14ac:dyDescent="0.25">
      <c r="J600" s="108"/>
      <c r="K600" s="164"/>
      <c r="L600" s="59"/>
      <c r="M600" s="59"/>
    </row>
    <row r="601" spans="10:13" x14ac:dyDescent="0.25">
      <c r="J601" s="108"/>
      <c r="K601" s="164"/>
      <c r="L601" s="59"/>
      <c r="M601" s="59"/>
    </row>
    <row r="602" spans="10:13" x14ac:dyDescent="0.25">
      <c r="J602" s="108"/>
      <c r="K602" s="164"/>
      <c r="L602" s="59"/>
      <c r="M602" s="59"/>
    </row>
    <row r="603" spans="10:13" x14ac:dyDescent="0.25">
      <c r="J603" s="108"/>
      <c r="K603" s="164"/>
      <c r="L603" s="59"/>
      <c r="M603" s="59"/>
    </row>
    <row r="604" spans="10:13" x14ac:dyDescent="0.25">
      <c r="J604" s="108"/>
      <c r="K604" s="164"/>
      <c r="L604" s="59"/>
      <c r="M604" s="59"/>
    </row>
    <row r="605" spans="10:13" x14ac:dyDescent="0.25">
      <c r="J605" s="108"/>
      <c r="K605" s="164"/>
      <c r="L605" s="59"/>
      <c r="M605" s="59"/>
    </row>
    <row r="606" spans="10:13" x14ac:dyDescent="0.25">
      <c r="J606" s="108"/>
      <c r="K606" s="164"/>
      <c r="L606" s="59"/>
      <c r="M606" s="59"/>
    </row>
    <row r="607" spans="10:13" x14ac:dyDescent="0.25">
      <c r="J607" s="108"/>
      <c r="K607" s="164"/>
      <c r="L607" s="59"/>
      <c r="M607" s="59"/>
    </row>
    <row r="608" spans="10:13" x14ac:dyDescent="0.25">
      <c r="J608" s="108"/>
      <c r="K608" s="164"/>
      <c r="L608" s="59"/>
      <c r="M608" s="59"/>
    </row>
    <row r="609" spans="10:13" x14ac:dyDescent="0.25">
      <c r="J609" s="108"/>
      <c r="K609" s="164"/>
      <c r="L609" s="59"/>
      <c r="M609" s="59"/>
    </row>
    <row r="610" spans="10:13" x14ac:dyDescent="0.25">
      <c r="J610" s="108"/>
      <c r="K610" s="164"/>
      <c r="L610" s="59"/>
      <c r="M610" s="59"/>
    </row>
    <row r="611" spans="10:13" x14ac:dyDescent="0.25">
      <c r="J611" s="108"/>
      <c r="K611" s="164"/>
      <c r="L611" s="59"/>
      <c r="M611" s="59"/>
    </row>
    <row r="612" spans="10:13" x14ac:dyDescent="0.25">
      <c r="J612" s="108"/>
      <c r="K612" s="164"/>
      <c r="L612" s="59"/>
      <c r="M612" s="59"/>
    </row>
    <row r="613" spans="10:13" x14ac:dyDescent="0.25">
      <c r="J613" s="108"/>
      <c r="K613" s="164"/>
      <c r="L613" s="59"/>
      <c r="M613" s="59"/>
    </row>
    <row r="614" spans="10:13" x14ac:dyDescent="0.25">
      <c r="J614" s="108"/>
      <c r="K614" s="164"/>
      <c r="L614" s="59"/>
      <c r="M614" s="59"/>
    </row>
    <row r="615" spans="10:13" x14ac:dyDescent="0.25">
      <c r="J615" s="108"/>
      <c r="K615" s="164"/>
      <c r="L615" s="59"/>
      <c r="M615" s="59"/>
    </row>
    <row r="616" spans="10:13" x14ac:dyDescent="0.25">
      <c r="J616" s="108"/>
      <c r="K616" s="164"/>
      <c r="L616" s="59"/>
      <c r="M616" s="59"/>
    </row>
    <row r="617" spans="10:13" x14ac:dyDescent="0.25">
      <c r="J617" s="108"/>
      <c r="K617" s="164"/>
      <c r="L617" s="59"/>
      <c r="M617" s="59"/>
    </row>
    <row r="618" spans="10:13" x14ac:dyDescent="0.25">
      <c r="J618" s="108"/>
      <c r="K618" s="164"/>
      <c r="L618" s="59"/>
      <c r="M618" s="59"/>
    </row>
    <row r="619" spans="10:13" x14ac:dyDescent="0.25">
      <c r="J619" s="108"/>
      <c r="K619" s="164"/>
      <c r="L619" s="59"/>
      <c r="M619" s="59"/>
    </row>
    <row r="620" spans="10:13" x14ac:dyDescent="0.25">
      <c r="J620" s="108"/>
      <c r="K620" s="164"/>
      <c r="L620" s="59"/>
      <c r="M620" s="59"/>
    </row>
    <row r="621" spans="10:13" x14ac:dyDescent="0.25">
      <c r="J621" s="108"/>
      <c r="K621" s="164"/>
      <c r="L621" s="59"/>
      <c r="M621" s="59"/>
    </row>
    <row r="622" spans="10:13" x14ac:dyDescent="0.25">
      <c r="J622" s="108"/>
      <c r="K622" s="164"/>
      <c r="L622" s="59"/>
      <c r="M622" s="59"/>
    </row>
    <row r="623" spans="10:13" x14ac:dyDescent="0.25">
      <c r="J623" s="108"/>
      <c r="K623" s="164"/>
      <c r="L623" s="59"/>
      <c r="M623" s="59"/>
    </row>
    <row r="624" spans="10:13" x14ac:dyDescent="0.25">
      <c r="J624" s="108"/>
      <c r="K624" s="164"/>
      <c r="L624" s="59"/>
      <c r="M624" s="59"/>
    </row>
    <row r="625" spans="10:13" x14ac:dyDescent="0.25">
      <c r="J625" s="108"/>
      <c r="K625" s="164"/>
      <c r="L625" s="59"/>
      <c r="M625" s="59"/>
    </row>
    <row r="626" spans="10:13" x14ac:dyDescent="0.25">
      <c r="J626" s="108"/>
      <c r="K626" s="164"/>
      <c r="L626" s="59"/>
      <c r="M626" s="59"/>
    </row>
    <row r="627" spans="10:13" x14ac:dyDescent="0.25">
      <c r="J627" s="108"/>
      <c r="K627" s="164"/>
      <c r="L627" s="59"/>
      <c r="M627" s="59"/>
    </row>
    <row r="628" spans="10:13" x14ac:dyDescent="0.25">
      <c r="J628" s="108"/>
      <c r="K628" s="164"/>
      <c r="L628" s="59"/>
      <c r="M628" s="59"/>
    </row>
    <row r="629" spans="10:13" x14ac:dyDescent="0.25">
      <c r="J629" s="108"/>
      <c r="K629" s="164"/>
      <c r="L629" s="59"/>
      <c r="M629" s="59"/>
    </row>
    <row r="630" spans="10:13" x14ac:dyDescent="0.25">
      <c r="J630" s="108"/>
      <c r="K630" s="164"/>
      <c r="L630" s="59"/>
      <c r="M630" s="59"/>
    </row>
    <row r="631" spans="10:13" x14ac:dyDescent="0.25">
      <c r="J631" s="108"/>
      <c r="K631" s="164"/>
      <c r="L631" s="59"/>
      <c r="M631" s="59"/>
    </row>
    <row r="632" spans="10:13" x14ac:dyDescent="0.25">
      <c r="J632" s="108"/>
      <c r="K632" s="164"/>
      <c r="L632" s="59"/>
      <c r="M632" s="59"/>
    </row>
    <row r="633" spans="10:13" x14ac:dyDescent="0.25">
      <c r="J633" s="108"/>
      <c r="K633" s="164"/>
      <c r="L633" s="59"/>
      <c r="M633" s="59"/>
    </row>
    <row r="634" spans="10:13" x14ac:dyDescent="0.25">
      <c r="J634" s="108"/>
      <c r="K634" s="164"/>
      <c r="L634" s="59"/>
      <c r="M634" s="59"/>
    </row>
    <row r="635" spans="10:13" x14ac:dyDescent="0.25">
      <c r="J635" s="108"/>
      <c r="K635" s="164"/>
      <c r="L635" s="59"/>
      <c r="M635" s="59"/>
    </row>
    <row r="636" spans="10:13" x14ac:dyDescent="0.25">
      <c r="J636" s="108"/>
      <c r="K636" s="164"/>
      <c r="L636" s="59"/>
      <c r="M636" s="59"/>
    </row>
    <row r="637" spans="10:13" x14ac:dyDescent="0.25">
      <c r="J637" s="108"/>
      <c r="K637" s="164"/>
      <c r="L637" s="59"/>
      <c r="M637" s="59"/>
    </row>
    <row r="638" spans="10:13" x14ac:dyDescent="0.25">
      <c r="J638" s="108"/>
      <c r="K638" s="164"/>
      <c r="L638" s="59"/>
      <c r="M638" s="59"/>
    </row>
    <row r="639" spans="10:13" x14ac:dyDescent="0.25">
      <c r="J639" s="108"/>
      <c r="K639" s="164"/>
      <c r="L639" s="59"/>
      <c r="M639" s="59"/>
    </row>
    <row r="640" spans="10:13" x14ac:dyDescent="0.25">
      <c r="J640" s="108"/>
      <c r="K640" s="164"/>
      <c r="L640" s="59"/>
      <c r="M640" s="59"/>
    </row>
    <row r="641" spans="10:13" x14ac:dyDescent="0.25">
      <c r="J641" s="108"/>
      <c r="K641" s="164"/>
      <c r="L641" s="59"/>
      <c r="M641" s="59"/>
    </row>
    <row r="642" spans="10:13" x14ac:dyDescent="0.25">
      <c r="J642" s="108"/>
      <c r="K642" s="164"/>
      <c r="L642" s="59"/>
      <c r="M642" s="59"/>
    </row>
    <row r="643" spans="10:13" x14ac:dyDescent="0.25">
      <c r="J643" s="108"/>
      <c r="K643" s="164"/>
      <c r="L643" s="59"/>
      <c r="M643" s="59"/>
    </row>
    <row r="644" spans="10:13" x14ac:dyDescent="0.25">
      <c r="J644" s="108"/>
      <c r="K644" s="164"/>
      <c r="L644" s="59"/>
      <c r="M644" s="59"/>
    </row>
    <row r="645" spans="10:13" x14ac:dyDescent="0.25">
      <c r="J645" s="108"/>
      <c r="K645" s="164"/>
      <c r="L645" s="59"/>
      <c r="M645" s="59"/>
    </row>
    <row r="646" spans="10:13" x14ac:dyDescent="0.25">
      <c r="J646" s="108"/>
      <c r="K646" s="164"/>
      <c r="L646" s="59"/>
      <c r="M646" s="59"/>
    </row>
    <row r="647" spans="10:13" x14ac:dyDescent="0.25">
      <c r="J647" s="108"/>
      <c r="K647" s="164"/>
      <c r="L647" s="59"/>
      <c r="M647" s="59"/>
    </row>
    <row r="648" spans="10:13" x14ac:dyDescent="0.25">
      <c r="J648" s="108"/>
      <c r="K648" s="164"/>
      <c r="L648" s="59"/>
      <c r="M648" s="59"/>
    </row>
    <row r="649" spans="10:13" x14ac:dyDescent="0.25">
      <c r="J649" s="108"/>
      <c r="K649" s="164"/>
      <c r="L649" s="59"/>
      <c r="M649" s="59"/>
    </row>
    <row r="650" spans="10:13" x14ac:dyDescent="0.25">
      <c r="J650" s="108"/>
      <c r="K650" s="164"/>
      <c r="L650" s="59"/>
      <c r="M650" s="59"/>
    </row>
    <row r="651" spans="10:13" x14ac:dyDescent="0.25">
      <c r="J651" s="108"/>
      <c r="K651" s="164"/>
      <c r="L651" s="59"/>
      <c r="M651" s="59"/>
    </row>
    <row r="652" spans="10:13" x14ac:dyDescent="0.25">
      <c r="J652" s="108"/>
      <c r="K652" s="164"/>
      <c r="L652" s="59"/>
      <c r="M652" s="59"/>
    </row>
    <row r="653" spans="10:13" x14ac:dyDescent="0.25">
      <c r="J653" s="108"/>
      <c r="K653" s="164"/>
      <c r="L653" s="59"/>
      <c r="M653" s="59"/>
    </row>
    <row r="654" spans="10:13" x14ac:dyDescent="0.25">
      <c r="J654" s="108"/>
      <c r="K654" s="164"/>
      <c r="L654" s="59"/>
      <c r="M654" s="59"/>
    </row>
    <row r="655" spans="10:13" x14ac:dyDescent="0.25">
      <c r="J655" s="108"/>
      <c r="K655" s="164"/>
      <c r="L655" s="59"/>
      <c r="M655" s="59"/>
    </row>
    <row r="656" spans="10:13" x14ac:dyDescent="0.25">
      <c r="J656" s="108"/>
      <c r="K656" s="164"/>
      <c r="L656" s="59"/>
      <c r="M656" s="59"/>
    </row>
    <row r="657" spans="10:13" x14ac:dyDescent="0.25">
      <c r="J657" s="108"/>
      <c r="K657" s="164"/>
      <c r="L657" s="59"/>
      <c r="M657" s="59"/>
    </row>
    <row r="658" spans="10:13" x14ac:dyDescent="0.25">
      <c r="J658" s="108"/>
      <c r="K658" s="164"/>
      <c r="L658" s="59"/>
      <c r="M658" s="59"/>
    </row>
    <row r="659" spans="10:13" x14ac:dyDescent="0.25">
      <c r="J659" s="108"/>
      <c r="K659" s="164"/>
      <c r="L659" s="59"/>
      <c r="M659" s="59"/>
    </row>
    <row r="660" spans="10:13" x14ac:dyDescent="0.25">
      <c r="J660" s="108"/>
      <c r="K660" s="164"/>
      <c r="L660" s="59"/>
      <c r="M660" s="59"/>
    </row>
    <row r="661" spans="10:13" x14ac:dyDescent="0.25">
      <c r="J661" s="108"/>
      <c r="K661" s="164"/>
      <c r="L661" s="59"/>
      <c r="M661" s="59"/>
    </row>
    <row r="662" spans="10:13" x14ac:dyDescent="0.25">
      <c r="J662" s="108"/>
      <c r="K662" s="164"/>
      <c r="L662" s="59"/>
      <c r="M662" s="59"/>
    </row>
    <row r="663" spans="10:13" x14ac:dyDescent="0.25">
      <c r="J663" s="108"/>
      <c r="K663" s="164"/>
      <c r="L663" s="59"/>
      <c r="M663" s="59"/>
    </row>
    <row r="664" spans="10:13" x14ac:dyDescent="0.25">
      <c r="J664" s="108"/>
      <c r="K664" s="164"/>
      <c r="L664" s="59"/>
      <c r="M664" s="59"/>
    </row>
    <row r="665" spans="10:13" x14ac:dyDescent="0.25">
      <c r="J665" s="108"/>
      <c r="K665" s="164"/>
      <c r="L665" s="59"/>
      <c r="M665" s="59"/>
    </row>
    <row r="666" spans="10:13" x14ac:dyDescent="0.25">
      <c r="J666" s="108"/>
      <c r="K666" s="164"/>
      <c r="L666" s="59"/>
      <c r="M666" s="59"/>
    </row>
    <row r="667" spans="10:13" x14ac:dyDescent="0.25">
      <c r="J667" s="108"/>
      <c r="K667" s="164"/>
      <c r="L667" s="59"/>
      <c r="M667" s="59"/>
    </row>
    <row r="668" spans="10:13" x14ac:dyDescent="0.25">
      <c r="J668" s="108"/>
      <c r="K668" s="164"/>
      <c r="L668" s="59"/>
      <c r="M668" s="59"/>
    </row>
    <row r="669" spans="10:13" x14ac:dyDescent="0.25">
      <c r="J669" s="108"/>
      <c r="K669" s="164"/>
      <c r="L669" s="59"/>
      <c r="M669" s="59"/>
    </row>
    <row r="670" spans="10:13" x14ac:dyDescent="0.25">
      <c r="J670" s="108"/>
      <c r="K670" s="164"/>
      <c r="L670" s="59"/>
      <c r="M670" s="59"/>
    </row>
    <row r="671" spans="10:13" x14ac:dyDescent="0.25">
      <c r="J671" s="108"/>
      <c r="K671" s="164"/>
      <c r="L671" s="59"/>
      <c r="M671" s="59"/>
    </row>
    <row r="672" spans="10:13" x14ac:dyDescent="0.25">
      <c r="J672" s="108"/>
      <c r="K672" s="164"/>
      <c r="L672" s="59"/>
      <c r="M672" s="59"/>
    </row>
    <row r="673" spans="10:13" x14ac:dyDescent="0.25">
      <c r="J673" s="108"/>
      <c r="K673" s="164"/>
      <c r="L673" s="59"/>
      <c r="M673" s="59"/>
    </row>
    <row r="674" spans="10:13" x14ac:dyDescent="0.25">
      <c r="J674" s="108"/>
      <c r="K674" s="164"/>
      <c r="L674" s="59"/>
      <c r="M674" s="59"/>
    </row>
    <row r="675" spans="10:13" x14ac:dyDescent="0.25">
      <c r="J675" s="108"/>
      <c r="K675" s="164"/>
      <c r="L675" s="59"/>
      <c r="M675" s="59"/>
    </row>
    <row r="676" spans="10:13" x14ac:dyDescent="0.25">
      <c r="J676" s="108"/>
      <c r="K676" s="164"/>
      <c r="L676" s="59"/>
      <c r="M676" s="59"/>
    </row>
    <row r="677" spans="10:13" x14ac:dyDescent="0.25">
      <c r="J677" s="108"/>
      <c r="K677" s="164"/>
      <c r="L677" s="59"/>
      <c r="M677" s="59"/>
    </row>
    <row r="678" spans="10:13" x14ac:dyDescent="0.25">
      <c r="J678" s="108"/>
      <c r="K678" s="164"/>
      <c r="L678" s="59"/>
      <c r="M678" s="59"/>
    </row>
    <row r="679" spans="10:13" x14ac:dyDescent="0.25">
      <c r="J679" s="108"/>
      <c r="K679" s="164"/>
      <c r="L679" s="59"/>
      <c r="M679" s="59"/>
    </row>
    <row r="680" spans="10:13" x14ac:dyDescent="0.25">
      <c r="J680" s="108"/>
      <c r="K680" s="164"/>
      <c r="L680" s="59"/>
      <c r="M680" s="59"/>
    </row>
    <row r="681" spans="10:13" x14ac:dyDescent="0.25">
      <c r="J681" s="108"/>
      <c r="K681" s="164"/>
      <c r="L681" s="59"/>
      <c r="M681" s="59"/>
    </row>
    <row r="682" spans="10:13" x14ac:dyDescent="0.25">
      <c r="J682" s="108"/>
      <c r="K682" s="164"/>
      <c r="L682" s="59"/>
      <c r="M682" s="59"/>
    </row>
    <row r="683" spans="10:13" x14ac:dyDescent="0.25">
      <c r="J683" s="108"/>
      <c r="K683" s="164"/>
      <c r="L683" s="59"/>
      <c r="M683" s="59"/>
    </row>
    <row r="684" spans="10:13" x14ac:dyDescent="0.25">
      <c r="J684" s="108"/>
      <c r="K684" s="164"/>
      <c r="L684" s="59"/>
      <c r="M684" s="59"/>
    </row>
    <row r="685" spans="10:13" x14ac:dyDescent="0.25">
      <c r="J685" s="108"/>
      <c r="K685" s="164"/>
      <c r="L685" s="59"/>
      <c r="M685" s="59"/>
    </row>
    <row r="686" spans="10:13" x14ac:dyDescent="0.25">
      <c r="J686" s="108"/>
      <c r="K686" s="164"/>
      <c r="L686" s="59"/>
      <c r="M686" s="59"/>
    </row>
    <row r="687" spans="10:13" x14ac:dyDescent="0.25">
      <c r="J687" s="108"/>
      <c r="K687" s="164"/>
      <c r="L687" s="59"/>
      <c r="M687" s="59"/>
    </row>
    <row r="688" spans="10:13" x14ac:dyDescent="0.25">
      <c r="J688" s="108"/>
      <c r="K688" s="164"/>
      <c r="L688" s="59"/>
      <c r="M688" s="59"/>
    </row>
    <row r="689" spans="6:15" x14ac:dyDescent="0.25">
      <c r="J689" s="108"/>
      <c r="K689" s="164"/>
      <c r="L689" s="59"/>
      <c r="M689" s="59"/>
    </row>
    <row r="690" spans="6:15" x14ac:dyDescent="0.25">
      <c r="J690" s="108"/>
      <c r="K690" s="164"/>
      <c r="L690" s="59"/>
      <c r="M690" s="59"/>
    </row>
    <row r="691" spans="6:15" x14ac:dyDescent="0.25">
      <c r="J691" s="108"/>
      <c r="K691" s="164"/>
      <c r="L691" s="59"/>
      <c r="M691" s="59"/>
    </row>
    <row r="692" spans="6:15" x14ac:dyDescent="0.25">
      <c r="J692" s="108"/>
      <c r="K692" s="164"/>
      <c r="L692" s="59"/>
      <c r="M692" s="59"/>
    </row>
    <row r="693" spans="6:15" x14ac:dyDescent="0.25">
      <c r="J693" s="108"/>
      <c r="K693" s="164"/>
      <c r="L693" s="59"/>
      <c r="M693" s="59"/>
    </row>
    <row r="694" spans="6:15" x14ac:dyDescent="0.25">
      <c r="J694" s="108"/>
      <c r="K694" s="164"/>
      <c r="L694" s="59"/>
      <c r="M694" s="59"/>
    </row>
    <row r="695" spans="6:15" x14ac:dyDescent="0.25">
      <c r="F695" s="63"/>
      <c r="I695" s="63"/>
      <c r="J695" s="31"/>
      <c r="K695" s="164"/>
      <c r="L695" s="59"/>
      <c r="M695" s="59"/>
      <c r="O695"/>
    </row>
    <row r="696" spans="6:15" x14ac:dyDescent="0.25">
      <c r="J696" s="108"/>
      <c r="K696" s="164"/>
      <c r="L696" s="59"/>
      <c r="M696" s="59"/>
    </row>
    <row r="697" spans="6:15" x14ac:dyDescent="0.25">
      <c r="J697" s="108"/>
      <c r="K697" s="164"/>
      <c r="L697" s="59"/>
      <c r="M697" s="59"/>
    </row>
    <row r="698" spans="6:15" x14ac:dyDescent="0.25">
      <c r="J698" s="108"/>
      <c r="K698" s="164"/>
      <c r="L698" s="59"/>
      <c r="M698" s="59"/>
    </row>
    <row r="699" spans="6:15" x14ac:dyDescent="0.25">
      <c r="J699" s="108"/>
      <c r="K699" s="164"/>
      <c r="L699" s="59"/>
      <c r="M699" s="59"/>
    </row>
    <row r="700" spans="6:15" x14ac:dyDescent="0.25">
      <c r="J700" s="108"/>
      <c r="K700" s="164"/>
      <c r="L700" s="59"/>
      <c r="M700" s="59"/>
    </row>
    <row r="701" spans="6:15" x14ac:dyDescent="0.25">
      <c r="J701" s="108"/>
      <c r="K701" s="164"/>
      <c r="L701" s="59"/>
      <c r="M701" s="59"/>
    </row>
    <row r="702" spans="6:15" x14ac:dyDescent="0.25">
      <c r="J702" s="108"/>
      <c r="K702" s="164"/>
      <c r="L702" s="59"/>
      <c r="M702" s="59"/>
    </row>
    <row r="703" spans="6:15" x14ac:dyDescent="0.25">
      <c r="J703" s="108"/>
      <c r="K703" s="164"/>
      <c r="L703" s="59"/>
      <c r="M703" s="59"/>
    </row>
    <row r="704" spans="6:15" x14ac:dyDescent="0.25">
      <c r="J704" s="108"/>
      <c r="K704" s="164"/>
      <c r="L704" s="59"/>
      <c r="M704" s="59"/>
    </row>
    <row r="705" spans="10:13" x14ac:dyDescent="0.25">
      <c r="J705" s="108"/>
      <c r="K705" s="164"/>
      <c r="L705" s="59"/>
      <c r="M705" s="59"/>
    </row>
    <row r="706" spans="10:13" x14ac:dyDescent="0.25">
      <c r="J706" s="108"/>
      <c r="K706" s="164"/>
      <c r="L706" s="59"/>
      <c r="M706" s="59"/>
    </row>
    <row r="707" spans="10:13" x14ac:dyDescent="0.25">
      <c r="J707" s="108"/>
      <c r="K707" s="164"/>
      <c r="L707" s="59"/>
      <c r="M707" s="59"/>
    </row>
    <row r="708" spans="10:13" x14ac:dyDescent="0.25">
      <c r="J708" s="108"/>
      <c r="K708" s="164"/>
      <c r="L708" s="59"/>
      <c r="M708" s="59"/>
    </row>
    <row r="709" spans="10:13" x14ac:dyDescent="0.25">
      <c r="J709" s="108"/>
      <c r="K709" s="164"/>
      <c r="L709" s="59"/>
      <c r="M709" s="59"/>
    </row>
    <row r="710" spans="10:13" x14ac:dyDescent="0.25">
      <c r="J710" s="108"/>
      <c r="K710" s="164"/>
      <c r="L710" s="59"/>
      <c r="M710" s="59"/>
    </row>
    <row r="711" spans="10:13" x14ac:dyDescent="0.25">
      <c r="J711" s="108"/>
      <c r="K711" s="164"/>
      <c r="L711" s="59"/>
      <c r="M711" s="59"/>
    </row>
    <row r="712" spans="10:13" x14ac:dyDescent="0.25">
      <c r="J712" s="108"/>
      <c r="K712" s="164"/>
      <c r="L712" s="59"/>
      <c r="M712" s="59"/>
    </row>
    <row r="713" spans="10:13" x14ac:dyDescent="0.25">
      <c r="J713" s="108"/>
      <c r="K713" s="164"/>
      <c r="L713" s="59"/>
      <c r="M713" s="59"/>
    </row>
    <row r="714" spans="10:13" x14ac:dyDescent="0.25">
      <c r="J714" s="108"/>
      <c r="K714" s="164"/>
      <c r="L714" s="59"/>
      <c r="M714" s="59"/>
    </row>
    <row r="715" spans="10:13" x14ac:dyDescent="0.25">
      <c r="J715" s="108"/>
      <c r="K715" s="164"/>
      <c r="L715" s="59"/>
      <c r="M715" s="59"/>
    </row>
    <row r="716" spans="10:13" x14ac:dyDescent="0.25">
      <c r="J716" s="108"/>
      <c r="K716" s="164"/>
      <c r="L716" s="59"/>
      <c r="M716" s="59"/>
    </row>
    <row r="717" spans="10:13" x14ac:dyDescent="0.25">
      <c r="J717" s="108"/>
      <c r="K717" s="164"/>
      <c r="L717" s="59"/>
      <c r="M717" s="59"/>
    </row>
    <row r="718" spans="10:13" x14ac:dyDescent="0.25">
      <c r="J718" s="108"/>
      <c r="K718" s="164"/>
      <c r="L718" s="59"/>
      <c r="M718" s="59"/>
    </row>
    <row r="719" spans="10:13" x14ac:dyDescent="0.25">
      <c r="J719" s="108"/>
      <c r="K719" s="164"/>
      <c r="L719" s="59"/>
      <c r="M719" s="59"/>
    </row>
    <row r="720" spans="10:13" x14ac:dyDescent="0.25">
      <c r="J720" s="108"/>
      <c r="K720" s="164"/>
      <c r="L720" s="59"/>
      <c r="M720" s="59"/>
    </row>
    <row r="721" spans="10:13" x14ac:dyDescent="0.25">
      <c r="J721" s="108"/>
      <c r="K721" s="164"/>
      <c r="L721" s="59"/>
      <c r="M721" s="59"/>
    </row>
    <row r="722" spans="10:13" x14ac:dyDescent="0.25">
      <c r="J722" s="108"/>
      <c r="K722" s="164"/>
      <c r="L722" s="59"/>
      <c r="M722" s="59"/>
    </row>
    <row r="723" spans="10:13" x14ac:dyDescent="0.25">
      <c r="J723" s="108"/>
      <c r="K723" s="164"/>
      <c r="L723" s="59"/>
      <c r="M723" s="59"/>
    </row>
    <row r="724" spans="10:13" x14ac:dyDescent="0.25">
      <c r="J724" s="108"/>
      <c r="K724" s="164"/>
      <c r="L724" s="59"/>
      <c r="M724" s="59"/>
    </row>
    <row r="725" spans="10:13" x14ac:dyDescent="0.25">
      <c r="J725" s="108"/>
      <c r="K725" s="164"/>
      <c r="L725" s="59"/>
      <c r="M725" s="59"/>
    </row>
    <row r="726" spans="10:13" x14ac:dyDescent="0.25">
      <c r="J726" s="108"/>
      <c r="K726" s="164"/>
      <c r="L726" s="59"/>
      <c r="M726" s="59"/>
    </row>
    <row r="727" spans="10:13" x14ac:dyDescent="0.25">
      <c r="J727" s="108"/>
      <c r="K727" s="164"/>
      <c r="L727" s="59"/>
      <c r="M727" s="59"/>
    </row>
    <row r="728" spans="10:13" x14ac:dyDescent="0.25">
      <c r="J728" s="108"/>
      <c r="K728" s="164"/>
      <c r="L728" s="59"/>
      <c r="M728" s="59"/>
    </row>
    <row r="729" spans="10:13" x14ac:dyDescent="0.25">
      <c r="J729" s="108"/>
      <c r="K729" s="164"/>
      <c r="L729" s="59"/>
      <c r="M729" s="59"/>
    </row>
    <row r="730" spans="10:13" x14ac:dyDescent="0.25">
      <c r="J730" s="108"/>
      <c r="K730" s="164"/>
      <c r="L730" s="59"/>
      <c r="M730" s="59"/>
    </row>
    <row r="731" spans="10:13" x14ac:dyDescent="0.25">
      <c r="J731" s="108"/>
      <c r="K731" s="164"/>
      <c r="L731" s="59"/>
      <c r="M731" s="59"/>
    </row>
    <row r="732" spans="10:13" x14ac:dyDescent="0.25">
      <c r="J732" s="108"/>
      <c r="K732" s="164"/>
      <c r="L732" s="59"/>
      <c r="M732" s="59"/>
    </row>
    <row r="733" spans="10:13" x14ac:dyDescent="0.25">
      <c r="J733" s="108"/>
      <c r="K733" s="164"/>
      <c r="L733" s="59"/>
      <c r="M733" s="59"/>
    </row>
    <row r="734" spans="10:13" x14ac:dyDescent="0.25">
      <c r="J734" s="108"/>
      <c r="K734" s="164"/>
      <c r="L734" s="59"/>
      <c r="M734" s="59"/>
    </row>
    <row r="735" spans="10:13" x14ac:dyDescent="0.25">
      <c r="J735" s="108"/>
      <c r="K735" s="164"/>
      <c r="L735" s="59"/>
      <c r="M735" s="59"/>
    </row>
    <row r="736" spans="10:13" x14ac:dyDescent="0.25">
      <c r="J736" s="108"/>
      <c r="K736" s="164"/>
      <c r="L736" s="59"/>
      <c r="M736" s="59"/>
    </row>
    <row r="737" spans="10:13" x14ac:dyDescent="0.25">
      <c r="J737" s="108"/>
      <c r="K737" s="164"/>
      <c r="L737" s="59"/>
      <c r="M737" s="59"/>
    </row>
    <row r="738" spans="10:13" x14ac:dyDescent="0.25">
      <c r="J738" s="108"/>
      <c r="K738" s="164"/>
      <c r="L738" s="59"/>
      <c r="M738" s="59"/>
    </row>
    <row r="739" spans="10:13" x14ac:dyDescent="0.25">
      <c r="J739" s="108"/>
      <c r="K739" s="164"/>
      <c r="L739" s="59"/>
      <c r="M739" s="59"/>
    </row>
    <row r="740" spans="10:13" x14ac:dyDescent="0.25">
      <c r="J740" s="108"/>
      <c r="K740" s="164"/>
      <c r="L740" s="59"/>
      <c r="M740" s="59"/>
    </row>
    <row r="741" spans="10:13" x14ac:dyDescent="0.25">
      <c r="J741" s="108"/>
      <c r="K741" s="164"/>
      <c r="L741" s="59"/>
      <c r="M741" s="59"/>
    </row>
    <row r="742" spans="10:13" x14ac:dyDescent="0.25">
      <c r="J742" s="108"/>
      <c r="K742" s="164"/>
      <c r="L742" s="59"/>
      <c r="M742" s="59"/>
    </row>
    <row r="743" spans="10:13" x14ac:dyDescent="0.25">
      <c r="J743" s="108"/>
      <c r="K743" s="164"/>
      <c r="L743" s="59"/>
      <c r="M743" s="59"/>
    </row>
    <row r="744" spans="10:13" x14ac:dyDescent="0.25">
      <c r="J744" s="108"/>
      <c r="K744" s="164"/>
      <c r="L744" s="59"/>
      <c r="M744" s="59"/>
    </row>
    <row r="745" spans="10:13" x14ac:dyDescent="0.25">
      <c r="J745" s="108"/>
      <c r="K745" s="164"/>
      <c r="L745" s="59"/>
      <c r="M745" s="59"/>
    </row>
    <row r="746" spans="10:13" x14ac:dyDescent="0.25">
      <c r="J746" s="108"/>
      <c r="K746" s="164"/>
      <c r="L746" s="59"/>
      <c r="M746" s="59"/>
    </row>
    <row r="747" spans="10:13" x14ac:dyDescent="0.25">
      <c r="J747" s="108"/>
      <c r="K747" s="164"/>
      <c r="L747" s="59"/>
      <c r="M747" s="59"/>
    </row>
    <row r="748" spans="10:13" x14ac:dyDescent="0.25">
      <c r="J748" s="108"/>
      <c r="K748" s="164"/>
      <c r="L748" s="59"/>
      <c r="M748" s="59"/>
    </row>
    <row r="749" spans="10:13" x14ac:dyDescent="0.25">
      <c r="J749" s="108"/>
      <c r="K749" s="164"/>
      <c r="L749" s="59"/>
      <c r="M749" s="59"/>
    </row>
    <row r="750" spans="10:13" x14ac:dyDescent="0.25">
      <c r="J750" s="108"/>
      <c r="K750" s="164"/>
      <c r="L750" s="59"/>
      <c r="M750" s="59"/>
    </row>
    <row r="751" spans="10:13" x14ac:dyDescent="0.25">
      <c r="J751" s="108"/>
      <c r="K751" s="164"/>
      <c r="L751" s="59"/>
      <c r="M751" s="59"/>
    </row>
    <row r="752" spans="10:13" x14ac:dyDescent="0.25">
      <c r="J752" s="108"/>
      <c r="K752" s="164"/>
      <c r="L752" s="59"/>
      <c r="M752" s="59"/>
    </row>
    <row r="753" spans="10:13" x14ac:dyDescent="0.25">
      <c r="J753" s="108"/>
      <c r="K753" s="164"/>
      <c r="L753" s="59"/>
      <c r="M753" s="59"/>
    </row>
    <row r="754" spans="10:13" x14ac:dyDescent="0.25">
      <c r="J754" s="108"/>
      <c r="K754" s="164"/>
      <c r="L754" s="59"/>
      <c r="M754" s="59"/>
    </row>
    <row r="755" spans="10:13" x14ac:dyDescent="0.25">
      <c r="J755" s="108"/>
      <c r="K755" s="164"/>
      <c r="L755" s="59"/>
      <c r="M755" s="59"/>
    </row>
    <row r="756" spans="10:13" x14ac:dyDescent="0.25">
      <c r="J756" s="108"/>
      <c r="K756" s="164"/>
      <c r="L756" s="59"/>
      <c r="M756" s="59"/>
    </row>
    <row r="757" spans="10:13" x14ac:dyDescent="0.25">
      <c r="J757" s="108"/>
      <c r="K757" s="164"/>
      <c r="L757" s="59"/>
      <c r="M757" s="59"/>
    </row>
    <row r="758" spans="10:13" x14ac:dyDescent="0.25">
      <c r="J758" s="108"/>
      <c r="K758" s="164"/>
      <c r="L758" s="59"/>
      <c r="M758" s="59"/>
    </row>
    <row r="759" spans="10:13" x14ac:dyDescent="0.25">
      <c r="J759" s="108"/>
      <c r="K759" s="164"/>
      <c r="L759" s="59"/>
      <c r="M759" s="59"/>
    </row>
    <row r="760" spans="10:13" x14ac:dyDescent="0.25">
      <c r="J760" s="108"/>
      <c r="K760" s="164"/>
      <c r="L760" s="59"/>
      <c r="M760" s="59"/>
    </row>
    <row r="761" spans="10:13" x14ac:dyDescent="0.25">
      <c r="J761" s="108"/>
      <c r="K761" s="164"/>
      <c r="L761" s="59"/>
      <c r="M761" s="59"/>
    </row>
    <row r="762" spans="10:13" x14ac:dyDescent="0.25">
      <c r="J762" s="108"/>
      <c r="K762" s="164"/>
      <c r="L762" s="59"/>
      <c r="M762" s="59"/>
    </row>
    <row r="763" spans="10:13" x14ac:dyDescent="0.25">
      <c r="J763" s="108"/>
      <c r="K763" s="164"/>
      <c r="L763" s="59"/>
      <c r="M763" s="59"/>
    </row>
    <row r="764" spans="10:13" x14ac:dyDescent="0.25">
      <c r="J764" s="108"/>
      <c r="K764" s="164"/>
      <c r="L764" s="59"/>
      <c r="M764" s="59"/>
    </row>
    <row r="765" spans="10:13" x14ac:dyDescent="0.25">
      <c r="J765" s="108"/>
      <c r="K765" s="164"/>
      <c r="L765" s="59"/>
      <c r="M765" s="59"/>
    </row>
    <row r="766" spans="10:13" x14ac:dyDescent="0.25">
      <c r="J766" s="108"/>
      <c r="K766" s="164"/>
      <c r="L766" s="59"/>
      <c r="M766" s="59"/>
    </row>
    <row r="767" spans="10:13" x14ac:dyDescent="0.25">
      <c r="J767" s="108"/>
      <c r="K767" s="164"/>
      <c r="L767" s="59"/>
      <c r="M767" s="59"/>
    </row>
    <row r="768" spans="10:13" x14ac:dyDescent="0.25">
      <c r="J768" s="108"/>
      <c r="K768" s="164"/>
      <c r="L768" s="59"/>
      <c r="M768" s="59"/>
    </row>
    <row r="769" spans="10:15" x14ac:dyDescent="0.25">
      <c r="J769" s="31"/>
      <c r="K769" s="164"/>
      <c r="L769" s="59"/>
      <c r="M769" s="59"/>
      <c r="O769"/>
    </row>
    <row r="770" spans="10:15" x14ac:dyDescent="0.25">
      <c r="J770" s="108"/>
      <c r="K770" s="164"/>
      <c r="L770" s="59"/>
      <c r="M770" s="59"/>
    </row>
    <row r="771" spans="10:15" x14ac:dyDescent="0.25">
      <c r="J771" s="108"/>
      <c r="K771" s="164"/>
      <c r="L771" s="59"/>
      <c r="M771" s="59"/>
    </row>
    <row r="772" spans="10:15" x14ac:dyDescent="0.25">
      <c r="J772" s="108"/>
      <c r="K772" s="164"/>
      <c r="L772" s="59"/>
      <c r="M772" s="59"/>
    </row>
    <row r="773" spans="10:15" x14ac:dyDescent="0.25">
      <c r="J773" s="108"/>
      <c r="K773" s="164"/>
      <c r="L773" s="59"/>
      <c r="M773" s="59"/>
    </row>
    <row r="774" spans="10:15" x14ac:dyDescent="0.25">
      <c r="J774" s="108"/>
      <c r="K774" s="164"/>
      <c r="L774" s="59"/>
      <c r="M774" s="59"/>
    </row>
    <row r="775" spans="10:15" x14ac:dyDescent="0.25">
      <c r="J775" s="108"/>
      <c r="K775" s="164"/>
      <c r="L775" s="59"/>
      <c r="M775" s="59"/>
    </row>
    <row r="776" spans="10:15" x14ac:dyDescent="0.25">
      <c r="J776" s="108"/>
      <c r="K776" s="164"/>
      <c r="L776" s="59"/>
      <c r="M776" s="59"/>
    </row>
    <row r="777" spans="10:15" x14ac:dyDescent="0.25">
      <c r="J777" s="108"/>
      <c r="K777" s="164"/>
      <c r="L777" s="59"/>
      <c r="M777" s="59"/>
    </row>
    <row r="778" spans="10:15" x14ac:dyDescent="0.25">
      <c r="J778" s="108"/>
      <c r="K778" s="164"/>
      <c r="L778" s="59"/>
      <c r="M778" s="59"/>
    </row>
    <row r="779" spans="10:15" x14ac:dyDescent="0.25">
      <c r="J779" s="108"/>
      <c r="K779" s="164"/>
      <c r="L779" s="59"/>
      <c r="M779" s="59"/>
    </row>
    <row r="780" spans="10:15" x14ac:dyDescent="0.25">
      <c r="J780" s="108"/>
      <c r="K780" s="164"/>
      <c r="L780" s="59"/>
      <c r="M780" s="59"/>
    </row>
    <row r="781" spans="10:15" x14ac:dyDescent="0.25">
      <c r="J781" s="108"/>
      <c r="K781" s="164"/>
      <c r="L781" s="59"/>
      <c r="M781" s="59"/>
    </row>
    <row r="782" spans="10:15" x14ac:dyDescent="0.25">
      <c r="J782" s="108"/>
      <c r="K782" s="164"/>
      <c r="L782" s="59"/>
      <c r="M782" s="59"/>
    </row>
    <row r="783" spans="10:15" x14ac:dyDescent="0.25">
      <c r="J783" s="108"/>
      <c r="K783" s="164"/>
      <c r="L783" s="59"/>
      <c r="M783" s="59"/>
    </row>
    <row r="784" spans="10:15" x14ac:dyDescent="0.25">
      <c r="J784" s="108"/>
      <c r="K784" s="164"/>
      <c r="L784" s="59"/>
      <c r="M784" s="59"/>
    </row>
    <row r="785" spans="10:15" x14ac:dyDescent="0.25">
      <c r="J785" s="108"/>
      <c r="K785" s="164"/>
      <c r="L785" s="59"/>
      <c r="M785" s="59"/>
    </row>
    <row r="786" spans="10:15" x14ac:dyDescent="0.25">
      <c r="J786" s="108"/>
      <c r="K786" s="164"/>
      <c r="L786" s="59"/>
      <c r="M786" s="59"/>
    </row>
    <row r="787" spans="10:15" x14ac:dyDescent="0.25">
      <c r="J787" s="108"/>
      <c r="K787" s="164"/>
      <c r="L787" s="59"/>
      <c r="M787" s="59"/>
    </row>
    <row r="788" spans="10:15" x14ac:dyDescent="0.25">
      <c r="J788" s="108"/>
      <c r="K788" s="164"/>
      <c r="L788" s="59"/>
      <c r="M788" s="59"/>
    </row>
    <row r="789" spans="10:15" x14ac:dyDescent="0.25">
      <c r="J789" s="108"/>
      <c r="K789" s="164"/>
      <c r="L789" s="59"/>
      <c r="M789" s="59"/>
    </row>
    <row r="790" spans="10:15" x14ac:dyDescent="0.25">
      <c r="J790" s="108"/>
      <c r="K790" s="164"/>
      <c r="L790" s="59"/>
      <c r="M790" s="59"/>
    </row>
    <row r="791" spans="10:15" x14ac:dyDescent="0.25">
      <c r="J791" s="108"/>
      <c r="K791" s="164"/>
      <c r="L791" s="59"/>
      <c r="M791" s="59"/>
    </row>
    <row r="792" spans="10:15" x14ac:dyDescent="0.25">
      <c r="J792" s="108"/>
      <c r="K792" s="164"/>
      <c r="L792" s="59"/>
      <c r="M792" s="59"/>
    </row>
    <row r="793" spans="10:15" x14ac:dyDescent="0.25">
      <c r="J793" s="108"/>
      <c r="K793" s="164"/>
      <c r="L793" s="59"/>
      <c r="M793" s="59"/>
    </row>
    <row r="794" spans="10:15" x14ac:dyDescent="0.25">
      <c r="J794" s="108"/>
      <c r="K794" s="164"/>
      <c r="L794" s="59"/>
      <c r="M794" s="59"/>
    </row>
    <row r="795" spans="10:15" x14ac:dyDescent="0.25">
      <c r="J795" s="31"/>
      <c r="K795" s="164"/>
      <c r="L795" s="59"/>
      <c r="M795" s="59"/>
      <c r="O795"/>
    </row>
  </sheetData>
  <autoFilter ref="A1:AA416" xr:uid="{00000000-0001-0000-0700-000000000000}">
    <filterColumn colId="0">
      <filters>
        <filter val="1194028118"/>
      </filters>
    </filterColumn>
  </autoFilter>
  <sortState xmlns:xlrd2="http://schemas.microsoft.com/office/spreadsheetml/2017/richdata2" ref="O2:O414">
    <sortCondition ref="O2:O414"/>
  </sortState>
  <phoneticPr fontId="6"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Read Me</vt:lpstr>
      <vt:lpstr>Rate Calculation</vt:lpstr>
      <vt:lpstr>New Facilities</vt:lpstr>
      <vt:lpstr>FRV Instructions</vt:lpstr>
      <vt:lpstr>FRV Rate Calculation</vt:lpstr>
      <vt:lpstr>Capital Data Survey Info</vt:lpstr>
      <vt:lpstr>2016 and newer renovations</vt:lpstr>
      <vt:lpstr>RSMeans Factors</vt:lpstr>
      <vt:lpstr>Lookup Info</vt:lpstr>
      <vt:lpstr>April 2024 Fee Schedule</vt:lpstr>
      <vt:lpstr>'FRV Rate Calculation'!Print_Area</vt:lpstr>
      <vt:lpstr>'Rate Calculation'!Print_Area</vt:lpstr>
    </vt:vector>
  </TitlesOfParts>
  <Company>UNC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Brookshire</dc:creator>
  <cp:lastModifiedBy>Samuel Clark</cp:lastModifiedBy>
  <cp:lastPrinted>2008-01-10T15:29:20Z</cp:lastPrinted>
  <dcterms:created xsi:type="dcterms:W3CDTF">2005-12-22T15:27:23Z</dcterms:created>
  <dcterms:modified xsi:type="dcterms:W3CDTF">2024-04-16T18:43:11Z</dcterms:modified>
</cp:coreProperties>
</file>