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NCHCFA\Medicaid Rates\Rate Calculation\"/>
    </mc:Choice>
  </mc:AlternateContent>
  <xr:revisionPtr revIDLastSave="0" documentId="8_{41C5AE5D-D16C-4D60-ABFB-32436ACACB72}" xr6:coauthVersionLast="47" xr6:coauthVersionMax="47" xr10:uidLastSave="{00000000-0000-0000-0000-000000000000}"/>
  <workbookProtection workbookAlgorithmName="SHA-512" workbookHashValue="YIYNE6VZfwTt7R7VcgKXxc3BwbHqaVNj+n0FOy+p4C+zeFyuYPheHX51MwmhXUvco/b9eRuM+ZPiGml3zNZUpw==" workbookSaltValue="ktOHBQ7qh46x9g6bTpZgUg==" workbookSpinCount="100000" lockStructure="1"/>
  <bookViews>
    <workbookView xWindow="-108" yWindow="-108" windowWidth="23256" windowHeight="12576" tabRatio="789" xr2:uid="{00000000-000D-0000-FFFF-FFFF00000000}"/>
  </bookViews>
  <sheets>
    <sheet name="Read Me" sheetId="11" r:id="rId1"/>
    <sheet name="Rate Calculation" sheetId="10" r:id="rId2"/>
    <sheet name="New Facilities" sheetId="19" state="hidden" r:id="rId3"/>
    <sheet name="FRV Instructions" sheetId="9" r:id="rId4"/>
    <sheet name="FRV Rate Calculation" sheetId="8" r:id="rId5"/>
    <sheet name="Capital Data Survey Info" sheetId="18" r:id="rId6"/>
    <sheet name="2016 and newer renovations" sheetId="17" state="hidden" r:id="rId7"/>
    <sheet name="RSMeans Factors" sheetId="2" state="hidden" r:id="rId8"/>
    <sheet name="Lookup Info" sheetId="14" state="hidden" r:id="rId9"/>
    <sheet name="April 2023 Fee Schedule" sheetId="16" r:id="rId10"/>
  </sheets>
  <externalReferences>
    <externalReference r:id="rId11"/>
  </externalReferences>
  <definedNames>
    <definedName name="_xlnm._FilterDatabase" localSheetId="9" hidden="1">'April 2023 Fee Schedule'!$A$23:$P$419</definedName>
    <definedName name="_xlnm._FilterDatabase" localSheetId="8" hidden="1">'Lookup Info'!$A$1:$AA$399</definedName>
    <definedName name="_xlnm.Print_Area" localSheetId="4">'FRV Rate Calculation'!$A$1:$I$73</definedName>
    <definedName name="_xlnm.Print_Area" localSheetId="1">'Rate Calculation'!$F$3:$J$22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0" l="1"/>
  <c r="B4" i="10"/>
  <c r="C10" i="8"/>
  <c r="D10" i="8" s="1"/>
  <c r="E10" i="8" s="1"/>
  <c r="F10" i="8" s="1"/>
  <c r="F16" i="2"/>
  <c r="F15" i="2" s="1"/>
  <c r="F14" i="2" s="1"/>
  <c r="F13" i="2" s="1"/>
  <c r="F12" i="2" s="1"/>
  <c r="F11" i="2" s="1"/>
  <c r="F10" i="2" s="1"/>
  <c r="F9" i="2" s="1"/>
  <c r="F8" i="2" s="1"/>
  <c r="F7" i="2" s="1"/>
  <c r="F6" i="2" s="1"/>
  <c r="F5" i="2" s="1"/>
  <c r="F4" i="2" s="1"/>
  <c r="F17" i="2"/>
  <c r="F19" i="2"/>
  <c r="F20" i="2"/>
  <c r="F21" i="2"/>
  <c r="F22" i="2"/>
  <c r="F23" i="2"/>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B9" i="10" l="1"/>
  <c r="O17" i="10"/>
  <c r="C66" i="8" l="1"/>
  <c r="C2" i="19" l="1"/>
  <c r="I11" i="10" s="1"/>
  <c r="I9" i="10" l="1"/>
  <c r="G7" i="19"/>
  <c r="N15" i="10" l="1"/>
  <c r="H15" i="10"/>
  <c r="H14" i="10"/>
  <c r="N14" i="10"/>
  <c r="N13" i="10"/>
  <c r="H13" i="10"/>
  <c r="F12" i="10"/>
  <c r="L12" i="10" s="1"/>
  <c r="O11" i="10"/>
  <c r="H12" i="10"/>
  <c r="N12" i="10" s="1"/>
  <c r="I12" i="10"/>
  <c r="O12" i="10" s="1"/>
  <c r="F6" i="10"/>
  <c r="L6" i="10" s="1"/>
  <c r="F11" i="10"/>
  <c r="L11" i="10" s="1"/>
  <c r="H11" i="10"/>
  <c r="N11" i="10" s="1"/>
  <c r="G8" i="19"/>
  <c r="G10" i="19" s="1"/>
  <c r="G12" i="19" s="1"/>
  <c r="G15" i="19" s="1"/>
  <c r="B15" i="10" l="1"/>
  <c r="A4" i="18"/>
  <c r="B6" i="18"/>
  <c r="O8" i="10"/>
  <c r="C2" i="8"/>
  <c r="E15" i="8"/>
  <c r="D15" i="8"/>
  <c r="C14" i="8" l="1"/>
  <c r="C30" i="8" s="1"/>
  <c r="G42" i="8" s="1"/>
  <c r="C3" i="8"/>
  <c r="D3" i="8" s="1"/>
  <c r="D15" i="18"/>
  <c r="B15" i="18"/>
  <c r="C15" i="18"/>
  <c r="C7" i="8"/>
  <c r="C5" i="8"/>
  <c r="E5" i="8" s="1"/>
  <c r="E39" i="8" s="1"/>
  <c r="C4" i="8"/>
  <c r="D4" i="8" s="1"/>
  <c r="C6" i="8"/>
  <c r="C17" i="8" s="1"/>
  <c r="C76" i="8"/>
  <c r="E30" i="8"/>
  <c r="D30" i="8"/>
  <c r="G14" i="8" l="1"/>
  <c r="C74" i="8"/>
  <c r="E7" i="8"/>
  <c r="F11" i="8"/>
  <c r="D11" i="8"/>
  <c r="C15" i="8"/>
  <c r="D7" i="8"/>
  <c r="C12" i="8"/>
  <c r="C40" i="8" s="1"/>
  <c r="C39" i="8"/>
  <c r="D2" i="8"/>
  <c r="E2" i="8"/>
  <c r="E6" i="8"/>
  <c r="E17" i="8" s="1"/>
  <c r="D5" i="8"/>
  <c r="D6" i="8"/>
  <c r="D17" i="8" s="1"/>
  <c r="C11" i="8"/>
  <c r="C13" i="8" s="1"/>
  <c r="C16" i="8" s="1"/>
  <c r="H3" i="8" s="1"/>
  <c r="D57" i="8"/>
  <c r="E12" i="8" l="1"/>
  <c r="E40" i="8" s="1"/>
  <c r="E41" i="8" s="1"/>
  <c r="E3" i="8"/>
  <c r="D13" i="8"/>
  <c r="F2" i="8"/>
  <c r="D65" i="8"/>
  <c r="C65" i="8" s="1"/>
  <c r="E83" i="8" s="1"/>
  <c r="D16" i="8"/>
  <c r="D18" i="8" s="1"/>
  <c r="C41" i="8"/>
  <c r="C26" i="8"/>
  <c r="F7" i="8"/>
  <c r="D12" i="8"/>
  <c r="D40" i="8" s="1"/>
  <c r="F6" i="8"/>
  <c r="F17" i="8" s="1"/>
  <c r="D39" i="8"/>
  <c r="F5" i="8"/>
  <c r="F39" i="8" s="1"/>
  <c r="E11" i="8" l="1"/>
  <c r="E13" i="8" s="1"/>
  <c r="E16" i="8" s="1"/>
  <c r="E18" i="8" s="1"/>
  <c r="E4" i="8"/>
  <c r="E26" i="8"/>
  <c r="D79" i="8"/>
  <c r="C69" i="8"/>
  <c r="C18" i="8"/>
  <c r="C22" i="8" s="1"/>
  <c r="D41" i="8"/>
  <c r="D26" i="8"/>
  <c r="D29" i="8" s="1"/>
  <c r="F12" i="8"/>
  <c r="F40" i="8" s="1"/>
  <c r="F13" i="8"/>
  <c r="D22" i="8"/>
  <c r="E29" i="8" l="1"/>
  <c r="E32" i="8" s="1"/>
  <c r="E33" i="8" s="1"/>
  <c r="E22" i="8"/>
  <c r="C29" i="8"/>
  <c r="C32" i="8" s="1"/>
  <c r="C33" i="8" s="1"/>
  <c r="C34" i="8" s="1"/>
  <c r="C38" i="8" s="1"/>
  <c r="C42" i="8" s="1"/>
  <c r="F41" i="8"/>
  <c r="F26" i="8"/>
  <c r="D32" i="8"/>
  <c r="D33" i="8" s="1"/>
  <c r="D34" i="8" s="1"/>
  <c r="D38" i="8" s="1"/>
  <c r="D42" i="8" s="1"/>
  <c r="E34" i="8" l="1"/>
  <c r="E38" i="8" s="1"/>
  <c r="E42" i="8" s="1"/>
  <c r="B13" i="10"/>
  <c r="E57" i="8" s="1"/>
  <c r="D55" i="8"/>
  <c r="E54" i="8" l="1"/>
  <c r="I18" i="10"/>
  <c r="F3" i="2"/>
  <c r="C61" i="8" s="1"/>
  <c r="C75" i="8" l="1"/>
  <c r="C77" i="8" s="1"/>
  <c r="C67" i="8"/>
  <c r="I19" i="10"/>
  <c r="O19" i="10" s="1"/>
  <c r="D67" i="8" l="1"/>
  <c r="D68" i="8" s="1"/>
  <c r="C68" i="8"/>
  <c r="C71" i="8" s="1"/>
  <c r="F14" i="8" s="1"/>
  <c r="C79" i="8"/>
  <c r="C80" i="8"/>
  <c r="E80" i="8" s="1"/>
  <c r="O9" i="10"/>
  <c r="O13" i="10" s="1"/>
  <c r="D71" i="8" l="1"/>
  <c r="E68" i="8"/>
  <c r="E79" i="8"/>
  <c r="E81" i="8" s="1"/>
  <c r="C81" i="8"/>
  <c r="F15" i="8"/>
  <c r="F16" i="8" s="1"/>
  <c r="F18" i="8" s="1"/>
  <c r="F30" i="8"/>
  <c r="O14" i="10"/>
  <c r="O15" i="10" s="1"/>
  <c r="I8" i="10"/>
  <c r="I13" i="10"/>
  <c r="H8" i="8" l="1"/>
  <c r="H15" i="8"/>
  <c r="E82" i="8"/>
  <c r="E84" i="8" s="1"/>
  <c r="F29" i="8"/>
  <c r="F32" i="8" s="1"/>
  <c r="F33" i="8" s="1"/>
  <c r="F22" i="8"/>
  <c r="D54" i="8"/>
  <c r="E65" i="8"/>
  <c r="I14" i="10"/>
  <c r="I15" i="10" s="1"/>
  <c r="I21" i="10" s="1"/>
  <c r="I24" i="10" s="1"/>
  <c r="F34" i="8" l="1"/>
  <c r="F38" i="8" s="1"/>
  <c r="F42" i="8" s="1"/>
  <c r="I26" i="10"/>
  <c r="O18" i="10" l="1"/>
  <c r="O21" i="10" s="1"/>
  <c r="O22" i="10" s="1"/>
  <c r="D59" i="8"/>
  <c r="D58" i="8"/>
  <c r="G32" i="10"/>
  <c r="D14" i="18" l="1"/>
  <c r="D13" i="18"/>
  <c r="C12" i="18"/>
  <c r="B12" i="18"/>
  <c r="B11" i="18"/>
  <c r="D9" i="18"/>
  <c r="C9" i="18"/>
  <c r="C13" i="18"/>
  <c r="C14" i="18"/>
  <c r="D10" i="18"/>
  <c r="D11" i="18"/>
  <c r="B13" i="18"/>
  <c r="B9" i="18"/>
  <c r="C10" i="18"/>
  <c r="B14" i="18"/>
  <c r="D12" i="18"/>
  <c r="C11" i="18"/>
  <c r="B10" i="18"/>
  <c r="M3" i="14" l="1"/>
  <c r="M4" i="14"/>
  <c r="M12" i="14"/>
  <c r="M20" i="14"/>
  <c r="M28" i="14"/>
  <c r="M36" i="14"/>
  <c r="M44" i="14"/>
  <c r="M52" i="14"/>
  <c r="M60" i="14"/>
  <c r="M68" i="14"/>
  <c r="M76" i="14"/>
  <c r="M84" i="14"/>
  <c r="M92" i="14"/>
  <c r="M100" i="14"/>
  <c r="M108" i="14"/>
  <c r="M116" i="14"/>
  <c r="M124" i="14"/>
  <c r="M132" i="14"/>
  <c r="M140" i="14"/>
  <c r="M148" i="14"/>
  <c r="M156" i="14"/>
  <c r="M164" i="14"/>
  <c r="M172" i="14"/>
  <c r="M180" i="14"/>
  <c r="M188" i="14"/>
  <c r="M196" i="14"/>
  <c r="M204" i="14"/>
  <c r="M212" i="14"/>
  <c r="M220" i="14"/>
  <c r="M228" i="14"/>
  <c r="M236" i="14"/>
  <c r="M244" i="14"/>
  <c r="M252" i="14"/>
  <c r="M260" i="14"/>
  <c r="M268" i="14"/>
  <c r="M276" i="14"/>
  <c r="M284" i="14"/>
  <c r="M292" i="14"/>
  <c r="M300" i="14"/>
  <c r="M308" i="14"/>
  <c r="M316" i="14"/>
  <c r="M324" i="14"/>
  <c r="M332" i="14"/>
  <c r="M340" i="14"/>
  <c r="M348" i="14"/>
  <c r="M356" i="14"/>
  <c r="M364" i="14"/>
  <c r="M372" i="14"/>
  <c r="M380" i="14"/>
  <c r="M388" i="14"/>
  <c r="M396" i="14"/>
  <c r="M79" i="14"/>
  <c r="M111" i="14"/>
  <c r="M135" i="14"/>
  <c r="M159" i="14"/>
  <c r="M183" i="14"/>
  <c r="M215" i="14"/>
  <c r="M239" i="14"/>
  <c r="M263" i="14"/>
  <c r="M287" i="14"/>
  <c r="M311" i="14"/>
  <c r="M335" i="14"/>
  <c r="M359" i="14"/>
  <c r="M383" i="14"/>
  <c r="M219" i="14"/>
  <c r="M259" i="14"/>
  <c r="M299" i="14"/>
  <c r="M347" i="14"/>
  <c r="M387" i="14"/>
  <c r="M5" i="14"/>
  <c r="M13" i="14"/>
  <c r="M21" i="14"/>
  <c r="M29" i="14"/>
  <c r="M37" i="14"/>
  <c r="M45" i="14"/>
  <c r="M53" i="14"/>
  <c r="M61" i="14"/>
  <c r="M69" i="14"/>
  <c r="M77" i="14"/>
  <c r="M85" i="14"/>
  <c r="M93" i="14"/>
  <c r="M101" i="14"/>
  <c r="M109" i="14"/>
  <c r="M117" i="14"/>
  <c r="M125" i="14"/>
  <c r="M133" i="14"/>
  <c r="M141" i="14"/>
  <c r="M149" i="14"/>
  <c r="M157" i="14"/>
  <c r="M165" i="14"/>
  <c r="M173" i="14"/>
  <c r="M181" i="14"/>
  <c r="M189" i="14"/>
  <c r="M197" i="14"/>
  <c r="M205" i="14"/>
  <c r="M213" i="14"/>
  <c r="M221" i="14"/>
  <c r="M229" i="14"/>
  <c r="M237" i="14"/>
  <c r="M245" i="14"/>
  <c r="M253" i="14"/>
  <c r="M261" i="14"/>
  <c r="M269" i="14"/>
  <c r="M277" i="14"/>
  <c r="M285" i="14"/>
  <c r="M293" i="14"/>
  <c r="M301" i="14"/>
  <c r="M309" i="14"/>
  <c r="M317" i="14"/>
  <c r="M325" i="14"/>
  <c r="M333" i="14"/>
  <c r="M341" i="14"/>
  <c r="M349" i="14"/>
  <c r="M357" i="14"/>
  <c r="M365" i="14"/>
  <c r="M373" i="14"/>
  <c r="M381" i="14"/>
  <c r="M389" i="14"/>
  <c r="M397" i="14"/>
  <c r="M23" i="14"/>
  <c r="M47" i="14"/>
  <c r="M71" i="14"/>
  <c r="M95" i="14"/>
  <c r="M119" i="14"/>
  <c r="M143" i="14"/>
  <c r="M167" i="14"/>
  <c r="M191" i="14"/>
  <c r="M207" i="14"/>
  <c r="M231" i="14"/>
  <c r="M255" i="14"/>
  <c r="M279" i="14"/>
  <c r="M303" i="14"/>
  <c r="M327" i="14"/>
  <c r="M351" i="14"/>
  <c r="M375" i="14"/>
  <c r="M399" i="14"/>
  <c r="M251" i="14"/>
  <c r="M307" i="14"/>
  <c r="M355" i="14"/>
  <c r="M395" i="14"/>
  <c r="M6" i="14"/>
  <c r="M14" i="14"/>
  <c r="M22" i="14"/>
  <c r="M30" i="14"/>
  <c r="M38" i="14"/>
  <c r="M46" i="14"/>
  <c r="M54" i="14"/>
  <c r="M62" i="14"/>
  <c r="M70" i="14"/>
  <c r="M78" i="14"/>
  <c r="M86" i="14"/>
  <c r="M94" i="14"/>
  <c r="M102" i="14"/>
  <c r="M110" i="14"/>
  <c r="M118" i="14"/>
  <c r="M126" i="14"/>
  <c r="M134" i="14"/>
  <c r="M142" i="14"/>
  <c r="M150" i="14"/>
  <c r="M158" i="14"/>
  <c r="M166" i="14"/>
  <c r="M174" i="14"/>
  <c r="M182" i="14"/>
  <c r="M190" i="14"/>
  <c r="M198" i="14"/>
  <c r="M206" i="14"/>
  <c r="M214" i="14"/>
  <c r="M222" i="14"/>
  <c r="M230" i="14"/>
  <c r="M238" i="14"/>
  <c r="M246" i="14"/>
  <c r="M254" i="14"/>
  <c r="M262" i="14"/>
  <c r="M270" i="14"/>
  <c r="M278" i="14"/>
  <c r="M286" i="14"/>
  <c r="M294" i="14"/>
  <c r="M302" i="14"/>
  <c r="M310" i="14"/>
  <c r="M318" i="14"/>
  <c r="M326" i="14"/>
  <c r="M334" i="14"/>
  <c r="M342" i="14"/>
  <c r="M350" i="14"/>
  <c r="M358" i="14"/>
  <c r="M366" i="14"/>
  <c r="M374" i="14"/>
  <c r="M382" i="14"/>
  <c r="M390" i="14"/>
  <c r="M398" i="14"/>
  <c r="M15" i="14"/>
  <c r="M31" i="14"/>
  <c r="M39" i="14"/>
  <c r="M55" i="14"/>
  <c r="M63" i="14"/>
  <c r="M87" i="14"/>
  <c r="M103" i="14"/>
  <c r="M127" i="14"/>
  <c r="M151" i="14"/>
  <c r="M175" i="14"/>
  <c r="M199" i="14"/>
  <c r="M223" i="14"/>
  <c r="M247" i="14"/>
  <c r="M271" i="14"/>
  <c r="M295" i="14"/>
  <c r="M319" i="14"/>
  <c r="M343" i="14"/>
  <c r="M367" i="14"/>
  <c r="M391" i="14"/>
  <c r="M235" i="14"/>
  <c r="M283" i="14"/>
  <c r="M339" i="14"/>
  <c r="M379" i="14"/>
  <c r="M7" i="14"/>
  <c r="M8" i="14"/>
  <c r="M16" i="14"/>
  <c r="M24" i="14"/>
  <c r="M32" i="14"/>
  <c r="M40" i="14"/>
  <c r="M48" i="14"/>
  <c r="M56" i="14"/>
  <c r="M64" i="14"/>
  <c r="M72" i="14"/>
  <c r="M80" i="14"/>
  <c r="M88" i="14"/>
  <c r="M96" i="14"/>
  <c r="M104" i="14"/>
  <c r="M112" i="14"/>
  <c r="M120" i="14"/>
  <c r="M128" i="14"/>
  <c r="M136" i="14"/>
  <c r="M144" i="14"/>
  <c r="M152" i="14"/>
  <c r="M160" i="14"/>
  <c r="M168" i="14"/>
  <c r="M176" i="14"/>
  <c r="M184" i="14"/>
  <c r="M192" i="14"/>
  <c r="M200" i="14"/>
  <c r="M208" i="14"/>
  <c r="M216" i="14"/>
  <c r="M224" i="14"/>
  <c r="M232" i="14"/>
  <c r="M240" i="14"/>
  <c r="M248" i="14"/>
  <c r="M256" i="14"/>
  <c r="M264" i="14"/>
  <c r="M272" i="14"/>
  <c r="M280" i="14"/>
  <c r="M288" i="14"/>
  <c r="M296" i="14"/>
  <c r="M304" i="14"/>
  <c r="M312" i="14"/>
  <c r="M320" i="14"/>
  <c r="M328" i="14"/>
  <c r="M336" i="14"/>
  <c r="M344" i="14"/>
  <c r="M352" i="14"/>
  <c r="M360" i="14"/>
  <c r="M368" i="14"/>
  <c r="M376" i="14"/>
  <c r="M384" i="14"/>
  <c r="M392" i="14"/>
  <c r="M2" i="14"/>
  <c r="M393" i="14"/>
  <c r="M258" i="14"/>
  <c r="M282" i="14"/>
  <c r="M298" i="14"/>
  <c r="M322" i="14"/>
  <c r="M346" i="14"/>
  <c r="M362" i="14"/>
  <c r="M386" i="14"/>
  <c r="M19" i="14"/>
  <c r="M35" i="14"/>
  <c r="M59" i="14"/>
  <c r="M75" i="14"/>
  <c r="M99" i="14"/>
  <c r="M123" i="14"/>
  <c r="M139" i="14"/>
  <c r="M163" i="14"/>
  <c r="M187" i="14"/>
  <c r="M211" i="14"/>
  <c r="M243" i="14"/>
  <c r="M291" i="14"/>
  <c r="M331" i="14"/>
  <c r="M371" i="14"/>
  <c r="M9" i="14"/>
  <c r="M17" i="14"/>
  <c r="M25" i="14"/>
  <c r="M33" i="14"/>
  <c r="M41" i="14"/>
  <c r="M49" i="14"/>
  <c r="M57" i="14"/>
  <c r="M65" i="14"/>
  <c r="M73" i="14"/>
  <c r="M81" i="14"/>
  <c r="M89" i="14"/>
  <c r="M97" i="14"/>
  <c r="M105" i="14"/>
  <c r="M113" i="14"/>
  <c r="M121" i="14"/>
  <c r="M129" i="14"/>
  <c r="M137" i="14"/>
  <c r="M145" i="14"/>
  <c r="M153" i="14"/>
  <c r="M161" i="14"/>
  <c r="M169" i="14"/>
  <c r="M177" i="14"/>
  <c r="M185" i="14"/>
  <c r="M193" i="14"/>
  <c r="M201" i="14"/>
  <c r="M209" i="14"/>
  <c r="M217" i="14"/>
  <c r="M225" i="14"/>
  <c r="M233" i="14"/>
  <c r="M241" i="14"/>
  <c r="M249" i="14"/>
  <c r="M257" i="14"/>
  <c r="M265" i="14"/>
  <c r="M273" i="14"/>
  <c r="M281" i="14"/>
  <c r="M289" i="14"/>
  <c r="M297" i="14"/>
  <c r="M305" i="14"/>
  <c r="M313" i="14"/>
  <c r="M321" i="14"/>
  <c r="M329" i="14"/>
  <c r="M337" i="14"/>
  <c r="M345" i="14"/>
  <c r="M353" i="14"/>
  <c r="M361" i="14"/>
  <c r="M369" i="14"/>
  <c r="M377" i="14"/>
  <c r="M385" i="14"/>
  <c r="M242" i="14"/>
  <c r="M274" i="14"/>
  <c r="M314" i="14"/>
  <c r="M338" i="14"/>
  <c r="M378" i="14"/>
  <c r="M11" i="14"/>
  <c r="M51" i="14"/>
  <c r="M83" i="14"/>
  <c r="M115" i="14"/>
  <c r="M147" i="14"/>
  <c r="M179" i="14"/>
  <c r="M203" i="14"/>
  <c r="M275" i="14"/>
  <c r="M323" i="14"/>
  <c r="M10" i="14"/>
  <c r="M18" i="14"/>
  <c r="M26" i="14"/>
  <c r="M34" i="14"/>
  <c r="M42" i="14"/>
  <c r="M50" i="14"/>
  <c r="M58" i="14"/>
  <c r="M66" i="14"/>
  <c r="M74" i="14"/>
  <c r="M82" i="14"/>
  <c r="M90" i="14"/>
  <c r="M98" i="14"/>
  <c r="M106" i="14"/>
  <c r="M114" i="14"/>
  <c r="M122" i="14"/>
  <c r="M130" i="14"/>
  <c r="M138" i="14"/>
  <c r="M146" i="14"/>
  <c r="M154" i="14"/>
  <c r="M162" i="14"/>
  <c r="M170" i="14"/>
  <c r="M178" i="14"/>
  <c r="M186" i="14"/>
  <c r="M194" i="14"/>
  <c r="M202" i="14"/>
  <c r="M210" i="14"/>
  <c r="M218" i="14"/>
  <c r="M226" i="14"/>
  <c r="M234" i="14"/>
  <c r="M250" i="14"/>
  <c r="M266" i="14"/>
  <c r="M290" i="14"/>
  <c r="M306" i="14"/>
  <c r="M330" i="14"/>
  <c r="M354" i="14"/>
  <c r="M370" i="14"/>
  <c r="M394" i="14"/>
  <c r="M27" i="14"/>
  <c r="M43" i="14"/>
  <c r="M67" i="14"/>
  <c r="M91" i="14"/>
  <c r="M107" i="14"/>
  <c r="M131" i="14"/>
  <c r="M155" i="14"/>
  <c r="M171" i="14"/>
  <c r="M195" i="14"/>
  <c r="M227" i="14"/>
  <c r="M267" i="14"/>
  <c r="M315" i="14"/>
  <c r="M3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 Clark</author>
  </authors>
  <commentList>
    <comment ref="C1" authorId="0" shapeId="0" xr:uid="{794852A9-F02A-4507-9DF5-177B0B170B94}">
      <text>
        <r>
          <rPr>
            <b/>
            <sz val="9"/>
            <color indexed="81"/>
            <rFont val="Tahoma"/>
            <family val="2"/>
          </rPr>
          <t>This column presents the calculation methodology from the Medicaid rate model.</t>
        </r>
      </text>
    </comment>
    <comment ref="D1" authorId="0" shapeId="0" xr:uid="{AE8B98F3-8159-4C4B-B37D-94F44D44CB8D}">
      <text>
        <r>
          <rPr>
            <sz val="9"/>
            <color indexed="81"/>
            <rFont val="Tahoma"/>
            <family val="2"/>
          </rPr>
          <t>This column shows the FRV calculation of the facility in column C renovated to a "new" facility.</t>
        </r>
      </text>
    </comment>
    <comment ref="E1" authorId="0" shapeId="0" xr:uid="{65917A22-2E71-4CAA-A50E-0E560165C56E}">
      <text>
        <r>
          <rPr>
            <b/>
            <sz val="9"/>
            <color indexed="81"/>
            <rFont val="Tahoma"/>
            <family val="2"/>
          </rPr>
          <t>This column shows the FRV calculation of the facility in column C renovated to a "new" facility with 700 sq ft per bed.</t>
        </r>
      </text>
    </comment>
    <comment ref="E3" authorId="0" shapeId="0" xr:uid="{9FAEEDAD-A1C3-4439-9B9D-71E3E18493EB}">
      <text>
        <r>
          <rPr>
            <b/>
            <sz val="9"/>
            <color indexed="81"/>
            <rFont val="Tahoma"/>
            <family val="2"/>
          </rPr>
          <t>Assumed to be 700 sq ft per bed.</t>
        </r>
      </text>
    </comment>
    <comment ref="F3" authorId="0" shapeId="0" xr:uid="{36224338-39E7-4B63-8144-28DB03C8253D}">
      <text>
        <r>
          <rPr>
            <b/>
            <sz val="9"/>
            <color indexed="81"/>
            <rFont val="Tahoma"/>
            <family val="2"/>
          </rPr>
          <t>Enter the proposed number of square feet attributed to the nursing portion of the facility.</t>
        </r>
      </text>
    </comment>
    <comment ref="F8" authorId="0" shapeId="0" xr:uid="{112FDB47-C5D0-4E28-B2E2-8A10FE8E9FCD}">
      <text>
        <r>
          <rPr>
            <b/>
            <sz val="9"/>
            <color indexed="81"/>
            <rFont val="Tahoma"/>
            <family val="2"/>
          </rPr>
          <t>Enter the amount of a proposed renovation.</t>
        </r>
      </text>
    </comment>
    <comment ref="D14" authorId="0" shapeId="0" xr:uid="{A96D4013-9802-4F15-9BFF-D997A15E112B}">
      <text>
        <r>
          <rPr>
            <b/>
            <sz val="9"/>
            <color indexed="81"/>
            <rFont val="Tahoma"/>
            <family val="2"/>
          </rPr>
          <t>Assumed to be age of 1 for a completely renovated facility.</t>
        </r>
      </text>
    </comment>
    <comment ref="E14" authorId="0" shapeId="0" xr:uid="{90060E3C-53E4-46D0-9EE6-0B00AD95D5CE}">
      <text>
        <r>
          <rPr>
            <b/>
            <sz val="9"/>
            <color indexed="81"/>
            <rFont val="Tahoma"/>
            <family val="2"/>
          </rPr>
          <t>Assumed to be age of 1 for a new facility.</t>
        </r>
      </text>
    </comment>
    <comment ref="F14" authorId="0" shapeId="0" xr:uid="{5CC7D6DA-0389-426B-863D-04C723486F2F}">
      <text>
        <r>
          <rPr>
            <b/>
            <sz val="9"/>
            <color indexed="81"/>
            <rFont val="Tahoma"/>
            <family val="2"/>
          </rPr>
          <t>Estimated facility age after proposed renovation.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 Clark</author>
  </authors>
  <commentList>
    <comment ref="H27" authorId="0" shapeId="0" xr:uid="{6C812FFA-1F02-4BD7-90F6-EC7AC8F402B5}">
      <text>
        <r>
          <rPr>
            <b/>
            <sz val="9"/>
            <color indexed="81"/>
            <rFont val="Tahoma"/>
            <family val="2"/>
          </rPr>
          <t>Sam Clark:</t>
        </r>
        <r>
          <rPr>
            <sz val="9"/>
            <color indexed="81"/>
            <rFont val="Tahoma"/>
            <family val="2"/>
          </rPr>
          <t xml:space="preserve">
Dropped from current book.  Previous year carried forward.</t>
        </r>
      </text>
    </comment>
  </commentList>
</comments>
</file>

<file path=xl/sharedStrings.xml><?xml version="1.0" encoding="utf-8"?>
<sst xmlns="http://schemas.openxmlformats.org/spreadsheetml/2006/main" count="3618" uniqueCount="805">
  <si>
    <t>City</t>
  </si>
  <si>
    <t>Greensboro</t>
  </si>
  <si>
    <t>Winston-Salem</t>
  </si>
  <si>
    <t>Raleigh</t>
  </si>
  <si>
    <t>Rocky Mount</t>
  </si>
  <si>
    <t>Elizabeth City</t>
  </si>
  <si>
    <t>Gastonia</t>
  </si>
  <si>
    <t>Charlotte</t>
  </si>
  <si>
    <t>Fayetteville</t>
  </si>
  <si>
    <t>Wilmington</t>
  </si>
  <si>
    <t>Kinston</t>
  </si>
  <si>
    <t>Hickory</t>
  </si>
  <si>
    <t>Asheville</t>
  </si>
  <si>
    <t>Murphy</t>
  </si>
  <si>
    <t>Zip Factor</t>
  </si>
  <si>
    <t>Year</t>
  </si>
  <si>
    <t>Type (1-3)</t>
  </si>
  <si>
    <t>Nursing Days</t>
  </si>
  <si>
    <t>Location Factor</t>
  </si>
  <si>
    <t>Land Percentage</t>
  </si>
  <si>
    <t>ZIP Code</t>
  </si>
  <si>
    <t>Cost per Square Foot</t>
  </si>
  <si>
    <t>Durham</t>
  </si>
  <si>
    <t>Instructions for Use:</t>
  </si>
  <si>
    <t>North Carolina Nursing Facility Fair Rental Value</t>
  </si>
  <si>
    <t>Medicaid Rate Calculation</t>
  </si>
  <si>
    <t>FRV Daily Rate</t>
  </si>
  <si>
    <t>Provider Assessment</t>
  </si>
  <si>
    <t xml:space="preserve">     i.  CCRC - $0 per day </t>
  </si>
  <si>
    <t>North Carolina Nursing Facility</t>
  </si>
  <si>
    <t>Rate Calculation</t>
  </si>
  <si>
    <t>% of Rate to Case-Mix Adjust</t>
  </si>
  <si>
    <t>Medicaid Case-Mix Index</t>
  </si>
  <si>
    <t>Indirect Rate</t>
  </si>
  <si>
    <t>Provider Assessment Daily Rate***</t>
  </si>
  <si>
    <t>*** - The Provider Assessment daily rate is determined as follows:</t>
  </si>
  <si>
    <t>Fair Rental Value Daily Rate**</t>
  </si>
  <si>
    <t>a</t>
  </si>
  <si>
    <t>b</t>
  </si>
  <si>
    <t>c</t>
  </si>
  <si>
    <t>d</t>
  </si>
  <si>
    <t>e</t>
  </si>
  <si>
    <t>f</t>
  </si>
  <si>
    <t>g</t>
  </si>
  <si>
    <t>h</t>
  </si>
  <si>
    <t>i</t>
  </si>
  <si>
    <t xml:space="preserve">The North Carolina nursing facility Medicaid rate uses a Fair Rental Value (FRV) system of capital reimbursement.  Under the FRV system, facilities will receive individualized rates based on the characteristics of their buildings. </t>
  </si>
  <si>
    <t>Please direct any questions or comments on the use of this rate calculation spreadsheet to Sam Clark, NCHCFA Vice President of Finance, at samc@nchcfa.org.</t>
  </si>
  <si>
    <t>NPI</t>
  </si>
  <si>
    <t>Historical Cost Index</t>
  </si>
  <si>
    <t>Average</t>
  </si>
  <si>
    <t>Bed Value</t>
  </si>
  <si>
    <t>Actual Facility Data</t>
  </si>
  <si>
    <t>Current Facility Renovated to the Age of a New Building</t>
  </si>
  <si>
    <t>Replacement Building w/ 700 sq ft per bed</t>
  </si>
  <si>
    <t>User Defined Variables</t>
  </si>
  <si>
    <t>Facility NPI</t>
  </si>
  <si>
    <t>Nursing Beds</t>
  </si>
  <si>
    <t>BUILDING</t>
  </si>
  <si>
    <t>Sq Ft per Bed (b/c)</t>
  </si>
  <si>
    <t>Facility Age (imported from rate model)</t>
  </si>
  <si>
    <t>Sq Footage Floor (based on age)</t>
  </si>
  <si>
    <t>Calculation Sq Ft (max of f or (min of 700 or d))</t>
  </si>
  <si>
    <t>Location Factor (based on ZIP)</t>
  </si>
  <si>
    <t>Replacement Value (a*c*g*h)</t>
  </si>
  <si>
    <t xml:space="preserve">LAND  </t>
  </si>
  <si>
    <t>j</t>
  </si>
  <si>
    <t>k</t>
  </si>
  <si>
    <t>Land Value (i*j)</t>
  </si>
  <si>
    <t>EQUIPMENT</t>
  </si>
  <si>
    <t>l</t>
  </si>
  <si>
    <t>Equipment Allowance per Bed</t>
  </si>
  <si>
    <t>m</t>
  </si>
  <si>
    <t>Replacement Value (c*l)</t>
  </si>
  <si>
    <t>REPLACEMENT VALUE</t>
  </si>
  <si>
    <t>n</t>
  </si>
  <si>
    <t>Bldg/Equip Replacement Value (i+m)</t>
  </si>
  <si>
    <t>o</t>
  </si>
  <si>
    <t>Age</t>
  </si>
  <si>
    <t>p</t>
  </si>
  <si>
    <t>Depreciation per Year</t>
  </si>
  <si>
    <t>q</t>
  </si>
  <si>
    <t>Depreciation (n*o*p)</t>
  </si>
  <si>
    <t>r</t>
  </si>
  <si>
    <t>Depreciated Replacement Value (n-q)</t>
  </si>
  <si>
    <t>s</t>
  </si>
  <si>
    <t>Total Replacement Value+Land (k+r)</t>
  </si>
  <si>
    <t>RATE PER DAY</t>
  </si>
  <si>
    <t>t</t>
  </si>
  <si>
    <t>Rental Rate</t>
  </si>
  <si>
    <t>u</t>
  </si>
  <si>
    <t>Rental Amount (s*t)</t>
  </si>
  <si>
    <t>v</t>
  </si>
  <si>
    <t>w</t>
  </si>
  <si>
    <t>x</t>
  </si>
  <si>
    <t>Calculation Days (min of v or w)</t>
  </si>
  <si>
    <t>y</t>
  </si>
  <si>
    <t>FRV Rate per Day (u/x)</t>
  </si>
  <si>
    <t>Estimated cost to renovate this facility to the age of a new facility:</t>
  </si>
  <si>
    <t>Estimated rate difference between current age and "new" facility age:</t>
  </si>
  <si>
    <t>Amount of proposed renovation:</t>
  </si>
  <si>
    <t>Estimated FRV rate after proposed renovation:</t>
  </si>
  <si>
    <t>Estimated rate difference between current age and renovated facility:</t>
  </si>
  <si>
    <t>R=A x (E/(S x C x AD))</t>
  </si>
  <si>
    <t>Assumptions</t>
  </si>
  <si>
    <r>
      <t xml:space="preserve">Age </t>
    </r>
    <r>
      <rPr>
        <b/>
        <sz val="11"/>
        <color theme="1"/>
        <rFont val="Calibri"/>
        <family val="2"/>
        <scheme val="minor"/>
      </rPr>
      <t>(A)</t>
    </r>
  </si>
  <si>
    <r>
      <t xml:space="preserve">Expenditure </t>
    </r>
    <r>
      <rPr>
        <b/>
        <sz val="11"/>
        <color theme="1"/>
        <rFont val="Calibri"/>
        <family val="2"/>
        <scheme val="minor"/>
      </rPr>
      <t>(E)</t>
    </r>
  </si>
  <si>
    <r>
      <t xml:space="preserve">Accumulated Depreciation Percent </t>
    </r>
    <r>
      <rPr>
        <b/>
        <sz val="11"/>
        <color theme="1"/>
        <rFont val="Calibri"/>
        <family val="2"/>
        <scheme val="minor"/>
      </rPr>
      <t>(AD)</t>
    </r>
  </si>
  <si>
    <t>Depreciation rate/year</t>
  </si>
  <si>
    <t>Proof</t>
  </si>
  <si>
    <t>Beds</t>
  </si>
  <si>
    <t>Acc Depr/Bed</t>
  </si>
  <si>
    <t>Cost</t>
  </si>
  <si>
    <t>New Bed Equivalent</t>
  </si>
  <si>
    <t>Old</t>
  </si>
  <si>
    <t>New</t>
  </si>
  <si>
    <t>Prior Age</t>
  </si>
  <si>
    <t>Difference</t>
  </si>
  <si>
    <t>Minimum Age (includes ages above this amount)</t>
  </si>
  <si>
    <t>Sq Ft Floor</t>
  </si>
  <si>
    <t>-----&gt;</t>
  </si>
  <si>
    <t>Abernethy Laurels</t>
  </si>
  <si>
    <t>Accordius Health at Aberdeen</t>
  </si>
  <si>
    <t>Accordius Health at Charlotte</t>
  </si>
  <si>
    <t>Accordius Health At Concord</t>
  </si>
  <si>
    <t>Accordius Health at Gatesville</t>
  </si>
  <si>
    <t>Accordius Health at Greensboro</t>
  </si>
  <si>
    <t>Accordius Health at Hendersonville</t>
  </si>
  <si>
    <t>Accordius Health at Midwood</t>
  </si>
  <si>
    <t>Accordius Health at Monroe</t>
  </si>
  <si>
    <t>Accordius Health at Mooresville</t>
  </si>
  <si>
    <t>Accordius Health at Rose Manor</t>
  </si>
  <si>
    <t>Accordius Health at Rutherfordton</t>
  </si>
  <si>
    <t>Accordius Health at Statesville</t>
  </si>
  <si>
    <t>ACCORDIUS HEALTH AT WILKESBORO</t>
  </si>
  <si>
    <t>ACCORDIUS HEALTH AT WILSON</t>
  </si>
  <si>
    <t>Alamance Health Care Center</t>
  </si>
  <si>
    <t>Alexandria Place</t>
  </si>
  <si>
    <t>Alpine Health and Rehab</t>
  </si>
  <si>
    <t>Alston Brook</t>
  </si>
  <si>
    <t>Aston Park Health Care, Inc.</t>
  </si>
  <si>
    <t>Autumn Care Of Biscoe</t>
  </si>
  <si>
    <t>Autumn Care Of Drexel</t>
  </si>
  <si>
    <t>Autumn Care Of Marion</t>
  </si>
  <si>
    <t>Autumn Care Of Marshville</t>
  </si>
  <si>
    <t>Autumn Care Of Myrtle Grove</t>
  </si>
  <si>
    <t>Autumn Care Of Nash</t>
  </si>
  <si>
    <t>Autumn Care Of Raeford</t>
  </si>
  <si>
    <t>Autumn Care Of Salisbury</t>
  </si>
  <si>
    <t>Autumn Care Of Saluda</t>
  </si>
  <si>
    <t>Autumn Care Of Shallotte</t>
  </si>
  <si>
    <t>Autumn Care Of Statesville</t>
  </si>
  <si>
    <t>Autumn Care Of Waynesville</t>
  </si>
  <si>
    <t>Bayview Nursing &amp; Rehabilitation Center</t>
  </si>
  <si>
    <t>Belaire Health Care Center</t>
  </si>
  <si>
    <t>Bermuda Commons</t>
  </si>
  <si>
    <t>Bethesda Health Care Facility</t>
  </si>
  <si>
    <t>Big Elm Retirement And Nursing Ctr, Inc</t>
  </si>
  <si>
    <t>Brantwood Nursing &amp; Retirement Center</t>
  </si>
  <si>
    <t>Brian Center Health &amp; Rehab/Windsor</t>
  </si>
  <si>
    <t>Brian Center Southpoint</t>
  </si>
  <si>
    <t>Brightmoor Nursing Center</t>
  </si>
  <si>
    <t>Brookridge Retirement Community</t>
  </si>
  <si>
    <t>Brunswick Cove Nursing Center</t>
  </si>
  <si>
    <t>Cardinal Healthcare &amp; Rehab Center</t>
  </si>
  <si>
    <t>Carolina Pines at Greensboro</t>
  </si>
  <si>
    <t>Carolina Rehab Center Of Burke</t>
  </si>
  <si>
    <t>Carrington Place</t>
  </si>
  <si>
    <t>Carver Living Center</t>
  </si>
  <si>
    <t>Cary Health &amp; Rehab Center</t>
  </si>
  <si>
    <t>Central Continuing Care</t>
  </si>
  <si>
    <t>Charlotte Health &amp; Rehab Center</t>
  </si>
  <si>
    <t>Clay County Care Center</t>
  </si>
  <si>
    <t>Clear Creek Nursing &amp; Rehabilitation Center</t>
  </si>
  <si>
    <t>Cleveland Pines</t>
  </si>
  <si>
    <t>College Pines Rehabilitation and Skilled Nursing Facility</t>
  </si>
  <si>
    <t xml:space="preserve">Compass Healthcare and Rehab Guilford </t>
  </si>
  <si>
    <t>COMPASS HEALTHCARE AND REHAB HAWFIE</t>
  </si>
  <si>
    <t>Compass Healthcare and Rehab Rowan</t>
  </si>
  <si>
    <t>Conover Nursing &amp; Rehab Center</t>
  </si>
  <si>
    <t>Courtland Terrace</t>
  </si>
  <si>
    <t>Croasdaile Village</t>
  </si>
  <si>
    <t>Cross Creek Health Care</t>
  </si>
  <si>
    <t>Crystal Bluffs Rehabilitation &amp; Health Care Center</t>
  </si>
  <si>
    <t>Currituck Health &amp; Rehab Center</t>
  </si>
  <si>
    <t>Cypress Pointe Rehabilitation Center</t>
  </si>
  <si>
    <t>Davie Nursing &amp; Rehabilitation Center</t>
  </si>
  <si>
    <t>Davis Health Care Center</t>
  </si>
  <si>
    <t>Deer Park Health &amp; Rehabilitation</t>
  </si>
  <si>
    <t xml:space="preserve">Eckerd Living Center </t>
  </si>
  <si>
    <t>Edgewood Place At The Village-Brookwood</t>
  </si>
  <si>
    <t>Elderberry Health Care</t>
  </si>
  <si>
    <t>Emerald Health &amp; Rehab Center</t>
  </si>
  <si>
    <t>Emerald Ridge Rehab &amp; Care Center</t>
  </si>
  <si>
    <t>Fair Haven Home, Inc.</t>
  </si>
  <si>
    <t>Five Oaks Manor</t>
  </si>
  <si>
    <t>Flesher'S Fairview Healthcare Center</t>
  </si>
  <si>
    <t>Forrest Oakes Healthcare Center</t>
  </si>
  <si>
    <t>Fountains At The Albemarle</t>
  </si>
  <si>
    <t>Friends Homes - Guilford</t>
  </si>
  <si>
    <t>Friends Homes - West</t>
  </si>
  <si>
    <t>Givens Health Center</t>
  </si>
  <si>
    <t xml:space="preserve">Givens Highland Farms </t>
  </si>
  <si>
    <t>Glenaire, Inc.</t>
  </si>
  <si>
    <t>Glenbridge Health And Rehabilitation</t>
  </si>
  <si>
    <t>Glenflora</t>
  </si>
  <si>
    <t>Golden Years Nursing Home</t>
  </si>
  <si>
    <t xml:space="preserve">Grace Heights Rehabilitation and Skilled Nursing Facility </t>
  </si>
  <si>
    <t>Graybrier Nursing And Retirement Center</t>
  </si>
  <si>
    <t>Guilford Health Care Center</t>
  </si>
  <si>
    <t>Haymount Rehab &amp; Nursing Center</t>
  </si>
  <si>
    <t>Haywood Nursing &amp; Rehabilitation Center</t>
  </si>
  <si>
    <t>Heartland Living &amp; Rehab @ The Moses H Cone Mem</t>
  </si>
  <si>
    <t>Hillcrest Convalescent Center, Inc.</t>
  </si>
  <si>
    <t xml:space="preserve">Hillcrest Raleigh at Crabtree Valley </t>
  </si>
  <si>
    <t>Hillside Nursing Center</t>
  </si>
  <si>
    <t>Hugh Chatham Memorial Hospital</t>
  </si>
  <si>
    <t>Hunter Woods Nursing And Rehab Center</t>
  </si>
  <si>
    <t>Huntersville Health &amp; Rehab</t>
  </si>
  <si>
    <t>Huntersville Oaks</t>
  </si>
  <si>
    <t>Iredell Memorial Hospital, Incorporated</t>
  </si>
  <si>
    <t>Jesse Helms Nursing Center</t>
  </si>
  <si>
    <t>Kenansville  Health &amp; Rehab Center</t>
  </si>
  <si>
    <t>Kindred Hospital-Greensboro</t>
  </si>
  <si>
    <t>Lake Park Nursing And Rehab Center</t>
  </si>
  <si>
    <t>Lenoir Healthcare Center</t>
  </si>
  <si>
    <t>Lexington Health Care Center</t>
  </si>
  <si>
    <t>Liberty Commons N&amp;R Ctr Of Columbus Cty</t>
  </si>
  <si>
    <t>Liberty Commons N&amp;R Ctr. Of Halifax Cty</t>
  </si>
  <si>
    <t>Liberty Commons N&amp;R Ctr. Of Johnston Cty</t>
  </si>
  <si>
    <t>Liberty Commons N&amp;R Ctr. Of Lee County</t>
  </si>
  <si>
    <t>Liberty Commons N&amp;R Ctr. Of Rowan County</t>
  </si>
  <si>
    <t>Liberty Commons Nursing &amp; Rehab Center of Alamance Cty</t>
  </si>
  <si>
    <t>Liberty Commons Nursing &amp; Rehab Center of Southport</t>
  </si>
  <si>
    <t>Liberty Commons Nursing &amp; Rehab Center of Watauga County</t>
  </si>
  <si>
    <t>Liberty Commons Nursing &amp; Rehab Ctr of Person Cty</t>
  </si>
  <si>
    <t>Liberty Commons Nursing And Rehab Center Of Bladen County</t>
  </si>
  <si>
    <t>Liberty Commons Nursing And Rehab Center Of Franklin County</t>
  </si>
  <si>
    <t>Liberty Commons Nursing And Rehab Center Of Moore County</t>
  </si>
  <si>
    <t>Liberty Commons Rehabilitation Center</t>
  </si>
  <si>
    <t>Life Care Center Of Banner Elk</t>
  </si>
  <si>
    <t>Life Care Center Of Hendersonville</t>
  </si>
  <si>
    <t>Lincolnton Rehabilitation Center</t>
  </si>
  <si>
    <t>Litchford Falls Healthcare &amp; Rehab</t>
  </si>
  <si>
    <t>Lutheran Home At Trinity Oaks, Inc.</t>
  </si>
  <si>
    <t>Mary Gran Nursing Center</t>
  </si>
  <si>
    <t>Maryfield Nursing Home</t>
  </si>
  <si>
    <t>Mountain Ridge Wellness Center</t>
  </si>
  <si>
    <t>Mountain View Manor</t>
  </si>
  <si>
    <t>Mountain Vista Health Park</t>
  </si>
  <si>
    <t>Northern Hospital Of Surry County-Ltc</t>
  </si>
  <si>
    <t>Oak Grove Health Care Center</t>
  </si>
  <si>
    <t xml:space="preserve">Olde Knox Commons </t>
  </si>
  <si>
    <t>Our Community Hospital-Ltc</t>
  </si>
  <si>
    <t>Peak Resources - Brookshire</t>
  </si>
  <si>
    <t>Peak Resources - Charlotte</t>
  </si>
  <si>
    <t>Peak Resources - Cherryville</t>
  </si>
  <si>
    <t>Peak Resources - Gastonia</t>
  </si>
  <si>
    <t>Peak Resources - Pinelake</t>
  </si>
  <si>
    <t>Peak Resources - Shelby</t>
  </si>
  <si>
    <t>Peak Resources Alamance</t>
  </si>
  <si>
    <t>Peak Resources Outer Banks</t>
  </si>
  <si>
    <t>Peak Resources-Wilmington</t>
  </si>
  <si>
    <t>Pelican Health at Asheville</t>
  </si>
  <si>
    <t xml:space="preserve">Pelican Health at Charlotte </t>
  </si>
  <si>
    <t>Pelican Health Henderson</t>
  </si>
  <si>
    <t>Pelican Health Randolph</t>
  </si>
  <si>
    <t>Pelican Health Reidsville</t>
  </si>
  <si>
    <t>Pelican Health Thomasville</t>
  </si>
  <si>
    <t>Pender Memorial Hospital Snf</t>
  </si>
  <si>
    <t>Penick Village</t>
  </si>
  <si>
    <t>Penn Nursing Center</t>
  </si>
  <si>
    <t xml:space="preserve">Person Memorial Hospital </t>
  </si>
  <si>
    <t>Pettigrew Rehabilitation Center</t>
  </si>
  <si>
    <t>Piedmont Crossing</t>
  </si>
  <si>
    <t>Pineville Rehab &amp; Living Center</t>
  </si>
  <si>
    <t>Pisgah Manor, Inc.</t>
  </si>
  <si>
    <t>Prodigy Transitional Rehab</t>
  </si>
  <si>
    <t>Raleigh Rehabilitation Center</t>
  </si>
  <si>
    <t>Rex Rehab &amp; Nursing Center of Apex</t>
  </si>
  <si>
    <t>Rex Rehab &amp; Nursing Center of Raleigh</t>
  </si>
  <si>
    <t>Rickman Nursing Care Center</t>
  </si>
  <si>
    <t>Ridgewood Living &amp; Rehabilitation Center</t>
  </si>
  <si>
    <t>River Landing At Sandy Ridge</t>
  </si>
  <si>
    <t>Rocky Mount Rehabilitation Center</t>
  </si>
  <si>
    <t>Salemtowne</t>
  </si>
  <si>
    <t>Sanford Health And Rehabilitation</t>
  </si>
  <si>
    <t>Sardis Oaks</t>
  </si>
  <si>
    <t>Saturn Nursing And Rehabilitation</t>
  </si>
  <si>
    <t>Scotia Village</t>
  </si>
  <si>
    <t>Shaire Nursing Center</t>
  </si>
  <si>
    <t>Shoreland Healthcare</t>
  </si>
  <si>
    <t>Silas Creek Rehabilitation Center</t>
  </si>
  <si>
    <t>Silver Bluff, Inc.</t>
  </si>
  <si>
    <t>Skyland Care Center</t>
  </si>
  <si>
    <t>Smoky Ridge Health &amp; Rehabilitation</t>
  </si>
  <si>
    <t>Southwood Nursing &amp; Retirement Center</t>
  </si>
  <si>
    <t>St Joseph Of The Pines</t>
  </si>
  <si>
    <t>Stanley Total Living Center</t>
  </si>
  <si>
    <t>Stanly Manor,Inc.</t>
  </si>
  <si>
    <t>Stokes County Nursing Home</t>
  </si>
  <si>
    <t>Sunnybrook Rehabilitation Center</t>
  </si>
  <si>
    <t>The Carrolton of Plymouth</t>
  </si>
  <si>
    <t>THE CITADEL AT MOORESVILLE</t>
  </si>
  <si>
    <t>The Citadel at Myers Park</t>
  </si>
  <si>
    <t>THE CITADEL AT SALISBURY</t>
  </si>
  <si>
    <t>The Citadel at Winston Salem</t>
  </si>
  <si>
    <t>The Citadel Elizabeth City</t>
  </si>
  <si>
    <t>The Ivy at Gastonia</t>
  </si>
  <si>
    <t>The Laurels Of Chatham</t>
  </si>
  <si>
    <t>The Laurels Of Forest Glenn</t>
  </si>
  <si>
    <t>The Laurels Of Greentree Ridge</t>
  </si>
  <si>
    <t>The Laurels Of Hendersonville</t>
  </si>
  <si>
    <t>The Laurels Of Salisbury</t>
  </si>
  <si>
    <t>The Laurels Of Summit Ridge</t>
  </si>
  <si>
    <t>The Lodge at Rocky Mount</t>
  </si>
  <si>
    <t>The Margate Health &amp; Rehab Center</t>
  </si>
  <si>
    <t>The Oaks</t>
  </si>
  <si>
    <t>The Oaks At Sweeten Creek</t>
  </si>
  <si>
    <t>The Oaks-Brevard</t>
  </si>
  <si>
    <t>The Shannon Gray Rehab &amp; Recovery Center</t>
  </si>
  <si>
    <t>Three Rivers Health And Rehab Center</t>
  </si>
  <si>
    <t>Ths Of Kannapolis</t>
  </si>
  <si>
    <t>Trent Village Nursing Home</t>
  </si>
  <si>
    <t>Treyburn Rehabilitation Center</t>
  </si>
  <si>
    <t>Trinity Elms</t>
  </si>
  <si>
    <t>Trinity Glen</t>
  </si>
  <si>
    <t>Trinity Grove</t>
  </si>
  <si>
    <t>Trinity Place</t>
  </si>
  <si>
    <t>Trinity Ridge</t>
  </si>
  <si>
    <t>Trinity Village</t>
  </si>
  <si>
    <t>Twin Lakes Community</t>
  </si>
  <si>
    <t>UNC Rockingham Rehabilitation &amp; Nursing Care Center</t>
  </si>
  <si>
    <t>Universal Health Care Greenville</t>
  </si>
  <si>
    <t>Universal Health Care Lillington</t>
  </si>
  <si>
    <t>Universal Health Care Oxford</t>
  </si>
  <si>
    <t>Universal Healthcare - Blumenthal</t>
  </si>
  <si>
    <t>Universal Healthcare - King</t>
  </si>
  <si>
    <t>Universal Healthcare - North Raleigh</t>
  </si>
  <si>
    <t>Universal Healthcare / Brunswick Inc.</t>
  </si>
  <si>
    <t>Universal Healthcare And Rehabilitation</t>
  </si>
  <si>
    <t>Universal Healthcare/Fuquay-Varina</t>
  </si>
  <si>
    <t>Valley Nursing Center</t>
  </si>
  <si>
    <t>Valley View Care &amp; Rehab Center</t>
  </si>
  <si>
    <t>Vero Health &amp; Rehab of Sylva</t>
  </si>
  <si>
    <t>Village Care Of King</t>
  </si>
  <si>
    <t>Wadesboro Health &amp; Rehab Center</t>
  </si>
  <si>
    <t>Walnut Cove Healthcare Center</t>
  </si>
  <si>
    <t>Warren Hills Nursing Center</t>
  </si>
  <si>
    <t>Wesley Pines</t>
  </si>
  <si>
    <t>Westchester Manor At Providence Place</t>
  </si>
  <si>
    <t>Westwood Health &amp; Rehab Center</t>
  </si>
  <si>
    <t>Whispering Pines Nursing Home</t>
  </si>
  <si>
    <t>White Oak Manor Burlington Inc</t>
  </si>
  <si>
    <t>White Oak Manor Charlotte Inc</t>
  </si>
  <si>
    <t>White Oak Manor Kings Mountain Inc</t>
  </si>
  <si>
    <t>White Oak Manor Shelby Inc</t>
  </si>
  <si>
    <t>White Oak Manor Tryon Inc</t>
  </si>
  <si>
    <t>Wilkesboro Health &amp; Rehab</t>
  </si>
  <si>
    <t>Willow Ridge Of North Carolina, Llc</t>
  </si>
  <si>
    <t>Willowbrook Healthcare Center</t>
  </si>
  <si>
    <t>Wilora Lake Healthcare Center</t>
  </si>
  <si>
    <t>Woodbury Wellness Center</t>
  </si>
  <si>
    <t xml:space="preserve">Woodland Hill Center </t>
  </si>
  <si>
    <t>Woodlands Nursing &amp; Rehabilitation Center</t>
  </si>
  <si>
    <t>Yadkin Nursing Care Center, Inc.</t>
  </si>
  <si>
    <t>Zebulon Rehabilitation Center</t>
  </si>
  <si>
    <t>Premier Living And Rehab Center</t>
  </si>
  <si>
    <t>% of Neutralized Direct_CMI to Total</t>
  </si>
  <si>
    <t>Sq Ft per Bed</t>
  </si>
  <si>
    <t/>
  </si>
  <si>
    <t>Total Square Feet</t>
  </si>
  <si>
    <t>Total nursing sq ft per bed</t>
  </si>
  <si>
    <t>Enter the facility NPI</t>
  </si>
  <si>
    <t>Hypothetical Medicaid CMI*</t>
  </si>
  <si>
    <t>Difference between Hypothetical Model and Normal Rate Model</t>
  </si>
  <si>
    <t>HYPOTHETICAL RATE CALCULATION</t>
  </si>
  <si>
    <t>Note - This calculation reflects the hypothetical Medicaid case-mix that was entered in addition to any FRV changes made on the "FRV Rate Calculation" tab.</t>
  </si>
  <si>
    <t>(optional)</t>
  </si>
  <si>
    <t>For convenience, the official state rate file has been included in one of the tabs of this file.</t>
  </si>
  <si>
    <t>Uniform COVID Add-on - see Note</t>
  </si>
  <si>
    <t>Only cells that are shaded can be safely modified.  Editing of any others cells is done so at the risk of the user.  Although some worksheets may be protected, this protection can be removed without a password.</t>
  </si>
  <si>
    <t>FRV Rate Calculation tab</t>
  </si>
  <si>
    <t>The figures on this tab that are in bold and italics are imported from the Medicaid rate model data based on the NPI that was entered on the Rate Calculation tab.</t>
  </si>
  <si>
    <r>
      <rPr>
        <b/>
        <sz val="10"/>
        <rFont val="Arial"/>
        <family val="2"/>
      </rPr>
      <t>Actual Facility Data:</t>
    </r>
    <r>
      <rPr>
        <sz val="10"/>
        <rFont val="Arial"/>
        <family val="2"/>
      </rPr>
      <t xml:space="preserve"> This column presents the calculation methodology from the Medicaid rate model.</t>
    </r>
  </si>
  <si>
    <r>
      <rPr>
        <b/>
        <sz val="10"/>
        <rFont val="Arial"/>
        <family val="2"/>
      </rPr>
      <t>Current Facility Renovated to the Age of a New Building:</t>
    </r>
    <r>
      <rPr>
        <sz val="10"/>
        <rFont val="Arial"/>
        <family val="2"/>
      </rPr>
      <t xml:space="preserve"> This column shows the FRV calculation of this facility renovated to a "new" facility.</t>
    </r>
  </si>
  <si>
    <r>
      <rPr>
        <b/>
        <sz val="10"/>
        <rFont val="Arial"/>
        <family val="2"/>
      </rPr>
      <t xml:space="preserve">Replacement Building w/ 700 sq ft per bed: </t>
    </r>
    <r>
      <rPr>
        <sz val="10"/>
        <rFont val="Arial"/>
        <family val="2"/>
      </rPr>
      <t>This column shows the FRV calculation of this facility renovated to a "new" facility with 700 sq ft per bed.</t>
    </r>
  </si>
  <si>
    <t>Several columns of calculations are presented:</t>
  </si>
  <si>
    <t>Modification 1</t>
  </si>
  <si>
    <t>Modification 2</t>
  </si>
  <si>
    <t>Modification 3</t>
  </si>
  <si>
    <t>Modification 4</t>
  </si>
  <si>
    <t>Modification 5</t>
  </si>
  <si>
    <t>Modification 6</t>
  </si>
  <si>
    <t>add=1. Replacement=2, renov=3</t>
  </si>
  <si>
    <t>Facility</t>
  </si>
  <si>
    <t>Abbotts Creek Care And Rehabilition Center</t>
  </si>
  <si>
    <t>Accordius Health At Brevard</t>
  </si>
  <si>
    <t>Accordius Health At Clemmons</t>
  </si>
  <si>
    <t>Accordius Health At Creekside</t>
  </si>
  <si>
    <t>Accordius Health At Gastonia</t>
  </si>
  <si>
    <t>Accordius Health At Lexington</t>
  </si>
  <si>
    <t>Accordius Health At Salisbury</t>
  </si>
  <si>
    <t>Accordius Health At Scotland Manor</t>
  </si>
  <si>
    <t>Accordius Health At Wilmington</t>
  </si>
  <si>
    <t>Accordius Health At Winston-Salem</t>
  </si>
  <si>
    <t>Accordius Heath At Asheville</t>
  </si>
  <si>
    <t>Adams Farm And Living Rehab</t>
  </si>
  <si>
    <t>Alleghany Care And Rehabilitation Center</t>
  </si>
  <si>
    <t>Anson Health And Rehabilitation, Llc</t>
  </si>
  <si>
    <t>Asbury Health And Rehabilitation Center</t>
  </si>
  <si>
    <t>Ashton Health And Rehabilitation</t>
  </si>
  <si>
    <t>Autumn Care Of Cornelius</t>
  </si>
  <si>
    <t>Autumn Care Of Fayetteville</t>
  </si>
  <si>
    <t>Ayden Court Nursing And Rehabilitation Center</t>
  </si>
  <si>
    <t>Azalea Health And Rehab Center</t>
  </si>
  <si>
    <t>Barbour Court Nursing And Rehabilitation Center</t>
  </si>
  <si>
    <t>Bellarose Nursing And Rehabilitation Center</t>
  </si>
  <si>
    <t>Bermuda Village Retirement Center</t>
  </si>
  <si>
    <t>Bethany Woods Nursing And Rehabilitation Center</t>
  </si>
  <si>
    <t>Bladen East Health And Rehabilitation Center</t>
  </si>
  <si>
    <t xml:space="preserve">Blue Ridge Health And Rehabilitation Center </t>
  </si>
  <si>
    <t>Brunswick Health And Rehabilitation Center</t>
  </si>
  <si>
    <t>Camden Health And Rehabilitation</t>
  </si>
  <si>
    <t>Carolina Care Health And Rehabilitation</t>
  </si>
  <si>
    <t>Carolina Pines At Asheville</t>
  </si>
  <si>
    <t>Carolina Rehab Center of Cumberland</t>
  </si>
  <si>
    <t>Carolina Rivers Nursing And Rehabilitation Center</t>
  </si>
  <si>
    <t>Cherry Point Bay Nursing And Rehabilitation Center</t>
  </si>
  <si>
    <t>Chowan River Nursing And Rehabilitation Center</t>
  </si>
  <si>
    <t>Clapp'S Convalescent Nursing Home, Inc.</t>
  </si>
  <si>
    <t>Clapp'S Nursing Center, Inc.</t>
  </si>
  <si>
    <t>Cornerstone Nursing And Rehabilitation Center</t>
  </si>
  <si>
    <t>Croatan Ridge Nursing And Rehabilitation Center</t>
  </si>
  <si>
    <t>Cumberland Nursing And Rehabilitation Center</t>
  </si>
  <si>
    <t>Davis Health And Wellness Center At Cambridge Village</t>
  </si>
  <si>
    <t>Durham Nursing And Rehabilitation Center</t>
  </si>
  <si>
    <t>East Carolina Rehab And Wellness</t>
  </si>
  <si>
    <t>Edgecombe Health &amp; Rehab Ctr by Harborview</t>
  </si>
  <si>
    <t>Edwin Morgan Center/Scotland Mem Hosp</t>
  </si>
  <si>
    <t>Elizabeth City Health And Rehabilitation Center</t>
  </si>
  <si>
    <t>I</t>
  </si>
  <si>
    <t>Enfield Oaks Nursing And Rehabilitation Center</t>
  </si>
  <si>
    <t>Fair Haven At Forest City</t>
  </si>
  <si>
    <t>Franklin Oaks Nursing And Rehabilitation Center</t>
  </si>
  <si>
    <t>Gateway Rehabilitation And Healthcare</t>
  </si>
  <si>
    <t>Graham Healthcare And Rehabilitation Center</t>
  </si>
  <si>
    <t>Grantsbrook Nursing And Rehabilitation Center</t>
  </si>
  <si>
    <t>Greendale Forest Nursing And Rehabilitation Center</t>
  </si>
  <si>
    <t>Greenhaven Health And Rehabilitation Center</t>
  </si>
  <si>
    <t>Harborview Lumberton</t>
  </si>
  <si>
    <t xml:space="preserve">Harborview Rehabilitation And Healthcare </t>
  </si>
  <si>
    <t>Harmony Hall Nursing And Rehabilitation Center</t>
  </si>
  <si>
    <t>Harnett Woods Nursing And Rehabilitation Center</t>
  </si>
  <si>
    <t>Hendersonville Health And Rehabilitation</t>
  </si>
  <si>
    <t>Hickory Falls Health And Rehabilitation</t>
  </si>
  <si>
    <t>Highland Acres Nursing And Rehabilitation Center</t>
  </si>
  <si>
    <t>Highland House Rehabilitation And Healthcare</t>
  </si>
  <si>
    <t>Hunter Hills Nursing And Rehabilitation Center</t>
  </si>
  <si>
    <t>Jacob'S Creek Nursing And Rehabilitation Center</t>
  </si>
  <si>
    <t>Kerr Lake Nursing And Rehabilitation Center</t>
  </si>
  <si>
    <t>Lenoir Memorial Hospital-Nf</t>
  </si>
  <si>
    <t>D</t>
  </si>
  <si>
    <t>MacGregor Downs Health Center by Harborview</t>
  </si>
  <si>
    <t>Macon Valley Nursing And Rehabilitation Center</t>
  </si>
  <si>
    <t>Madison Manor Rehabilitation And Nursing Center</t>
  </si>
  <si>
    <t>Maggie Valley Nursing And Rehabilitation</t>
  </si>
  <si>
    <t>Magnolia Lane Nursing And Rehabilitation Center</t>
  </si>
  <si>
    <t>Maple Grove Health And Rehabilitation Center</t>
  </si>
  <si>
    <t xml:space="preserve">Mecklenburg Health And Rehabilitation Center </t>
  </si>
  <si>
    <t>Monroe Rehabilitation Center</t>
  </si>
  <si>
    <t>Mount Olive Care And Rehabilitation Center</t>
  </si>
  <si>
    <t xml:space="preserve">Murphy Rehabilitation And Nursing </t>
  </si>
  <si>
    <t>Northchase Nursing And Rehabilitation Center</t>
  </si>
  <si>
    <t>Northhampton Nursing And Rehabilitation Center</t>
  </si>
  <si>
    <t>Oak Forest Health And Rehabilitation</t>
  </si>
  <si>
    <t>Parkview Health And Rehabilitation</t>
  </si>
  <si>
    <t>Pavillion Health Center At Brightmore</t>
  </si>
  <si>
    <t>Pembroke Care And Rehabilitation Center</t>
  </si>
  <si>
    <t>Pine Ridge Health And Rehabilitation Center</t>
  </si>
  <si>
    <t>Piney Grove Nursing And Rehabilitation Center</t>
  </si>
  <si>
    <t>Premier Nursing And Rehabilitation Center</t>
  </si>
  <si>
    <t>Presbyterian Orthopaedic Hospital, Llc</t>
  </si>
  <si>
    <t>Pruitthealth-Carolina Point</t>
  </si>
  <si>
    <t>Pruitthealth-Durham Llc</t>
  </si>
  <si>
    <t>Pruitthealth-Elkin</t>
  </si>
  <si>
    <t>Pruitthealth-Farmville</t>
  </si>
  <si>
    <t>Pruitthealth-High Point</t>
  </si>
  <si>
    <t>Pruitthealth-Neuse</t>
  </si>
  <si>
    <t>Pruitthealth-Raleigh</t>
  </si>
  <si>
    <t>Pruitthealth-Rockingham</t>
  </si>
  <si>
    <t>Pruitthealth-Sealevel</t>
  </si>
  <si>
    <t>Pruitthealth-Town Center</t>
  </si>
  <si>
    <t>Pruitthealth-Trent</t>
  </si>
  <si>
    <t>Pruitthealth-Union Pointe</t>
  </si>
  <si>
    <t>Quail Haven Healthcare Center Of Pinehurst</t>
  </si>
  <si>
    <t>Rich Square Nursing And Rehabilitation</t>
  </si>
  <si>
    <t>Richmond Pines Heathcare And Rehabilitation Center</t>
  </si>
  <si>
    <t>River Trace Nursing And Rehabilitation Center</t>
  </si>
  <si>
    <t>Riverpoint Crest Nursing And Rehabilitation Center</t>
  </si>
  <si>
    <t>Roanoke River Nursing And Rehabilitation Center</t>
  </si>
  <si>
    <t xml:space="preserve">Royal Park Rehabilitation &amp; Health Center Of Matthews </t>
  </si>
  <si>
    <t>Sampson Regional Medical Center</t>
  </si>
  <si>
    <t>Scottish Pines Rehabilitation And Nursing Center</t>
  </si>
  <si>
    <t>Senior Citizen'S Home, Inc.</t>
  </si>
  <si>
    <t>Signature Healthcare Of Chapel Hill</t>
  </si>
  <si>
    <t>Signature Healthcare Of Kinston</t>
  </si>
  <si>
    <t>Signature Healthcare Of Roanoke Rapids</t>
  </si>
  <si>
    <t>Siler City Care And Rehabilitation Center</t>
  </si>
  <si>
    <t>Smithfield Manor Nursing And Rehab</t>
  </si>
  <si>
    <t>Smoky Mountain Health And Rehabilitation Center</t>
  </si>
  <si>
    <t>Snug Harbor</t>
  </si>
  <si>
    <t>Southport Nursing Center</t>
  </si>
  <si>
    <t>Springbrook Nursing And Rehabilitation Center</t>
  </si>
  <si>
    <t>Stone Creek Health And Rehabilitation</t>
  </si>
  <si>
    <t>Summerstone Health And Rehabilitation Center</t>
  </si>
  <si>
    <t>Surry Community Health Ctr of Harborview</t>
  </si>
  <si>
    <t>The Greens At Pinehurst Rehab &amp; Living Center</t>
  </si>
  <si>
    <t>The Laurels Of Pender</t>
  </si>
  <si>
    <t>The Lodge At Mills River</t>
  </si>
  <si>
    <t>The Oaks At Whitaker Glen-Mayview</t>
  </si>
  <si>
    <t>Tower Nursing And Rehabilitation Center</t>
  </si>
  <si>
    <t>Triad Care And Rehabilitation Center</t>
  </si>
  <si>
    <t>Tsali Care Center</t>
  </si>
  <si>
    <t>Twin Lakes Community Memory Care</t>
  </si>
  <si>
    <t>Universal Health Care - Nashville</t>
  </si>
  <si>
    <t>Universal Healthcare of Fletcher</t>
  </si>
  <si>
    <t>Universal Healthcare of Ramseur</t>
  </si>
  <si>
    <t>University Place Nursing And Rehabiliation Center</t>
  </si>
  <si>
    <t>Village Green Health And Rehabilitation</t>
  </si>
  <si>
    <t>Wake Med For Zebulon</t>
  </si>
  <si>
    <t>Wakemed Fuquay Varina</t>
  </si>
  <si>
    <t>Warsaw Health And Rehab</t>
  </si>
  <si>
    <t>Wellington Nursing And Rehab Center</t>
  </si>
  <si>
    <t>Westfield Rehabilitation And Health Center</t>
  </si>
  <si>
    <t>Westwood Hills Nursing And Rehabilitation Center</t>
  </si>
  <si>
    <t>White Oak Of Waxhaw</t>
  </si>
  <si>
    <t>Whitestone:  A Masonic And Eastern Star Community</t>
  </si>
  <si>
    <t>Willow Creek Nursing And Rehabilitation Center</t>
  </si>
  <si>
    <t>Wilson Pines Nursing And Rehabilitation Center</t>
  </si>
  <si>
    <t>Wilson Rehabilitation And Nursing Ctr</t>
  </si>
  <si>
    <t>Woodhaven Nursing &amp; Alzheimer'S Care Ctr</t>
  </si>
  <si>
    <t>Renovation 1</t>
  </si>
  <si>
    <t>Type of Submission</t>
  </si>
  <si>
    <t>Year of Renovation</t>
  </si>
  <si>
    <t>Cost/# of Beds</t>
  </si>
  <si>
    <t>Renovation 2</t>
  </si>
  <si>
    <t>Renovation 3</t>
  </si>
  <si>
    <t>Renovation 4</t>
  </si>
  <si>
    <t>Renovation 5</t>
  </si>
  <si>
    <t>Renovation 6</t>
  </si>
  <si>
    <t>Types of Submissions:</t>
  </si>
  <si>
    <t>1 - bed addition</t>
  </si>
  <si>
    <t>2 - bed replacement</t>
  </si>
  <si>
    <t>3 - renovation</t>
  </si>
  <si>
    <t>Rate Calculation tab</t>
  </si>
  <si>
    <t>This tab shows the calculation of the total rate, including COVID rate enhancements and the rate hold harmless comparison.</t>
  </si>
  <si>
    <t>FRV Instructions tab</t>
  </si>
  <si>
    <t>This tab providers instructions on the completion of the FRV Rate Calculation tab.</t>
  </si>
  <si>
    <t>This tab shows the calculation of the current FRV rates as well as several FRV calculations, including those for a new facility of the same square footage, a new facility with the maximum square footage, and one reflecting user input variables.</t>
  </si>
  <si>
    <t>Capital Data Survey Information</t>
  </si>
  <si>
    <t>New Age - post renovation</t>
  </si>
  <si>
    <t>Below are the Capital Data Survey items submitted for years 2016 and later.  This information comes from the Medicaid rate model.</t>
  </si>
  <si>
    <t>This tab shows the Capital Data Survey items submitted for 2016 and later that are included in the Medicaid rate model.</t>
  </si>
  <si>
    <t>Facility Name (optional)</t>
  </si>
  <si>
    <t>NPIs of "new" facilities in the rate model.</t>
  </si>
  <si>
    <t>Average Direct Rate</t>
  </si>
  <si>
    <t xml:space="preserve">This value changes each quarter.  </t>
  </si>
  <si>
    <t>Average CMI</t>
  </si>
  <si>
    <t>This value is used to normalize the average direct rate.</t>
  </si>
  <si>
    <t>CMI Percentage</t>
  </si>
  <si>
    <t>New facilities have 65% of the ceiling adjusted.</t>
  </si>
  <si>
    <t>CMI Portion</t>
  </si>
  <si>
    <t>Non-CMI Portion</t>
  </si>
  <si>
    <t>Medicaid CMI</t>
  </si>
  <si>
    <t>&lt;------- Enter the facility Medicaid CMI here.</t>
  </si>
  <si>
    <t>Direct Rate</t>
  </si>
  <si>
    <t>Total Direct and Indirect Rate</t>
  </si>
  <si>
    <t>FRV Rate</t>
  </si>
  <si>
    <t>&lt;----FRV rate goes here</t>
  </si>
  <si>
    <t>&lt;----Provider Assessment goes here</t>
  </si>
  <si>
    <t>Total Rate</t>
  </si>
  <si>
    <t>NOTE - Due to differences in the rate calculations, this direct rate calculation may not be suitable for facilities considered by the state to be "waiver hospitals".</t>
  </si>
  <si>
    <t>Changes made in this column will be reflected below and in the Hypothetical Rate Calculation in the Rate Calculation tab.</t>
  </si>
  <si>
    <t>Accumulated Depreciation per Bed</t>
  </si>
  <si>
    <t>Revised Age</t>
  </si>
  <si>
    <t>Zip</t>
  </si>
  <si>
    <t>pt days</t>
  </si>
  <si>
    <t>annualized days</t>
  </si>
  <si>
    <t>beds</t>
  </si>
  <si>
    <t>Assessment Funded Rate Increase</t>
  </si>
  <si>
    <t>Medicaid Per Diem Rate (f+g+h+i+j)</t>
  </si>
  <si>
    <t>Minimum Days (c*366*.85)</t>
  </si>
  <si>
    <t>Greater of k or l</t>
  </si>
  <si>
    <t>**** - The direct rate calculation is different for "new" facilities.  A "new" facility is one that did not file a 2005 Medicaid cost report.  In addition, this calculation is not accurate for facilities considered by the state to be "waiver hospitals".</t>
  </si>
  <si>
    <t>* - A hypothetical rate can be calculated by entering any Medicaid CMI value.</t>
  </si>
  <si>
    <t>** - The FRV rate is inserted in the calculation based on the information NPI entered above.  There may be a minor difference due to specific facility situations.  To estimate impact of future FRV projects, enter the information on the FRV Rate Calculation tab.  Prior to using the FRV Rate Calculation tab, please read the FRV Instructions tab.</t>
  </si>
  <si>
    <t xml:space="preserve">Calculation of the FRV rates can be complex.  This Excel spreadsheet is designed to assist providers in the calculation and understanding of their FRV rates with minimal input.  </t>
  </si>
  <si>
    <t>This spreadsheet uses the same rate calculation methodology as the rate model used by the Division of Health Benefits (DHB), however, there may be minor differences due to rounding.  There may also be differences due to rate increase restrictions for providers above the maximum FRV age.  Only DHB can provide official notification of facility rates.</t>
  </si>
  <si>
    <r>
      <rPr>
        <b/>
        <sz val="10"/>
        <rFont val="Arial"/>
        <family val="2"/>
      </rPr>
      <t>User Defined Variables:</t>
    </r>
    <r>
      <rPr>
        <sz val="10"/>
        <rFont val="Arial"/>
        <family val="2"/>
      </rPr>
      <t xml:space="preserve"> This column allows the user to enter a hytpothetical square footage total and/or hypothetical renovation cost.</t>
    </r>
  </si>
  <si>
    <t xml:space="preserve">  The patient days used are from the 2020 cost report.  </t>
  </si>
  <si>
    <r>
      <t xml:space="preserve">This spreadsheet allows the user to calculate nursing facility Medicaid rates according to the retroactively implemented rate changes effective April 1, 2023.  These rates include the annual FRV system update, time weighted case-mix quarterly update and the $37.74 COVID rate enhancement. These rates use the Medicaid case-mix index for the quarter ending December 31, 2022.  </t>
    </r>
    <r>
      <rPr>
        <b/>
        <sz val="10"/>
        <rFont val="Arial"/>
        <family val="2"/>
      </rPr>
      <t>In order to use these worksheets, simply supply the requested information in the corresponding shaded cells.</t>
    </r>
  </si>
  <si>
    <t>April 2023 Fee Schedule</t>
  </si>
  <si>
    <t>This tab shows the April 2023 nursing facility Medicaid rate schedule prepared by NC Medicaid.</t>
  </si>
  <si>
    <t>4/1/23 to 6/30/23</t>
  </si>
  <si>
    <t>April 1-June 30, 2023 Medicaid Rate (m+n)</t>
  </si>
  <si>
    <t>Note - The 5%, 10% and $47.50 were ended as of 12/31/2022.  A temporary $37.74 add-on started on 1/1/2023.  If the April base rate is less than the January base rate, the January base rate is carried forward.</t>
  </si>
  <si>
    <t>4/1/23-3/31/24</t>
  </si>
  <si>
    <t>12/31/22 Medicaid CMI</t>
  </si>
  <si>
    <t>2022 Historical Cost Index from Rate Model</t>
  </si>
  <si>
    <t>Capped FRV Age</t>
  </si>
  <si>
    <t>Actual FRV Age</t>
  </si>
  <si>
    <t>Cost per sq ft</t>
  </si>
  <si>
    <t>NC Department of Health and Human Services</t>
  </si>
  <si>
    <t>Division of Health Benefits</t>
  </si>
  <si>
    <t>* Effective July 1, 2021, this posting constitutes official publication of the rates for each provider in lieu of individual facility rate letters.</t>
  </si>
  <si>
    <t>NC Medicaid Reimbursement Rates for Skilled Nursing Facilities</t>
  </si>
  <si>
    <t>Taxonomy: 314000000X</t>
  </si>
  <si>
    <t>Effective Dates: 04/01/2023-06/30/2023</t>
  </si>
  <si>
    <t>* with COVID-19 Rates *</t>
  </si>
  <si>
    <t>* Note: If the 04/01/2023 rates calculated to be lower than the 1/01/2023 rates, the 1/01/2023 rate remains effective 04/01/2023.</t>
  </si>
  <si>
    <t>Facility Name</t>
  </si>
  <si>
    <t xml:space="preserve">01/01/2023 Final Rate
</t>
  </si>
  <si>
    <t>04/01/2023 CMI</t>
  </si>
  <si>
    <t>04/01/2023 Indirect</t>
  </si>
  <si>
    <t>04/01/2023 Direct</t>
  </si>
  <si>
    <t>04/01/2023
FRV</t>
  </si>
  <si>
    <t>04/01/2023 Assessment</t>
  </si>
  <si>
    <r>
      <rPr>
        <b/>
        <sz val="10"/>
        <color rgb="FFFF0000"/>
        <rFont val="Arial"/>
        <family val="2"/>
      </rPr>
      <t>MM/DD/YYYY</t>
    </r>
    <r>
      <rPr>
        <b/>
        <sz val="10"/>
        <rFont val="Arial"/>
        <family val="2"/>
      </rPr>
      <t xml:space="preserve"> Rate
w/5% &amp; 10% Increases</t>
    </r>
  </si>
  <si>
    <r>
      <t xml:space="preserve">FINAL RATE
</t>
    </r>
    <r>
      <rPr>
        <b/>
        <sz val="10"/>
        <color rgb="FFFF0000"/>
        <rFont val="Arial"/>
        <family val="2"/>
      </rPr>
      <t>04/01/2023</t>
    </r>
  </si>
  <si>
    <t>COVID-19
Add-on</t>
  </si>
  <si>
    <t>COVID-19 Enhanced Rate</t>
  </si>
  <si>
    <t>Abbotts Creek Care and Rehabilition Center</t>
  </si>
  <si>
    <t>Accordius Health at Brevard</t>
  </si>
  <si>
    <t>Accordius Health at Clemmons</t>
  </si>
  <si>
    <t>Accordius Health at Creekside</t>
  </si>
  <si>
    <t>Accordius Health at Gastonia</t>
  </si>
  <si>
    <t>Accordius Health at Lexington</t>
  </si>
  <si>
    <t>ACCORDIUS HEALTH AT SALISBURY</t>
  </si>
  <si>
    <t>Accordius Health at Scotland Manor</t>
  </si>
  <si>
    <t>Accordius Health at Wilmington</t>
  </si>
  <si>
    <t>Accordius Health at Winston-Salem</t>
  </si>
  <si>
    <t>Accordius Heath at Asheville</t>
  </si>
  <si>
    <t>Adams Farm and Living Rehab</t>
  </si>
  <si>
    <t>Alleghany Care and Rehabilitation Center</t>
  </si>
  <si>
    <t>Anson Health and Rehabilitation, LLC</t>
  </si>
  <si>
    <t>Asbury Health and Rehabilitation Center</t>
  </si>
  <si>
    <t>Ashton Health and Rehabilitation</t>
  </si>
  <si>
    <t>Autumn Care of Cornelius</t>
  </si>
  <si>
    <t>Autumn Care of Fayetteville</t>
  </si>
  <si>
    <t>Ayden Court Nursing and Rehabilitation Center</t>
  </si>
  <si>
    <t>Azalea Health and Rehab Center</t>
  </si>
  <si>
    <t>Barbour Court Nursing and Rehabilitation Center</t>
  </si>
  <si>
    <t>Bellarose Nursing and Rehabilitation Center</t>
  </si>
  <si>
    <t>Bethany Woods Nursing and Rehabilitation Center</t>
  </si>
  <si>
    <t>Bladen East Health and Rehabilitation Center</t>
  </si>
  <si>
    <t xml:space="preserve">Blue Ridge Health and Rehabilitation Center </t>
  </si>
  <si>
    <t>Brunswick Health and Rehabilitation Center</t>
  </si>
  <si>
    <t>Camden Health and Rehabilitation</t>
  </si>
  <si>
    <t xml:space="preserve">Capital Nursing and Rehabilitation </t>
  </si>
  <si>
    <t>Carolina Care Health and Rehabilitation</t>
  </si>
  <si>
    <t>Carolina Pines at Asheville</t>
  </si>
  <si>
    <t>Carolina Rivers Nursing and Rehabilitation Center</t>
  </si>
  <si>
    <t>Cherry Point Bay Nursing and Rehabilitation Center</t>
  </si>
  <si>
    <t>Chowan River Nursing and Rehabilitation Center</t>
  </si>
  <si>
    <t>Clapp's Convalescent Nursing Home, Inc.</t>
  </si>
  <si>
    <t>CLAPP'S NURSING CENTER, INC.</t>
  </si>
  <si>
    <t>Clayton Rehab and Healthcare Center</t>
  </si>
  <si>
    <t>Croatan Ridge Nursing and Rehabilitation Center</t>
  </si>
  <si>
    <t>Davis Health and Wellness Center at Cambridge Village</t>
  </si>
  <si>
    <t>Durham Rehab Operations, LLC</t>
  </si>
  <si>
    <t>East Carolina Rehab and Wellness</t>
  </si>
  <si>
    <t xml:space="preserve">Eden Rehab and Healthcare Center </t>
  </si>
  <si>
    <t>Elizabeth City Health and Rehabilitation Center</t>
  </si>
  <si>
    <t>Enfield Oaks Nursing and Rehabilitation Center</t>
  </si>
  <si>
    <t>Fair Haven at Forest City</t>
  </si>
  <si>
    <t>Franklin Oaks Nursing and Rehabilitation Center</t>
  </si>
  <si>
    <t>Gateway Rehabilitation and Healthcare</t>
  </si>
  <si>
    <t>Goldsboro Rehab and Healthcare Center</t>
  </si>
  <si>
    <t>Graham Healthcare and Rehabilitation Center</t>
  </si>
  <si>
    <t>Grantsbrook Nursing and Rehabilitation Center</t>
  </si>
  <si>
    <t>Greendale Forest Nursing and Rehabilitation Center</t>
  </si>
  <si>
    <t>Greenhaven Health and Rehabilitation Center</t>
  </si>
  <si>
    <t xml:space="preserve">Greens at Cabarrus </t>
  </si>
  <si>
    <t xml:space="preserve">Harborview Rehabilitation and Healthcare </t>
  </si>
  <si>
    <t>Harmony Hall Nursing and Rehabilitation Center</t>
  </si>
  <si>
    <t>Harnett Woods Nursing and Rehabilitation Center</t>
  </si>
  <si>
    <t>Hendersonville Health and Rehabilitation</t>
  </si>
  <si>
    <t>Hertford Rehab and Healthcare Center</t>
  </si>
  <si>
    <t>Hickory Falls Health and Rehabilitation</t>
  </si>
  <si>
    <t>Highland House Rehabilitation and Healthcare</t>
  </si>
  <si>
    <t>Jacob's Creek Nursing and Rehabilitation Center</t>
  </si>
  <si>
    <t>Kerr Lake Nursing and Rehabilitation Center</t>
  </si>
  <si>
    <t>Macon Valley Nursing and Rehabilitation Center</t>
  </si>
  <si>
    <t>Madison Manor Rehabilitation and Nursing Center</t>
  </si>
  <si>
    <t>Maggie Valley Nursing and Rehabilitation</t>
  </si>
  <si>
    <t>Magnolia Lane Nursing and Rehabilitation Center</t>
  </si>
  <si>
    <t>Maple Grove Health and Rehabilitation Center</t>
  </si>
  <si>
    <t xml:space="preserve">Mecklenburg Health and Rehabilitation Center </t>
  </si>
  <si>
    <t>Monroe Rehabilitation center</t>
  </si>
  <si>
    <t>Mount Olive Care and Rehabilitation Center</t>
  </si>
  <si>
    <t xml:space="preserve">Murphy Rehabilitation and Nursing </t>
  </si>
  <si>
    <t>NorthChase Nursing and Rehabilitation Center</t>
  </si>
  <si>
    <t>Northhampton Nursing and Rehabilitation Center</t>
  </si>
  <si>
    <t>Oak Forest Health and Rehabilitation</t>
  </si>
  <si>
    <t>Parkview Health and Rehabilitation</t>
  </si>
  <si>
    <t>Pavillion Health Center at Brightmore</t>
  </si>
  <si>
    <t>Pembroke Care and Rehabilitation Center</t>
  </si>
  <si>
    <t>Pine Ridge Health and Rehabilitation Center</t>
  </si>
  <si>
    <t>Piney Grove Nursing and Rehabilitation Center</t>
  </si>
  <si>
    <t>Premier Nursing and Rehabilitation Center</t>
  </si>
  <si>
    <t>PruittHealth-Carolina Point</t>
  </si>
  <si>
    <t>PruittHealth-Durham LLC</t>
  </si>
  <si>
    <t>PruittHealth-Elkin</t>
  </si>
  <si>
    <t>PruittHealth-Farmville</t>
  </si>
  <si>
    <t>PruittHealth-Neuse</t>
  </si>
  <si>
    <t>PruittHealth-Raleigh</t>
  </si>
  <si>
    <t>PruittHealth-Rockingham</t>
  </si>
  <si>
    <t>PruittHealth-SeaLevel</t>
  </si>
  <si>
    <t>PruittHealth-Town Center</t>
  </si>
  <si>
    <t>PruittHealth-Trent</t>
  </si>
  <si>
    <t>PruittHealth-Union Pointe</t>
  </si>
  <si>
    <t>Quail Haven Healthcare Center of Pinehurst</t>
  </si>
  <si>
    <t>Rich Square Nursing and Rehabilitation</t>
  </si>
  <si>
    <t>Richmond Pines Heathcare and Rehabilitation Center</t>
  </si>
  <si>
    <t>River Trace Nursing and Rehabilitation Center</t>
  </si>
  <si>
    <t>Riverpoint Crest Nursing and Rehabilitation Center</t>
  </si>
  <si>
    <t xml:space="preserve">Royal Park Rehabilitation &amp; Health Center of Matthews </t>
  </si>
  <si>
    <t>Scottish Pines Rehabilitation and Nursing Center</t>
  </si>
  <si>
    <t>Senior Citizen's Home, Inc.</t>
  </si>
  <si>
    <t>Signature HealthCARE of Chapel Hill</t>
  </si>
  <si>
    <t>Signature HealthCARE of Kinston</t>
  </si>
  <si>
    <t>Signature HealthCARE of Roanoke Rapids</t>
  </si>
  <si>
    <t>Siler City Care and Rehabilitation Center</t>
  </si>
  <si>
    <t>Smithfield Manor Nursing and Rehab</t>
  </si>
  <si>
    <t>Smoky Mountain Health and Rehabilitation Center</t>
  </si>
  <si>
    <t>Springbrook Nursing and Rehabilitation Center</t>
  </si>
  <si>
    <t>Stone Creek Health and Rehabilitation</t>
  </si>
  <si>
    <t>Summerstone Health and Rehabilitation Center</t>
  </si>
  <si>
    <t>The Carrolton of Dunn</t>
  </si>
  <si>
    <t>The Carrolton of Fayetteville</t>
  </si>
  <si>
    <t>The Carrolton of Lumberton</t>
  </si>
  <si>
    <t>The Carrolton of Nash</t>
  </si>
  <si>
    <t>The Carrolton of Williamston</t>
  </si>
  <si>
    <t xml:space="preserve">The Greens at Gastonia </t>
  </si>
  <si>
    <t xml:space="preserve">The Greens at Hendersonville </t>
  </si>
  <si>
    <t xml:space="preserve">The Greens at Hickory </t>
  </si>
  <si>
    <t xml:space="preserve">The Greens at Lincolnton </t>
  </si>
  <si>
    <t xml:space="preserve">The Greens at Maple Leaf </t>
  </si>
  <si>
    <t>The Greens at Pinehurst Rehab &amp; Living Center</t>
  </si>
  <si>
    <t xml:space="preserve">The Greens at Spruce Pines </t>
  </si>
  <si>
    <t xml:space="preserve">The Greens at Viewmont </t>
  </si>
  <si>
    <t xml:space="preserve">The Greens at Weaverville </t>
  </si>
  <si>
    <t>The Laurels of Pender</t>
  </si>
  <si>
    <t>The Lodge at Mills River</t>
  </si>
  <si>
    <t>The Oaks at Whitaker Glen-Mayview</t>
  </si>
  <si>
    <t>Tower Nursing and Rehabilitation Center</t>
  </si>
  <si>
    <t>Triad Care and Rehabilitation Center</t>
  </si>
  <si>
    <t>Universal Healthcare Of Fletcher</t>
  </si>
  <si>
    <t>Universal Healthcare Of Ramseur</t>
  </si>
  <si>
    <t>University Place Nursing and Rehabiliation Center</t>
  </si>
  <si>
    <t>Village Green Health and Rehabilitation</t>
  </si>
  <si>
    <t>Wallace Rehab and Healthcare Center</t>
  </si>
  <si>
    <t>Warsaw Health and Rehab</t>
  </si>
  <si>
    <t>Wellington Nursing and Rehab Center</t>
  </si>
  <si>
    <t>Westfield Rehabilitation and Health Center</t>
  </si>
  <si>
    <t>Westwood Hills Nursing and Rehabilitation Center</t>
  </si>
  <si>
    <t>White Oak of Waxhaw</t>
  </si>
  <si>
    <t>WhiteStone:  A Masonic and Eastern Star Community</t>
  </si>
  <si>
    <t>Wilkes Regional Medical Center</t>
  </si>
  <si>
    <t>Willow Creek Nursing and Rehabilitation Center</t>
  </si>
  <si>
    <t>Wilson Healthcare and Rehab Center</t>
  </si>
  <si>
    <t>Wilson Pines Nursing and Rehabilitation Center</t>
  </si>
  <si>
    <t>Wilson Rehabilitation and Nursing Ctr</t>
  </si>
  <si>
    <t>Woodhaven Nursing &amp; Alzheimer's Care Ctr</t>
  </si>
  <si>
    <t>Yanceyville Rehab and Healthcare Center</t>
  </si>
  <si>
    <t>IHS Skilled Nursing Facility</t>
  </si>
  <si>
    <t>04/01/2023 Final Rate</t>
  </si>
  <si>
    <t>CMI</t>
  </si>
  <si>
    <t xml:space="preserve"> Indirect</t>
  </si>
  <si>
    <t xml:space="preserve"> Direct</t>
  </si>
  <si>
    <t xml:space="preserve">
FRV</t>
  </si>
  <si>
    <t xml:space="preserve"> Assessment</t>
  </si>
  <si>
    <r>
      <rPr>
        <b/>
        <sz val="10"/>
        <color rgb="FFFF0000"/>
        <rFont val="Arial"/>
        <family val="2"/>
      </rPr>
      <t>7/1/XXXX</t>
    </r>
    <r>
      <rPr>
        <b/>
        <sz val="10"/>
        <rFont val="Arial"/>
        <family val="2"/>
      </rPr>
      <t xml:space="preserve"> Rate
w/5% &amp; 10% Increases</t>
    </r>
  </si>
  <si>
    <t>04/01/2023 FINAL RATE</t>
  </si>
  <si>
    <t>COVID-19 Final Rate</t>
  </si>
  <si>
    <t>Cherokee Indian Hospital Authority</t>
  </si>
  <si>
    <t>NA</t>
  </si>
  <si>
    <t>Brian Center Heath and Rehab/Yanceyville</t>
  </si>
  <si>
    <t>FIVE OAKS REHABILITATION AND CARE CENTER </t>
  </si>
  <si>
    <t>Hillcrest Raleigh At Crabtree Valley</t>
  </si>
  <si>
    <t>Liberty Commons Nursing and Rehab Center of The Oaks</t>
  </si>
  <si>
    <t xml:space="preserve">Liberty Commons Rehabilitation Center - Wake </t>
  </si>
  <si>
    <t>Margate Health &amp; Rehab</t>
  </si>
  <si>
    <t>Person Memorial Hospital</t>
  </si>
  <si>
    <t xml:space="preserve"> </t>
  </si>
  <si>
    <t>Modification 7</t>
  </si>
  <si>
    <t>Jan-Mar Base Rate</t>
  </si>
  <si>
    <t>Renovation 7</t>
  </si>
  <si>
    <t>Previous Year FRV</t>
  </si>
  <si>
    <t>Rate Model 12/31/2022 Medicaid CMI</t>
  </si>
  <si>
    <t xml:space="preserve">     ii.  42,000 or fewer total nursing days per year - $7.88 per day</t>
  </si>
  <si>
    <t xml:space="preserve">     iii.  More than 42,000 nursing days per year - $24.38 per day</t>
  </si>
  <si>
    <t>Total Nursing sq ft (as reported)</t>
  </si>
  <si>
    <t>Nursing Square Feet (as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</si>
</sst>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0.0_);_(* \(#,##0.0\);_(* &quot;-&quot;??_);_(@_)"/>
    <numFmt numFmtId="167" formatCode="0.000"/>
    <numFmt numFmtId="168" formatCode="0.0%"/>
    <numFmt numFmtId="169" formatCode="_(&quot;$&quot;* #,##0_);_(&quot;$&quot;* \(#,##0\);_(&quot;$&quot;* &quot;-&quot;??_);_(@_)"/>
    <numFmt numFmtId="170" formatCode="_(* #,##0.0000_);_(* \(#,##0.0000\);_(* &quot;-&quot;??_);_(@_)"/>
    <numFmt numFmtId="171" formatCode="_(* #,##0.0000000_);_(* \(#,##0.0000000\);_(* &quot;-&quot;??_);_(@_)"/>
    <numFmt numFmtId="172" formatCode="&quot;$&quot;#,##0.00"/>
  </numFmts>
  <fonts count="4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Arial"/>
      <family val="2"/>
    </font>
    <font>
      <b/>
      <sz val="10"/>
      <name val="Arial"/>
      <family val="2"/>
    </font>
    <font>
      <sz val="10"/>
      <name val="Arial"/>
      <family val="2"/>
    </font>
    <font>
      <b/>
      <sz val="8"/>
      <color indexed="8"/>
      <name val="Arial"/>
      <family val="2"/>
    </font>
    <font>
      <sz val="8"/>
      <color indexed="10"/>
      <name val="Arial"/>
      <family val="2"/>
    </font>
    <font>
      <sz val="8"/>
      <color indexed="8"/>
      <name val="Arial"/>
      <family val="2"/>
    </font>
    <font>
      <b/>
      <sz val="10"/>
      <color indexed="9"/>
      <name val="Arial"/>
      <family val="2"/>
    </font>
    <font>
      <sz val="10"/>
      <color indexed="9"/>
      <name val="Arial"/>
      <family val="2"/>
    </font>
    <font>
      <b/>
      <sz val="8"/>
      <color indexed="9"/>
      <name val="Arial"/>
      <family val="2"/>
    </font>
    <font>
      <b/>
      <sz val="18"/>
      <name val="Arial"/>
      <family val="2"/>
    </font>
    <font>
      <b/>
      <u/>
      <sz val="12"/>
      <name val="Arial"/>
      <family val="2"/>
    </font>
    <font>
      <sz val="10"/>
      <color indexed="8"/>
      <name val="Arial"/>
      <family val="2"/>
    </font>
    <font>
      <b/>
      <sz val="10"/>
      <color rgb="FFFF0000"/>
      <name val="Arial"/>
      <family val="2"/>
    </font>
    <font>
      <sz val="10"/>
      <color rgb="FFFF0000"/>
      <name val="Arial"/>
      <family val="2"/>
    </font>
    <font>
      <sz val="10"/>
      <color indexed="8"/>
      <name val="MS Sans Serif"/>
    </font>
    <font>
      <b/>
      <sz val="11"/>
      <color theme="1"/>
      <name val="Calibri"/>
      <family val="2"/>
      <scheme val="minor"/>
    </font>
    <font>
      <b/>
      <sz val="9"/>
      <color indexed="81"/>
      <name val="Tahoma"/>
      <family val="2"/>
    </font>
    <font>
      <sz val="9"/>
      <color indexed="81"/>
      <name val="Tahoma"/>
      <family val="2"/>
    </font>
    <font>
      <b/>
      <u/>
      <sz val="11"/>
      <color theme="1"/>
      <name val="Calibri"/>
      <family val="2"/>
      <scheme val="minor"/>
    </font>
    <font>
      <sz val="10"/>
      <color theme="1"/>
      <name val="Arial"/>
      <family val="2"/>
    </font>
    <font>
      <b/>
      <i/>
      <sz val="10"/>
      <name val="Arial"/>
      <family val="2"/>
    </font>
    <font>
      <sz val="9"/>
      <name val="Arial"/>
      <family val="2"/>
    </font>
    <font>
      <sz val="9"/>
      <name val="Times New Roman"/>
      <family val="1"/>
    </font>
    <font>
      <b/>
      <sz val="10"/>
      <color indexed="8"/>
      <name val="Arial"/>
      <family val="2"/>
    </font>
    <font>
      <sz val="9"/>
      <color rgb="FFFF0000"/>
      <name val="Arial"/>
      <family val="2"/>
    </font>
    <font>
      <sz val="10"/>
      <color indexed="8"/>
      <name val="Arial"/>
      <family val="2"/>
    </font>
    <font>
      <strike/>
      <sz val="10"/>
      <name val="Arial"/>
      <family val="2"/>
    </font>
    <font>
      <sz val="14"/>
      <color rgb="FF000000"/>
      <name val="Calibri"/>
      <family val="2"/>
      <scheme val="minor"/>
    </font>
    <font>
      <sz val="14"/>
      <name val="Calibri"/>
      <family val="2"/>
      <scheme val="minor"/>
    </font>
    <font>
      <b/>
      <i/>
      <sz val="10"/>
      <color theme="8" tint="-0.249977111117893"/>
      <name val="Arial"/>
      <family val="2"/>
    </font>
    <font>
      <sz val="11"/>
      <name val="Arial"/>
      <family val="2"/>
    </font>
    <font>
      <b/>
      <sz val="11"/>
      <color rgb="FFFF0000"/>
      <name val="Arial"/>
      <family val="2"/>
    </font>
    <font>
      <i/>
      <sz val="11"/>
      <name val="Arial"/>
      <family val="2"/>
    </font>
    <font>
      <b/>
      <i/>
      <sz val="11"/>
      <name val="Arial"/>
      <family val="2"/>
    </font>
    <font>
      <b/>
      <i/>
      <sz val="10"/>
      <color rgb="FFFF0000"/>
      <name val="Arial"/>
      <family val="2"/>
    </font>
    <font>
      <b/>
      <sz val="10"/>
      <color theme="8" tint="-0.249977111117893"/>
      <name val="Arial"/>
      <family val="2"/>
    </font>
    <font>
      <b/>
      <sz val="16"/>
      <name val="Arial"/>
      <family val="2"/>
    </font>
    <font>
      <sz val="12"/>
      <name val="Arial"/>
      <family val="2"/>
    </font>
  </fonts>
  <fills count="16">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4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s>
  <borders count="25">
    <border>
      <left/>
      <right/>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9">
    <xf numFmtId="0" fontId="0"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16" fillId="0" borderId="0"/>
    <xf numFmtId="0" fontId="3"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9" fillId="0" borderId="0"/>
    <xf numFmtId="0" fontId="2" fillId="0" borderId="0"/>
    <xf numFmtId="44" fontId="2" fillId="0" borderId="0" applyFont="0" applyFill="0" applyBorder="0" applyAlignment="0" applyProtection="0"/>
    <xf numFmtId="0" fontId="5" fillId="0" borderId="0"/>
    <xf numFmtId="0" fontId="27" fillId="0" borderId="0"/>
    <xf numFmtId="0" fontId="30"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cellStyleXfs>
  <cellXfs count="247">
    <xf numFmtId="0" fontId="0" fillId="0" borderId="0" xfId="0"/>
    <xf numFmtId="0" fontId="0" fillId="0" borderId="0" xfId="0" applyAlignment="1">
      <alignment horizontal="left"/>
    </xf>
    <xf numFmtId="0" fontId="12" fillId="0" borderId="0" xfId="0" applyFont="1"/>
    <xf numFmtId="164" fontId="0" fillId="0" borderId="0" xfId="0" applyNumberFormat="1"/>
    <xf numFmtId="43" fontId="0" fillId="0" borderId="0" xfId="0" applyNumberFormat="1"/>
    <xf numFmtId="0" fontId="6" fillId="0" borderId="0" xfId="0" applyFont="1"/>
    <xf numFmtId="0" fontId="14" fillId="0" borderId="0" xfId="0" applyFont="1" applyAlignment="1">
      <alignment horizontal="centerContinuous"/>
    </xf>
    <xf numFmtId="43" fontId="0" fillId="0" borderId="0" xfId="1" applyFont="1"/>
    <xf numFmtId="0" fontId="1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6" xfId="0" applyBorder="1"/>
    <xf numFmtId="164" fontId="0" fillId="0" borderId="0" xfId="1" applyNumberFormat="1" applyFont="1" applyFill="1"/>
    <xf numFmtId="0" fontId="0" fillId="0" borderId="7" xfId="0" applyBorder="1"/>
    <xf numFmtId="0" fontId="0" fillId="0" borderId="8" xfId="0" applyBorder="1"/>
    <xf numFmtId="170" fontId="0" fillId="0" borderId="0" xfId="1" applyNumberFormat="1" applyFont="1" applyBorder="1"/>
    <xf numFmtId="43" fontId="0" fillId="0" borderId="0" xfId="1" applyFont="1" applyFill="1"/>
    <xf numFmtId="10" fontId="0" fillId="0" borderId="0" xfId="10" applyNumberFormat="1" applyFont="1" applyBorder="1"/>
    <xf numFmtId="170" fontId="0" fillId="0" borderId="0" xfId="1" applyNumberFormat="1" applyFont="1" applyFill="1"/>
    <xf numFmtId="44" fontId="0" fillId="0" borderId="0" xfId="0" applyNumberFormat="1"/>
    <xf numFmtId="0" fontId="12" fillId="2" borderId="0" xfId="9" applyFont="1" applyFill="1"/>
    <xf numFmtId="0" fontId="12" fillId="2" borderId="0" xfId="9" applyFont="1" applyFill="1" applyAlignment="1">
      <alignment horizontal="left"/>
    </xf>
    <xf numFmtId="0" fontId="13" fillId="2" borderId="10" xfId="9" applyFont="1" applyFill="1" applyBorder="1" applyAlignment="1">
      <alignment horizontal="center"/>
    </xf>
    <xf numFmtId="0" fontId="13" fillId="2" borderId="10" xfId="9" applyFont="1" applyFill="1" applyBorder="1" applyAlignment="1">
      <alignment horizontal="left"/>
    </xf>
    <xf numFmtId="0" fontId="9" fillId="0" borderId="11" xfId="9" applyFont="1" applyBorder="1" applyAlignment="1">
      <alignment horizontal="center"/>
    </xf>
    <xf numFmtId="0" fontId="8" fillId="0" borderId="11" xfId="9" applyFont="1" applyBorder="1" applyAlignment="1">
      <alignment horizontal="left"/>
    </xf>
    <xf numFmtId="0" fontId="8" fillId="0" borderId="10" xfId="9" applyFont="1" applyBorder="1" applyAlignment="1">
      <alignment horizontal="left"/>
    </xf>
    <xf numFmtId="0" fontId="7" fillId="0" borderId="0" xfId="0" applyFont="1"/>
    <xf numFmtId="44" fontId="0" fillId="0" borderId="0" xfId="4" applyFont="1" applyBorder="1"/>
    <xf numFmtId="0" fontId="3" fillId="0" borderId="0" xfId="0" applyFont="1"/>
    <xf numFmtId="0" fontId="3" fillId="0" borderId="7" xfId="0" applyFont="1" applyBorder="1" applyAlignment="1">
      <alignment horizontal="center"/>
    </xf>
    <xf numFmtId="0" fontId="0" fillId="0" borderId="7" xfId="0" applyBorder="1" applyAlignment="1">
      <alignment horizontal="center"/>
    </xf>
    <xf numFmtId="44" fontId="3" fillId="0" borderId="0" xfId="4" applyFont="1" applyBorder="1"/>
    <xf numFmtId="44" fontId="3" fillId="0" borderId="0" xfId="4" applyFont="1" applyFill="1" applyBorder="1"/>
    <xf numFmtId="10" fontId="3" fillId="0" borderId="0" xfId="10" applyNumberFormat="1" applyFont="1"/>
    <xf numFmtId="44" fontId="0" fillId="0" borderId="0" xfId="4" applyFont="1"/>
    <xf numFmtId="0" fontId="0" fillId="0" borderId="0" xfId="0" applyAlignment="1">
      <alignment horizontal="center"/>
    </xf>
    <xf numFmtId="0" fontId="11" fillId="2" borderId="12" xfId="9" applyFont="1" applyFill="1" applyBorder="1" applyAlignment="1">
      <alignment horizontal="center"/>
    </xf>
    <xf numFmtId="0" fontId="0" fillId="0" borderId="0" xfId="0" applyAlignment="1">
      <alignment wrapText="1"/>
    </xf>
    <xf numFmtId="0" fontId="0" fillId="0" borderId="0" xfId="0" applyProtection="1">
      <protection locked="0"/>
    </xf>
    <xf numFmtId="9" fontId="0" fillId="0" borderId="0" xfId="10" applyFont="1"/>
    <xf numFmtId="168" fontId="0" fillId="0" borderId="0" xfId="10" applyNumberFormat="1" applyFont="1"/>
    <xf numFmtId="166" fontId="0" fillId="0" borderId="0" xfId="1" applyNumberFormat="1" applyFont="1"/>
    <xf numFmtId="164" fontId="0" fillId="0" borderId="0" xfId="1" applyNumberFormat="1" applyFont="1"/>
    <xf numFmtId="166" fontId="0" fillId="3" borderId="0" xfId="1" applyNumberFormat="1" applyFont="1" applyFill="1"/>
    <xf numFmtId="0" fontId="0" fillId="0" borderId="0" xfId="0" applyAlignment="1">
      <alignment horizontal="center" wrapText="1"/>
    </xf>
    <xf numFmtId="165" fontId="0" fillId="0" borderId="0" xfId="1" applyNumberFormat="1" applyFont="1" applyFill="1"/>
    <xf numFmtId="0" fontId="0" fillId="0" borderId="0" xfId="0" applyAlignment="1">
      <alignment horizontal="right"/>
    </xf>
    <xf numFmtId="0" fontId="23" fillId="0" borderId="0" xfId="0" applyFont="1"/>
    <xf numFmtId="39" fontId="20" fillId="0" borderId="0" xfId="1" applyNumberFormat="1" applyFont="1" applyFill="1"/>
    <xf numFmtId="169" fontId="0" fillId="0" borderId="0" xfId="4" applyNumberFormat="1" applyFont="1"/>
    <xf numFmtId="169" fontId="0" fillId="0" borderId="0" xfId="0" applyNumberFormat="1"/>
    <xf numFmtId="44" fontId="20" fillId="0" borderId="1" xfId="4" applyFont="1" applyBorder="1"/>
    <xf numFmtId="0" fontId="20" fillId="0" borderId="0" xfId="0" applyFont="1"/>
    <xf numFmtId="0" fontId="20" fillId="0" borderId="12" xfId="0" applyFont="1" applyBorder="1"/>
    <xf numFmtId="2" fontId="0" fillId="0" borderId="0" xfId="0" applyNumberFormat="1"/>
    <xf numFmtId="2" fontId="0" fillId="0" borderId="12" xfId="0" applyNumberFormat="1" applyBorder="1"/>
    <xf numFmtId="43" fontId="3" fillId="0" borderId="0" xfId="1" applyFont="1"/>
    <xf numFmtId="164" fontId="0" fillId="4" borderId="0" xfId="1" applyNumberFormat="1" applyFont="1" applyFill="1" applyProtection="1">
      <protection locked="0"/>
    </xf>
    <xf numFmtId="169" fontId="0" fillId="4" borderId="0" xfId="4" applyNumberFormat="1" applyFont="1" applyFill="1" applyProtection="1">
      <protection locked="0"/>
    </xf>
    <xf numFmtId="0" fontId="3" fillId="0" borderId="0" xfId="0" quotePrefix="1" applyFont="1"/>
    <xf numFmtId="164" fontId="3" fillId="0" borderId="0" xfId="1" applyNumberFormat="1" applyFont="1"/>
    <xf numFmtId="10" fontId="3" fillId="0" borderId="0" xfId="10" applyNumberFormat="1" applyFont="1" applyAlignment="1">
      <alignment wrapText="1"/>
    </xf>
    <xf numFmtId="43" fontId="3" fillId="0" borderId="0" xfId="1" applyFont="1" applyAlignment="1">
      <alignment wrapText="1"/>
    </xf>
    <xf numFmtId="164" fontId="3" fillId="0" borderId="0" xfId="1" applyNumberFormat="1" applyFont="1" applyAlignment="1">
      <alignment wrapText="1"/>
    </xf>
    <xf numFmtId="170" fontId="0" fillId="6" borderId="0" xfId="1" applyNumberFormat="1" applyFont="1" applyFill="1" applyProtection="1">
      <protection locked="0"/>
    </xf>
    <xf numFmtId="164" fontId="3" fillId="0" borderId="0" xfId="1" applyNumberFormat="1" applyFont="1" applyFill="1"/>
    <xf numFmtId="165" fontId="25" fillId="0" borderId="0" xfId="1" applyNumberFormat="1" applyFont="1" applyFill="1"/>
    <xf numFmtId="37" fontId="25" fillId="0" borderId="0" xfId="1" applyNumberFormat="1" applyFont="1" applyFill="1"/>
    <xf numFmtId="39" fontId="25" fillId="0" borderId="0" xfId="1" applyNumberFormat="1" applyFont="1" applyFill="1"/>
    <xf numFmtId="44" fontId="0" fillId="0" borderId="0" xfId="4" applyFont="1" applyFill="1"/>
    <xf numFmtId="164" fontId="0" fillId="0" borderId="0" xfId="1" applyNumberFormat="1" applyFont="1" applyFill="1" applyProtection="1">
      <protection locked="0"/>
    </xf>
    <xf numFmtId="0" fontId="3" fillId="0" borderId="0" xfId="0" applyFont="1" applyAlignment="1">
      <alignment horizontal="center" wrapText="1"/>
    </xf>
    <xf numFmtId="0" fontId="3" fillId="0" borderId="0" xfId="0" applyFont="1" applyAlignment="1">
      <alignment horizontal="left"/>
    </xf>
    <xf numFmtId="0" fontId="3" fillId="0" borderId="0" xfId="9" applyAlignment="1">
      <alignment horizontal="left"/>
    </xf>
    <xf numFmtId="0" fontId="11" fillId="2" borderId="0" xfId="18" applyFont="1" applyFill="1" applyAlignment="1" applyProtection="1">
      <alignment horizontal="centerContinuous" wrapText="1"/>
      <protection locked="0"/>
    </xf>
    <xf numFmtId="0" fontId="28" fillId="0" borderId="0" xfId="18" applyFont="1" applyAlignment="1">
      <alignment horizontal="center" wrapText="1"/>
    </xf>
    <xf numFmtId="0" fontId="6" fillId="0" borderId="0" xfId="18" applyFont="1" applyAlignment="1" applyProtection="1">
      <alignment horizontal="left" wrapText="1"/>
      <protection locked="0"/>
    </xf>
    <xf numFmtId="0" fontId="6" fillId="0" borderId="0" xfId="18" applyFont="1" applyAlignment="1" applyProtection="1">
      <alignment horizontal="centerContinuous" wrapText="1"/>
      <protection locked="0"/>
    </xf>
    <xf numFmtId="0" fontId="28" fillId="0" borderId="0" xfId="18" applyFont="1" applyAlignment="1" applyProtection="1">
      <alignment horizontal="centerContinuous" wrapText="1"/>
      <protection locked="0"/>
    </xf>
    <xf numFmtId="0" fontId="28" fillId="0" borderId="0" xfId="18" applyFont="1" applyAlignment="1">
      <alignment wrapText="1"/>
    </xf>
    <xf numFmtId="0" fontId="6" fillId="0" borderId="0" xfId="18" applyFont="1" applyAlignment="1" applyProtection="1">
      <alignment horizontal="center" wrapText="1"/>
      <protection locked="0"/>
    </xf>
    <xf numFmtId="0" fontId="24" fillId="0" borderId="0" xfId="18" applyFont="1" applyAlignment="1" applyProtection="1">
      <alignment horizontal="left"/>
      <protection locked="0"/>
    </xf>
    <xf numFmtId="0" fontId="24" fillId="7" borderId="0" xfId="18" applyFont="1" applyFill="1" applyProtection="1">
      <protection locked="0"/>
    </xf>
    <xf numFmtId="0" fontId="24" fillId="0" borderId="0" xfId="18" applyFont="1"/>
    <xf numFmtId="0" fontId="24" fillId="0" borderId="0" xfId="9" applyFont="1" applyAlignment="1">
      <alignment horizontal="left"/>
    </xf>
    <xf numFmtId="0" fontId="24" fillId="8" borderId="0" xfId="18" applyFont="1" applyFill="1" applyProtection="1">
      <protection locked="0"/>
    </xf>
    <xf numFmtId="0" fontId="24" fillId="8" borderId="0" xfId="18" applyFont="1" applyFill="1"/>
    <xf numFmtId="0" fontId="24" fillId="0" borderId="0" xfId="18" applyFont="1" applyProtection="1">
      <protection locked="0"/>
    </xf>
    <xf numFmtId="0" fontId="24" fillId="0" borderId="0" xfId="9" applyFont="1"/>
    <xf numFmtId="0" fontId="4" fillId="0" borderId="13" xfId="0" applyFont="1" applyBorder="1" applyAlignment="1">
      <alignment wrapText="1"/>
    </xf>
    <xf numFmtId="0" fontId="4" fillId="0" borderId="0" xfId="0" applyFont="1"/>
    <xf numFmtId="0" fontId="4" fillId="0" borderId="0" xfId="17" quotePrefix="1" applyFont="1" applyAlignment="1">
      <alignment wrapText="1"/>
    </xf>
    <xf numFmtId="0" fontId="4" fillId="0" borderId="13" xfId="17" applyFont="1" applyBorder="1" applyAlignment="1">
      <alignment wrapText="1"/>
    </xf>
    <xf numFmtId="0" fontId="24" fillId="0" borderId="0" xfId="0" applyFont="1"/>
    <xf numFmtId="0" fontId="24" fillId="0" borderId="13" xfId="18" applyFont="1" applyBorder="1" applyAlignment="1" applyProtection="1">
      <alignment horizontal="left"/>
      <protection locked="0"/>
    </xf>
    <xf numFmtId="0" fontId="24" fillId="0" borderId="13" xfId="9" applyFont="1" applyBorder="1" applyAlignment="1">
      <alignment horizontal="left"/>
    </xf>
    <xf numFmtId="0" fontId="3" fillId="0" borderId="0" xfId="9"/>
    <xf numFmtId="165" fontId="0" fillId="0" borderId="0" xfId="1" applyNumberFormat="1" applyFont="1" applyFill="1" applyProtection="1">
      <protection locked="0"/>
    </xf>
    <xf numFmtId="165" fontId="0" fillId="0" borderId="0" xfId="1" applyNumberFormat="1" applyFont="1"/>
    <xf numFmtId="165" fontId="0" fillId="0" borderId="0" xfId="0" applyNumberFormat="1"/>
    <xf numFmtId="167" fontId="20" fillId="0" borderId="0" xfId="0" applyNumberFormat="1" applyFont="1"/>
    <xf numFmtId="2" fontId="6" fillId="9" borderId="0" xfId="0" applyNumberFormat="1" applyFont="1" applyFill="1"/>
    <xf numFmtId="167" fontId="2" fillId="3" borderId="0" xfId="0" applyNumberFormat="1" applyFont="1" applyFill="1"/>
    <xf numFmtId="0" fontId="3" fillId="0" borderId="0" xfId="0" applyFont="1" applyAlignment="1">
      <alignment horizontal="right"/>
    </xf>
    <xf numFmtId="165" fontId="6" fillId="0" borderId="0" xfId="1" applyNumberFormat="1" applyFont="1" applyFill="1" applyProtection="1">
      <protection locked="0"/>
    </xf>
    <xf numFmtId="165" fontId="6" fillId="0" borderId="0" xfId="1" applyNumberFormat="1" applyFont="1" applyFill="1" applyProtection="1"/>
    <xf numFmtId="44" fontId="3" fillId="0" borderId="0" xfId="4" applyFont="1"/>
    <xf numFmtId="43" fontId="0" fillId="0" borderId="0" xfId="1" applyFont="1" applyFill="1" applyProtection="1"/>
    <xf numFmtId="170" fontId="3" fillId="0" borderId="0" xfId="1" applyNumberFormat="1" applyFont="1"/>
    <xf numFmtId="170" fontId="0" fillId="0" borderId="0" xfId="1" applyNumberFormat="1" applyFont="1" applyFill="1" applyProtection="1"/>
    <xf numFmtId="0" fontId="4" fillId="0" borderId="0" xfId="17" applyFont="1" applyAlignment="1">
      <alignment wrapText="1"/>
    </xf>
    <xf numFmtId="0" fontId="20" fillId="0" borderId="0" xfId="0" applyFont="1" applyAlignment="1">
      <alignment horizontal="center"/>
    </xf>
    <xf numFmtId="14" fontId="20" fillId="0" borderId="0" xfId="0" applyNumberFormat="1" applyFont="1" applyAlignment="1">
      <alignment horizontal="center"/>
    </xf>
    <xf numFmtId="44" fontId="0" fillId="10" borderId="0" xfId="0" applyNumberFormat="1" applyFill="1" applyAlignment="1">
      <alignment horizontal="center"/>
    </xf>
    <xf numFmtId="0" fontId="0" fillId="10" borderId="0" xfId="0" applyFill="1"/>
    <xf numFmtId="170" fontId="0" fillId="11" borderId="0" xfId="1" applyNumberFormat="1" applyFont="1" applyFill="1" applyAlignment="1">
      <alignment horizontal="center"/>
    </xf>
    <xf numFmtId="44" fontId="0" fillId="11" borderId="0" xfId="0" applyNumberFormat="1" applyFill="1" applyAlignment="1">
      <alignment horizontal="center"/>
    </xf>
    <xf numFmtId="0" fontId="0" fillId="11" borderId="0" xfId="0" applyFill="1"/>
    <xf numFmtId="10" fontId="0" fillId="12" borderId="0" xfId="10" applyNumberFormat="1" applyFont="1" applyFill="1"/>
    <xf numFmtId="10" fontId="0" fillId="12" borderId="0" xfId="10" applyNumberFormat="1" applyFont="1" applyFill="1" applyAlignment="1">
      <alignment horizontal="right"/>
    </xf>
    <xf numFmtId="44" fontId="0" fillId="12" borderId="0" xfId="0" applyNumberFormat="1" applyFill="1" applyAlignment="1">
      <alignment horizontal="center"/>
    </xf>
    <xf numFmtId="0" fontId="0" fillId="12" borderId="0" xfId="0" applyFill="1"/>
    <xf numFmtId="44" fontId="0" fillId="0" borderId="0" xfId="4" applyFont="1" applyAlignment="1">
      <alignment horizontal="center"/>
    </xf>
    <xf numFmtId="170" fontId="0" fillId="0" borderId="0" xfId="1" applyNumberFormat="1" applyFont="1"/>
    <xf numFmtId="170" fontId="0" fillId="4" borderId="0" xfId="1" applyNumberFormat="1" applyFont="1" applyFill="1"/>
    <xf numFmtId="0" fontId="0" fillId="0" borderId="0" xfId="0" quotePrefix="1"/>
    <xf numFmtId="44" fontId="20" fillId="0" borderId="0" xfId="0" applyNumberFormat="1" applyFont="1"/>
    <xf numFmtId="44" fontId="0" fillId="4" borderId="0" xfId="4" applyFont="1" applyFill="1"/>
    <xf numFmtId="44" fontId="0" fillId="0" borderId="9" xfId="0" applyNumberFormat="1" applyBorder="1"/>
    <xf numFmtId="170" fontId="3" fillId="0" borderId="0" xfId="1" applyNumberFormat="1" applyFont="1" applyBorder="1"/>
    <xf numFmtId="0" fontId="3" fillId="0" borderId="0" xfId="0" applyFont="1" applyProtection="1">
      <protection locked="0"/>
    </xf>
    <xf numFmtId="44" fontId="0" fillId="0" borderId="0" xfId="10" applyNumberFormat="1" applyFont="1" applyBorder="1" applyAlignment="1">
      <alignment horizontal="center"/>
    </xf>
    <xf numFmtId="0" fontId="3" fillId="5" borderId="0" xfId="0" applyFont="1" applyFill="1" applyAlignment="1">
      <alignment horizontal="center" wrapText="1"/>
    </xf>
    <xf numFmtId="0" fontId="6" fillId="5" borderId="0" xfId="0" applyFont="1" applyFill="1" applyAlignment="1">
      <alignment horizontal="left" wrapText="1"/>
    </xf>
    <xf numFmtId="43" fontId="2" fillId="3" borderId="0" xfId="0" applyNumberFormat="1" applyFont="1" applyFill="1"/>
    <xf numFmtId="171" fontId="0" fillId="0" borderId="0" xfId="1" applyNumberFormat="1" applyFont="1"/>
    <xf numFmtId="0" fontId="3" fillId="0" borderId="0" xfId="7" applyFont="1"/>
    <xf numFmtId="0" fontId="31" fillId="0" borderId="0" xfId="0" applyFont="1"/>
    <xf numFmtId="9" fontId="31" fillId="0" borderId="0" xfId="10" applyFont="1" applyBorder="1"/>
    <xf numFmtId="165" fontId="3" fillId="0" borderId="0" xfId="1" applyNumberFormat="1" applyFont="1" applyAlignment="1">
      <alignment wrapText="1"/>
    </xf>
    <xf numFmtId="164" fontId="3" fillId="0" borderId="0" xfId="1" applyNumberFormat="1" applyFont="1" applyFill="1" applyAlignment="1">
      <alignment wrapText="1"/>
    </xf>
    <xf numFmtId="10" fontId="3" fillId="0" borderId="0" xfId="10" applyNumberFormat="1" applyFont="1" applyFill="1" applyAlignment="1">
      <alignment wrapText="1"/>
    </xf>
    <xf numFmtId="44" fontId="0" fillId="0" borderId="0" xfId="4" applyFont="1" applyFill="1" applyProtection="1">
      <protection locked="0"/>
    </xf>
    <xf numFmtId="0" fontId="18" fillId="0" borderId="0" xfId="0" applyFont="1"/>
    <xf numFmtId="44" fontId="0" fillId="13" borderId="0" xfId="4" applyFont="1" applyFill="1"/>
    <xf numFmtId="166" fontId="0" fillId="13" borderId="0" xfId="1" applyNumberFormat="1" applyFont="1" applyFill="1"/>
    <xf numFmtId="4" fontId="10" fillId="13" borderId="10" xfId="9" applyNumberFormat="1" applyFont="1" applyFill="1" applyBorder="1"/>
    <xf numFmtId="0" fontId="0" fillId="13" borderId="0" xfId="0" applyFill="1"/>
    <xf numFmtId="14" fontId="17" fillId="0" borderId="0" xfId="7" applyNumberFormat="1" applyFont="1" applyAlignment="1">
      <alignment horizontal="center"/>
    </xf>
    <xf numFmtId="44" fontId="38" fillId="5" borderId="17" xfId="13" applyFont="1" applyFill="1" applyBorder="1" applyAlignment="1" applyProtection="1">
      <alignment wrapText="1"/>
      <protection locked="0"/>
    </xf>
    <xf numFmtId="44" fontId="38" fillId="5" borderId="0" xfId="13" applyFont="1" applyFill="1" applyBorder="1" applyAlignment="1" applyProtection="1">
      <alignment wrapText="1"/>
      <protection locked="0"/>
    </xf>
    <xf numFmtId="0" fontId="3" fillId="5" borderId="0" xfId="7" applyFont="1" applyFill="1"/>
    <xf numFmtId="44" fontId="38" fillId="5" borderId="18" xfId="13" applyFont="1" applyFill="1" applyBorder="1" applyAlignment="1" applyProtection="1">
      <alignment wrapText="1"/>
      <protection locked="0"/>
    </xf>
    <xf numFmtId="0" fontId="3" fillId="0" borderId="0" xfId="7" applyFont="1" applyAlignment="1">
      <alignment wrapText="1"/>
    </xf>
    <xf numFmtId="0" fontId="6" fillId="5" borderId="24" xfId="14" applyFont="1" applyFill="1" applyBorder="1" applyAlignment="1" applyProtection="1">
      <alignment horizontal="center" wrapText="1"/>
      <protection locked="0"/>
    </xf>
    <xf numFmtId="15" fontId="6" fillId="14" borderId="24" xfId="7" quotePrefix="1" applyNumberFormat="1" applyFont="1" applyFill="1" applyBorder="1" applyAlignment="1" applyProtection="1">
      <alignment horizontal="center" wrapText="1"/>
      <protection locked="0"/>
    </xf>
    <xf numFmtId="15" fontId="6" fillId="5" borderId="24" xfId="7" quotePrefix="1" applyNumberFormat="1" applyFont="1" applyFill="1" applyBorder="1" applyAlignment="1" applyProtection="1">
      <alignment horizontal="center" wrapText="1"/>
      <protection locked="0"/>
    </xf>
    <xf numFmtId="15" fontId="6" fillId="0" borderId="14" xfId="7" quotePrefix="1" applyNumberFormat="1" applyFont="1" applyBorder="1" applyAlignment="1" applyProtection="1">
      <alignment horizontal="center" wrapText="1"/>
      <protection locked="0"/>
    </xf>
    <xf numFmtId="15" fontId="6" fillId="5" borderId="10" xfId="7" quotePrefix="1" applyNumberFormat="1" applyFont="1" applyFill="1" applyBorder="1" applyAlignment="1" applyProtection="1">
      <alignment horizontal="center" wrapText="1"/>
      <protection locked="0"/>
    </xf>
    <xf numFmtId="0" fontId="6" fillId="0" borderId="10" xfId="7" applyFont="1" applyBorder="1" applyAlignment="1" applyProtection="1">
      <alignment horizontal="center" wrapText="1"/>
      <protection locked="0"/>
    </xf>
    <xf numFmtId="0" fontId="6" fillId="5" borderId="10" xfId="7" applyFont="1" applyFill="1" applyBorder="1" applyAlignment="1" applyProtection="1">
      <alignment horizontal="center" wrapText="1"/>
      <protection locked="0"/>
    </xf>
    <xf numFmtId="0" fontId="3" fillId="0" borderId="10" xfId="17" applyFont="1" applyBorder="1" applyAlignment="1">
      <alignment wrapText="1"/>
    </xf>
    <xf numFmtId="0" fontId="3" fillId="0" borderId="10" xfId="17" applyFont="1" applyBorder="1"/>
    <xf numFmtId="172" fontId="3" fillId="0" borderId="10" xfId="7" applyNumberFormat="1" applyFont="1" applyBorder="1"/>
    <xf numFmtId="170" fontId="3" fillId="0" borderId="10" xfId="2" applyNumberFormat="1" applyFont="1" applyFill="1" applyBorder="1" applyProtection="1"/>
    <xf numFmtId="43" fontId="3" fillId="0" borderId="10" xfId="2" applyFont="1" applyFill="1" applyBorder="1" applyProtection="1"/>
    <xf numFmtId="43" fontId="3" fillId="0" borderId="21" xfId="7" applyNumberFormat="1" applyFont="1" applyBorder="1"/>
    <xf numFmtId="0" fontId="3" fillId="0" borderId="10" xfId="7" applyFont="1" applyBorder="1"/>
    <xf numFmtId="172" fontId="3" fillId="0" borderId="10" xfId="7" applyNumberFormat="1" applyFont="1" applyBorder="1" applyAlignment="1">
      <alignment horizontal="center"/>
    </xf>
    <xf numFmtId="2" fontId="3" fillId="0" borderId="0" xfId="7" applyNumberFormat="1" applyFont="1"/>
    <xf numFmtId="0" fontId="3" fillId="0" borderId="0" xfId="17" applyFont="1" applyAlignment="1">
      <alignment wrapText="1"/>
    </xf>
    <xf numFmtId="0" fontId="3" fillId="0" borderId="0" xfId="17" applyFont="1"/>
    <xf numFmtId="172" fontId="3" fillId="0" borderId="0" xfId="7" applyNumberFormat="1" applyFont="1"/>
    <xf numFmtId="170" fontId="3" fillId="0" borderId="0" xfId="2" applyNumberFormat="1" applyFont="1" applyFill="1" applyBorder="1"/>
    <xf numFmtId="43" fontId="3" fillId="0" borderId="0" xfId="2" applyFont="1" applyFill="1" applyBorder="1"/>
    <xf numFmtId="43" fontId="3" fillId="0" borderId="0" xfId="7" applyNumberFormat="1" applyFont="1"/>
    <xf numFmtId="172" fontId="3" fillId="0" borderId="0" xfId="7" applyNumberFormat="1" applyFont="1" applyAlignment="1">
      <alignment horizontal="center"/>
    </xf>
    <xf numFmtId="0" fontId="40" fillId="0" borderId="0" xfId="7" applyFont="1"/>
    <xf numFmtId="44" fontId="3" fillId="0" borderId="0" xfId="7" applyNumberFormat="1" applyFont="1"/>
    <xf numFmtId="0" fontId="6" fillId="5" borderId="24" xfId="14" applyFont="1" applyFill="1" applyBorder="1" applyAlignment="1">
      <alignment horizontal="center" wrapText="1"/>
    </xf>
    <xf numFmtId="15" fontId="6" fillId="14" borderId="24" xfId="7" quotePrefix="1" applyNumberFormat="1" applyFont="1" applyFill="1" applyBorder="1" applyAlignment="1">
      <alignment horizontal="center" wrapText="1"/>
    </xf>
    <xf numFmtId="15" fontId="6" fillId="5" borderId="24" xfId="7" quotePrefix="1" applyNumberFormat="1" applyFont="1" applyFill="1" applyBorder="1" applyAlignment="1">
      <alignment horizontal="center" wrapText="1"/>
    </xf>
    <xf numFmtId="15" fontId="6" fillId="0" borderId="14" xfId="7" quotePrefix="1" applyNumberFormat="1" applyFont="1" applyBorder="1" applyAlignment="1">
      <alignment horizontal="center" wrapText="1"/>
    </xf>
    <xf numFmtId="15" fontId="6" fillId="5" borderId="10" xfId="7" quotePrefix="1" applyNumberFormat="1" applyFont="1" applyFill="1" applyBorder="1" applyAlignment="1">
      <alignment horizontal="center" wrapText="1"/>
    </xf>
    <xf numFmtId="0" fontId="6" fillId="0" borderId="10" xfId="7" applyFont="1" applyBorder="1" applyAlignment="1">
      <alignment horizontal="center" wrapText="1"/>
    </xf>
    <xf numFmtId="44" fontId="6" fillId="5" borderId="10" xfId="13" applyFont="1" applyFill="1" applyBorder="1" applyAlignment="1">
      <alignment horizontal="center" wrapText="1"/>
    </xf>
    <xf numFmtId="8" fontId="3" fillId="0" borderId="10" xfId="2" applyNumberFormat="1" applyFont="1" applyBorder="1" applyProtection="1">
      <protection locked="0"/>
    </xf>
    <xf numFmtId="8" fontId="3" fillId="0" borderId="10" xfId="2" applyNumberFormat="1" applyFont="1" applyBorder="1" applyAlignment="1" applyProtection="1">
      <alignment horizontal="center"/>
      <protection locked="0"/>
    </xf>
    <xf numFmtId="43" fontId="3" fillId="0" borderId="10" xfId="2" applyFont="1" applyFill="1" applyBorder="1" applyProtection="1">
      <protection locked="0"/>
    </xf>
    <xf numFmtId="44" fontId="3" fillId="0" borderId="10" xfId="13" applyFont="1" applyFill="1" applyBorder="1" applyProtection="1">
      <protection locked="0"/>
    </xf>
    <xf numFmtId="43" fontId="3" fillId="0" borderId="0" xfId="1" applyFont="1" applyFill="1" applyAlignment="1">
      <alignment wrapText="1"/>
    </xf>
    <xf numFmtId="164" fontId="11" fillId="2" borderId="0" xfId="1" applyNumberFormat="1" applyFont="1" applyFill="1" applyAlignment="1" applyProtection="1">
      <alignment horizontal="centerContinuous" wrapText="1"/>
      <protection locked="0"/>
    </xf>
    <xf numFmtId="164" fontId="28" fillId="0" borderId="0" xfId="1" applyNumberFormat="1" applyFont="1" applyAlignment="1" applyProtection="1">
      <alignment horizontal="centerContinuous" wrapText="1"/>
      <protection locked="0"/>
    </xf>
    <xf numFmtId="164" fontId="24" fillId="7" borderId="0" xfId="1" applyNumberFormat="1" applyFont="1" applyFill="1" applyProtection="1">
      <protection locked="0"/>
    </xf>
    <xf numFmtId="164" fontId="3" fillId="0" borderId="0" xfId="1" applyNumberFormat="1"/>
    <xf numFmtId="164" fontId="24" fillId="8" borderId="0" xfId="1" applyNumberFormat="1" applyFont="1" applyFill="1" applyProtection="1">
      <protection locked="0"/>
    </xf>
    <xf numFmtId="164" fontId="24" fillId="0" borderId="0" xfId="1" applyNumberFormat="1" applyFont="1" applyProtection="1">
      <protection locked="0"/>
    </xf>
    <xf numFmtId="44" fontId="0" fillId="0" borderId="9" xfId="4" applyFont="1" applyBorder="1"/>
    <xf numFmtId="0" fontId="41" fillId="0" borderId="0" xfId="0" applyFont="1"/>
    <xf numFmtId="0" fontId="42" fillId="15" borderId="0" xfId="0" applyFont="1" applyFill="1"/>
    <xf numFmtId="0" fontId="3" fillId="0" borderId="0" xfId="0" applyFont="1" applyAlignment="1">
      <alignment wrapText="1"/>
    </xf>
    <xf numFmtId="0" fontId="0" fillId="0" borderId="0" xfId="0" applyAlignment="1">
      <alignment wrapText="1"/>
    </xf>
    <xf numFmtId="0" fontId="17" fillId="0" borderId="0" xfId="0" applyFont="1" applyAlignment="1">
      <alignment wrapText="1"/>
    </xf>
    <xf numFmtId="0" fontId="3" fillId="0" borderId="0" xfId="0" applyFont="1" applyAlignment="1">
      <alignment vertical="top" wrapText="1"/>
    </xf>
    <xf numFmtId="0" fontId="0" fillId="0" borderId="0" xfId="0" applyAlignment="1">
      <alignment vertical="top" wrapText="1"/>
    </xf>
    <xf numFmtId="0" fontId="29" fillId="0" borderId="0" xfId="0" applyFont="1" applyAlignment="1">
      <alignment vertical="top" wrapText="1"/>
    </xf>
    <xf numFmtId="0" fontId="18" fillId="0" borderId="0" xfId="0" applyFont="1" applyAlignment="1">
      <alignment vertical="top" wrapText="1"/>
    </xf>
    <xf numFmtId="0" fontId="6" fillId="0" borderId="7" xfId="0" applyFont="1" applyBorder="1" applyAlignment="1">
      <alignment horizontal="center"/>
    </xf>
    <xf numFmtId="0" fontId="6" fillId="0" borderId="0" xfId="0" applyFont="1" applyAlignment="1">
      <alignment horizontal="center"/>
    </xf>
    <xf numFmtId="0" fontId="6" fillId="0" borderId="8" xfId="0" applyFont="1" applyBorder="1" applyAlignment="1">
      <alignment horizontal="center"/>
    </xf>
    <xf numFmtId="0" fontId="17" fillId="0" borderId="7" xfId="0" applyFont="1" applyBorder="1" applyAlignment="1">
      <alignment horizontal="center"/>
    </xf>
    <xf numFmtId="0" fontId="17" fillId="0" borderId="0" xfId="0" applyFont="1" applyAlignment="1">
      <alignment horizontal="center"/>
    </xf>
    <xf numFmtId="0" fontId="17" fillId="0" borderId="8" xfId="0" applyFont="1" applyBorder="1" applyAlignment="1">
      <alignment horizontal="center"/>
    </xf>
    <xf numFmtId="0" fontId="26" fillId="0" borderId="0" xfId="0" applyFont="1" applyAlignment="1">
      <alignment vertical="top" wrapText="1"/>
    </xf>
    <xf numFmtId="0" fontId="3" fillId="0" borderId="0" xfId="0" applyFont="1" applyAlignment="1">
      <alignment horizontal="left" wrapText="1"/>
    </xf>
    <xf numFmtId="0" fontId="6" fillId="0" borderId="0" xfId="0" applyFont="1" applyAlignment="1">
      <alignment wrapText="1"/>
    </xf>
    <xf numFmtId="0" fontId="6" fillId="0" borderId="0" xfId="0" applyFont="1" applyAlignment="1">
      <alignment vertical="top" wrapText="1"/>
    </xf>
    <xf numFmtId="0" fontId="17" fillId="0" borderId="0" xfId="0" applyFont="1" applyAlignment="1">
      <alignment vertical="top" wrapText="1"/>
    </xf>
    <xf numFmtId="0" fontId="18" fillId="0" borderId="0" xfId="0" applyFont="1" applyAlignment="1">
      <alignment wrapText="1"/>
    </xf>
    <xf numFmtId="44" fontId="37" fillId="5" borderId="17" xfId="13" applyFont="1" applyFill="1" applyBorder="1" applyAlignment="1" applyProtection="1">
      <alignment horizontal="center" wrapText="1"/>
      <protection locked="0"/>
    </xf>
    <xf numFmtId="44" fontId="37" fillId="5" borderId="0" xfId="13" applyFont="1" applyFill="1" applyBorder="1" applyAlignment="1" applyProtection="1">
      <alignment horizontal="center" wrapText="1"/>
      <protection locked="0"/>
    </xf>
    <xf numFmtId="44" fontId="37" fillId="5" borderId="18" xfId="13" applyFont="1" applyFill="1" applyBorder="1" applyAlignment="1" applyProtection="1">
      <alignment horizontal="center" wrapText="1"/>
      <protection locked="0"/>
    </xf>
    <xf numFmtId="44" fontId="34" fillId="5" borderId="17" xfId="13" applyFont="1" applyFill="1" applyBorder="1" applyAlignment="1" applyProtection="1">
      <alignment horizontal="center"/>
      <protection locked="0"/>
    </xf>
    <xf numFmtId="44" fontId="34" fillId="5" borderId="0" xfId="13" applyFont="1" applyFill="1" applyBorder="1" applyAlignment="1" applyProtection="1">
      <alignment horizontal="center"/>
      <protection locked="0"/>
    </xf>
    <xf numFmtId="44" fontId="34" fillId="5" borderId="18" xfId="13" applyFont="1" applyFill="1" applyBorder="1" applyAlignment="1" applyProtection="1">
      <alignment horizontal="center"/>
      <protection locked="0"/>
    </xf>
    <xf numFmtId="44" fontId="25" fillId="5" borderId="19" xfId="13" applyFont="1" applyFill="1" applyBorder="1" applyAlignment="1" applyProtection="1">
      <alignment horizontal="center" wrapText="1"/>
      <protection locked="0"/>
    </xf>
    <xf numFmtId="44" fontId="25" fillId="5" borderId="12" xfId="13" applyFont="1" applyFill="1" applyBorder="1" applyAlignment="1" applyProtection="1">
      <alignment horizontal="center" wrapText="1"/>
      <protection locked="0"/>
    </xf>
    <xf numFmtId="44" fontId="25" fillId="5" borderId="20" xfId="13" applyFont="1" applyFill="1" applyBorder="1" applyAlignment="1" applyProtection="1">
      <alignment horizontal="center" wrapText="1"/>
      <protection locked="0"/>
    </xf>
    <xf numFmtId="44" fontId="39" fillId="5" borderId="21" xfId="13" applyFont="1" applyFill="1" applyBorder="1" applyAlignment="1" applyProtection="1">
      <alignment horizontal="center" vertical="center"/>
      <protection locked="0"/>
    </xf>
    <xf numFmtId="44" fontId="39" fillId="5" borderId="22" xfId="13" applyFont="1" applyFill="1" applyBorder="1" applyAlignment="1" applyProtection="1">
      <alignment horizontal="center" vertical="center"/>
      <protection locked="0"/>
    </xf>
    <xf numFmtId="44" fontId="39" fillId="5" borderId="23" xfId="13" applyFont="1" applyFill="1" applyBorder="1" applyAlignment="1" applyProtection="1">
      <alignment horizontal="center" vertical="center"/>
      <protection locked="0"/>
    </xf>
    <xf numFmtId="44" fontId="36" fillId="5" borderId="17" xfId="13" applyFont="1" applyFill="1" applyBorder="1" applyAlignment="1" applyProtection="1">
      <alignment horizontal="center" wrapText="1"/>
      <protection locked="0"/>
    </xf>
    <xf numFmtId="44" fontId="36" fillId="5" borderId="0" xfId="13" applyFont="1" applyFill="1" applyBorder="1" applyAlignment="1" applyProtection="1">
      <alignment horizontal="center" wrapText="1"/>
      <protection locked="0"/>
    </xf>
    <xf numFmtId="44" fontId="36" fillId="5" borderId="18" xfId="13" applyFont="1" applyFill="1" applyBorder="1" applyAlignment="1" applyProtection="1">
      <alignment horizontal="center" wrapText="1"/>
      <protection locked="0"/>
    </xf>
    <xf numFmtId="0" fontId="32" fillId="0" borderId="0" xfId="7" applyFont="1" applyAlignment="1">
      <alignment horizontal="center" vertical="center" readingOrder="1"/>
    </xf>
    <xf numFmtId="0" fontId="33" fillId="0" borderId="0" xfId="7" applyFont="1" applyAlignment="1">
      <alignment horizontal="center"/>
    </xf>
    <xf numFmtId="0" fontId="34" fillId="0" borderId="0" xfId="7" applyFont="1" applyAlignment="1">
      <alignment horizontal="center"/>
    </xf>
    <xf numFmtId="44" fontId="35" fillId="5" borderId="14" xfId="13" applyFont="1" applyFill="1" applyBorder="1" applyAlignment="1" applyProtection="1">
      <alignment horizontal="center" wrapText="1"/>
      <protection locked="0"/>
    </xf>
    <xf numFmtId="44" fontId="35" fillId="5" borderId="15" xfId="13" applyFont="1" applyFill="1" applyBorder="1" applyAlignment="1" applyProtection="1">
      <alignment horizontal="center" wrapText="1"/>
      <protection locked="0"/>
    </xf>
    <xf numFmtId="44" fontId="35" fillId="5" borderId="16" xfId="13" applyFont="1" applyFill="1" applyBorder="1" applyAlignment="1" applyProtection="1">
      <alignment horizontal="center" wrapText="1"/>
      <protection locked="0"/>
    </xf>
    <xf numFmtId="44" fontId="35" fillId="5" borderId="17" xfId="13" applyFont="1" applyFill="1" applyBorder="1" applyAlignment="1" applyProtection="1">
      <alignment horizontal="center" wrapText="1"/>
      <protection locked="0"/>
    </xf>
    <xf numFmtId="44" fontId="35" fillId="5" borderId="0" xfId="13" applyFont="1" applyFill="1" applyBorder="1" applyAlignment="1" applyProtection="1">
      <alignment horizontal="center" wrapText="1"/>
      <protection locked="0"/>
    </xf>
    <xf numFmtId="44" fontId="35" fillId="5" borderId="18" xfId="13" applyFont="1" applyFill="1" applyBorder="1" applyAlignment="1" applyProtection="1">
      <alignment horizontal="center" wrapText="1"/>
      <protection locked="0"/>
    </xf>
  </cellXfs>
  <cellStyles count="29">
    <cellStyle name="Comma" xfId="1" builtinId="3"/>
    <cellStyle name="Comma [0] 2" xfId="26" xr:uid="{ACF77B07-F192-43DD-A6C0-E0EBF60102AA}"/>
    <cellStyle name="Comma [0] 3" xfId="27" xr:uid="{C4D65B8C-FC9D-4E38-AE29-365254A2A232}"/>
    <cellStyle name="Comma 2" xfId="2" xr:uid="{00000000-0005-0000-0000-000001000000}"/>
    <cellStyle name="Comma 3" xfId="3" xr:uid="{00000000-0005-0000-0000-000002000000}"/>
    <cellStyle name="Comma 4" xfId="20" xr:uid="{0301D432-E72B-4502-A6AF-F999537EA0EF}"/>
    <cellStyle name="Comma 5" xfId="28" xr:uid="{EBAB7BC5-C1D1-4D4C-B3F1-27EDDD2198BB}"/>
    <cellStyle name="Comma 6" xfId="21" xr:uid="{1C3BFF46-F95C-4FC6-AAED-20B23B0D7DC6}"/>
    <cellStyle name="Currency" xfId="4" builtinId="4"/>
    <cellStyle name="Currency 2" xfId="5" xr:uid="{00000000-0005-0000-0000-000004000000}"/>
    <cellStyle name="Currency 2 2" xfId="13" xr:uid="{FFDD835F-5613-48AE-9646-6FE079AFEABA}"/>
    <cellStyle name="Currency 3" xfId="6" xr:uid="{00000000-0005-0000-0000-000005000000}"/>
    <cellStyle name="Currency 3 2" xfId="16" xr:uid="{4AD5E9E2-6D49-4BF3-A58A-5EC1DC4CDBB3}"/>
    <cellStyle name="Currency 3 2 2" xfId="25" xr:uid="{83338403-799C-4897-9BC5-9EDBF4B37B90}"/>
    <cellStyle name="Currency 3 3" xfId="23" xr:uid="{2C5EB816-E6B0-43D8-88D2-B11BD16832C0}"/>
    <cellStyle name="Normal" xfId="0" builtinId="0"/>
    <cellStyle name="Normal 2" xfId="7" xr:uid="{00000000-0005-0000-0000-000007000000}"/>
    <cellStyle name="Normal 3" xfId="8" xr:uid="{00000000-0005-0000-0000-000008000000}"/>
    <cellStyle name="Normal 3 2" xfId="14" xr:uid="{85730629-C653-4F47-B5E6-D996F2C8AB3A}"/>
    <cellStyle name="Normal 4" xfId="15" xr:uid="{D8BBB2D4-4EEB-4BBA-9ABA-7C17F1352AA5}"/>
    <cellStyle name="Normal 4 2" xfId="24" xr:uid="{12E246F9-9A38-4B04-AD72-A8E36D64DEE2}"/>
    <cellStyle name="Normal 4 3" xfId="22" xr:uid="{E9794E69-6C81-47EB-9290-EDA75A83FBEA}"/>
    <cellStyle name="Normal 5" xfId="19" xr:uid="{CFD19096-342A-492F-B9B4-7A9CF8D0966C}"/>
    <cellStyle name="Normal_DMA FRV Model with 2006 Capital Data Survey" xfId="9" xr:uid="{00000000-0005-0000-0000-000009000000}"/>
    <cellStyle name="Normal_Property Survey Results 1999 Survey" xfId="18" xr:uid="{2AEBA2B6-F987-48EC-9504-A6C6F156C11E}"/>
    <cellStyle name="Normal_Sheet1" xfId="17" xr:uid="{75484D53-5095-4736-9737-242B37E990B0}"/>
    <cellStyle name="Percent" xfId="10" builtinId="5"/>
    <cellStyle name="Percent 2" xfId="11" xr:uid="{00000000-0005-0000-0000-000010000000}"/>
    <cellStyle name="Percent 3" xfId="12"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710566</xdr:colOff>
      <xdr:row>0</xdr:row>
      <xdr:rowOff>0</xdr:rowOff>
    </xdr:from>
    <xdr:ext cx="1369695" cy="1341202"/>
    <xdr:pic>
      <xdr:nvPicPr>
        <xdr:cNvPr id="2" name="Picture 1">
          <a:extLst>
            <a:ext uri="{FF2B5EF4-FFF2-40B4-BE49-F238E27FC236}">
              <a16:creationId xmlns:a16="http://schemas.microsoft.com/office/drawing/2014/main" id="{23474B47-E544-47BC-A4BE-10454031CF6D}"/>
            </a:ext>
          </a:extLst>
        </xdr:cNvPr>
        <xdr:cNvPicPr>
          <a:picLocks noChangeAspect="1"/>
        </xdr:cNvPicPr>
      </xdr:nvPicPr>
      <xdr:blipFill>
        <a:blip xmlns:r="http://schemas.openxmlformats.org/officeDocument/2006/relationships" r:embed="rId1"/>
        <a:stretch>
          <a:fillRect/>
        </a:stretch>
      </xdr:blipFill>
      <xdr:spPr>
        <a:xfrm>
          <a:off x="5831206" y="0"/>
          <a:ext cx="1369695" cy="134120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NCHCFA\Medicaid%20Rates\2023-04%20Apr_Jun%202023%20Rate%20Model%20-%20final%20model.xlsx" TargetMode="External"/><Relationship Id="rId1" Type="http://schemas.openxmlformats.org/officeDocument/2006/relationships/externalLinkPath" Target="/NCHCFA/Medicaid%20Rates/2023-04%20Apr_Jun%202023%20Rate%20Model%20-%20final%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ssumptions"/>
      <sheetName val="Instructions"/>
      <sheetName val="Rate Sheet"/>
      <sheetName val="Rate Calculation"/>
      <sheetName val="RATE REDUCTIONS"/>
      <sheetName val="State Owned Facilitys"/>
      <sheetName val="Changes"/>
      <sheetName val="Aging Sch Prior to 2016"/>
      <sheetName val="CIHA Rates"/>
      <sheetName val="FRV Output"/>
      <sheetName val="Aging Schedule"/>
      <sheetName val="FAC_CMI 12.31.22"/>
      <sheetName val="Audited Free Standing "/>
      <sheetName val="CDS 2018"/>
      <sheetName val="CDS 2019"/>
      <sheetName val="CDS "/>
      <sheetName val="Hist. Cost Index"/>
      <sheetName val="Square Footage"/>
      <sheetName val="Sq Ft Per Bed"/>
      <sheetName val="Location Factor"/>
      <sheetName val="Maximum Age"/>
      <sheetName val="Provider Tax"/>
      <sheetName val="Audited Hospital Based"/>
      <sheetName val="Audited FS Medicare Days"/>
      <sheetName val="Audited Hosp Medicare Days"/>
      <sheetName val="2005 Data"/>
      <sheetName val="Options"/>
      <sheetName val="Inflation"/>
      <sheetName val="direct array"/>
      <sheetName val="indirect array"/>
      <sheetName val="Schedule A Data"/>
      <sheetName val="Schedule B Allocations"/>
      <sheetName val="Schedule B Data"/>
      <sheetName val="Schedule E Data"/>
      <sheetName val="Facility CMI Summary"/>
      <sheetName val="TW Annual CMI 2005"/>
      <sheetName val="Inflaton 2"/>
      <sheetName val="Sheet1"/>
      <sheetName val="Avg Medicaid - Medicare Days"/>
      <sheetName val="vlookup data"/>
      <sheetName val="Sheet3"/>
    </sheetNames>
    <sheetDataSet>
      <sheetData sheetId="0"/>
      <sheetData sheetId="1"/>
      <sheetData sheetId="2"/>
      <sheetData sheetId="3"/>
      <sheetData sheetId="4"/>
      <sheetData sheetId="5"/>
      <sheetData sheetId="6"/>
      <sheetData sheetId="7"/>
      <sheetData sheetId="8"/>
      <sheetData sheetId="9">
        <row r="30">
          <cell r="BC30" t="str">
            <v>Prior Year</v>
          </cell>
        </row>
        <row r="31">
          <cell r="BC31" t="str">
            <v>Total FRV</v>
          </cell>
        </row>
        <row r="32">
          <cell r="F32" t="str">
            <v>NPI</v>
          </cell>
          <cell r="BC32" t="str">
            <v>per CAID Day</v>
          </cell>
        </row>
        <row r="33">
          <cell r="F33">
            <v>1245227578</v>
          </cell>
          <cell r="BC33">
            <v>36.462966775144452</v>
          </cell>
        </row>
        <row r="34">
          <cell r="F34">
            <v>1114501442</v>
          </cell>
          <cell r="BC34">
            <v>16.761421524572722</v>
          </cell>
        </row>
        <row r="35">
          <cell r="F35">
            <v>1245337880</v>
          </cell>
          <cell r="BC35">
            <v>12.221946302884582</v>
          </cell>
        </row>
        <row r="36">
          <cell r="F36">
            <v>1962505313</v>
          </cell>
          <cell r="BC36">
            <v>15.529773226277682</v>
          </cell>
        </row>
        <row r="37">
          <cell r="F37">
            <v>1396202024</v>
          </cell>
          <cell r="BC37">
            <v>17.396483067750736</v>
          </cell>
        </row>
        <row r="38">
          <cell r="F38">
            <v>1194722629</v>
          </cell>
          <cell r="BC38">
            <v>32.088144118444063</v>
          </cell>
        </row>
        <row r="39">
          <cell r="F39">
            <v>1255878245</v>
          </cell>
          <cell r="BC39">
            <v>10.945540137530809</v>
          </cell>
        </row>
        <row r="40">
          <cell r="F40">
            <v>1275519506</v>
          </cell>
          <cell r="BC40">
            <v>10.425497103425915</v>
          </cell>
        </row>
        <row r="41">
          <cell r="F41">
            <v>1770995094</v>
          </cell>
          <cell r="BC41">
            <v>11.393491079766536</v>
          </cell>
        </row>
        <row r="42">
          <cell r="F42">
            <v>1609852375</v>
          </cell>
          <cell r="BC42">
            <v>8.7768252278684091</v>
          </cell>
        </row>
        <row r="43">
          <cell r="F43">
            <v>1093791337</v>
          </cell>
          <cell r="BC43">
            <v>23.315775271473985</v>
          </cell>
        </row>
        <row r="44">
          <cell r="F44">
            <v>1912485517</v>
          </cell>
          <cell r="BC44">
            <v>32.629688917461344</v>
          </cell>
        </row>
        <row r="45">
          <cell r="F45">
            <v>1073599635</v>
          </cell>
          <cell r="BC45">
            <v>25.795279777007806</v>
          </cell>
        </row>
        <row r="46">
          <cell r="F46">
            <v>1053396788</v>
          </cell>
          <cell r="BC46">
            <v>31.621075244639169</v>
          </cell>
        </row>
        <row r="47">
          <cell r="F47">
            <v>1851377543</v>
          </cell>
          <cell r="BC47">
            <v>15.902119006750269</v>
          </cell>
        </row>
        <row r="48">
          <cell r="F48">
            <v>1598127276</v>
          </cell>
          <cell r="BC48">
            <v>19.028367734294857</v>
          </cell>
        </row>
        <row r="49">
          <cell r="F49">
            <v>1508842295</v>
          </cell>
          <cell r="BC49">
            <v>28.323055266820756</v>
          </cell>
        </row>
        <row r="50">
          <cell r="F50">
            <v>1639155302</v>
          </cell>
          <cell r="BC50">
            <v>9.4388626498660901</v>
          </cell>
        </row>
        <row r="51">
          <cell r="F51">
            <v>1346226040</v>
          </cell>
          <cell r="BC51">
            <v>12.321993124822535</v>
          </cell>
        </row>
        <row r="52">
          <cell r="F52">
            <v>1730722240</v>
          </cell>
          <cell r="BC52">
            <v>28.569839250800054</v>
          </cell>
        </row>
        <row r="53">
          <cell r="F53">
            <v>1528044294</v>
          </cell>
          <cell r="BC53">
            <v>18.73037488005987</v>
          </cell>
        </row>
        <row r="54">
          <cell r="F54">
            <v>1962052498</v>
          </cell>
          <cell r="BC54">
            <v>8.0491485750602614</v>
          </cell>
        </row>
        <row r="55">
          <cell r="F55">
            <v>1871143305</v>
          </cell>
          <cell r="BC55">
            <v>7.5457396352102668</v>
          </cell>
        </row>
        <row r="56">
          <cell r="F56">
            <v>1225688757</v>
          </cell>
          <cell r="BC56">
            <v>7.1872450331397157</v>
          </cell>
        </row>
        <row r="57">
          <cell r="F57">
            <v>1841840378</v>
          </cell>
          <cell r="BC57">
            <v>8.0170333654773387</v>
          </cell>
        </row>
        <row r="58">
          <cell r="F58">
            <v>1760032296</v>
          </cell>
          <cell r="BC58">
            <v>7.3119773360753237</v>
          </cell>
        </row>
        <row r="59">
          <cell r="F59">
            <v>1295723377</v>
          </cell>
          <cell r="BC59">
            <v>21.748698800626808</v>
          </cell>
        </row>
        <row r="60">
          <cell r="F60">
            <v>1649254582</v>
          </cell>
          <cell r="BC60">
            <v>32.827009660955511</v>
          </cell>
        </row>
        <row r="61">
          <cell r="F61">
            <v>1316512346</v>
          </cell>
          <cell r="BC61">
            <v>20.869970498892361</v>
          </cell>
        </row>
        <row r="62">
          <cell r="F62">
            <v>1992724157</v>
          </cell>
          <cell r="BC62">
            <v>10.686460487979938</v>
          </cell>
        </row>
        <row r="63">
          <cell r="F63">
            <v>1578059085</v>
          </cell>
          <cell r="BC63">
            <v>12.418335558294515</v>
          </cell>
        </row>
        <row r="64">
          <cell r="F64">
            <v>1114480233</v>
          </cell>
          <cell r="BC64">
            <v>16.382682497589201</v>
          </cell>
        </row>
        <row r="65">
          <cell r="F65">
            <v>1689147035</v>
          </cell>
          <cell r="BC65">
            <v>10.198115553278665</v>
          </cell>
        </row>
        <row r="66">
          <cell r="F66">
            <v>1184174484</v>
          </cell>
          <cell r="BC66">
            <v>23.023421282365042</v>
          </cell>
        </row>
        <row r="67">
          <cell r="F67">
            <v>1578013876</v>
          </cell>
          <cell r="BC67">
            <v>7.9301163934426206</v>
          </cell>
        </row>
        <row r="68">
          <cell r="F68">
            <v>1437609732</v>
          </cell>
          <cell r="BC68">
            <v>14.371994811612442</v>
          </cell>
        </row>
        <row r="69">
          <cell r="F69">
            <v>1336602358</v>
          </cell>
          <cell r="BC69">
            <v>18.581689382835062</v>
          </cell>
        </row>
        <row r="70">
          <cell r="F70">
            <v>1215400668</v>
          </cell>
          <cell r="BC70">
            <v>13.585122016634557</v>
          </cell>
        </row>
        <row r="71">
          <cell r="F71">
            <v>1003366311</v>
          </cell>
          <cell r="BC71">
            <v>16.481300015429156</v>
          </cell>
        </row>
        <row r="72">
          <cell r="F72">
            <v>1174608350</v>
          </cell>
          <cell r="BC72">
            <v>12.003823926854384</v>
          </cell>
        </row>
        <row r="73">
          <cell r="F73">
            <v>1225524747</v>
          </cell>
          <cell r="BC73">
            <v>20.559671707449329</v>
          </cell>
        </row>
        <row r="74">
          <cell r="F74">
            <v>1295704997</v>
          </cell>
          <cell r="BC74">
            <v>23.092014344630034</v>
          </cell>
        </row>
        <row r="75">
          <cell r="F75">
            <v>1578683439</v>
          </cell>
          <cell r="BC75">
            <v>22.613854604765162</v>
          </cell>
        </row>
        <row r="76">
          <cell r="F76">
            <v>1104946060</v>
          </cell>
          <cell r="BC76">
            <v>19.411696385728064</v>
          </cell>
        </row>
        <row r="77">
          <cell r="F77">
            <v>1013656156</v>
          </cell>
          <cell r="BC77">
            <v>12.454461623071358</v>
          </cell>
        </row>
        <row r="78">
          <cell r="F78">
            <v>1184363236</v>
          </cell>
          <cell r="BC78">
            <v>12.740615947336956</v>
          </cell>
        </row>
        <row r="79">
          <cell r="F79">
            <v>1508505660</v>
          </cell>
          <cell r="BC79">
            <v>8.8072711782786737</v>
          </cell>
        </row>
        <row r="80">
          <cell r="F80">
            <v>1609996552</v>
          </cell>
          <cell r="BC80">
            <v>23.635833377531334</v>
          </cell>
        </row>
        <row r="81">
          <cell r="F81">
            <v>1912027871</v>
          </cell>
          <cell r="BC81">
            <v>20.771358906908102</v>
          </cell>
        </row>
        <row r="82">
          <cell r="F82">
            <v>1417696576</v>
          </cell>
          <cell r="BC82">
            <v>14.532237585006779</v>
          </cell>
        </row>
        <row r="83">
          <cell r="F83">
            <v>1639299571</v>
          </cell>
          <cell r="BC83">
            <v>15.206002784149636</v>
          </cell>
        </row>
        <row r="84">
          <cell r="F84">
            <v>1831219781</v>
          </cell>
          <cell r="BC84">
            <v>13.724626401277721</v>
          </cell>
        </row>
        <row r="85">
          <cell r="F85">
            <v>1518088830</v>
          </cell>
          <cell r="BC85">
            <v>13.52932026277724</v>
          </cell>
        </row>
        <row r="86">
          <cell r="F86">
            <v>1538808340</v>
          </cell>
          <cell r="BC86">
            <v>13.528042134931248</v>
          </cell>
        </row>
        <row r="87">
          <cell r="F87">
            <v>1134249006</v>
          </cell>
          <cell r="BC87">
            <v>15.754984297064848</v>
          </cell>
        </row>
        <row r="88">
          <cell r="F88">
            <v>1518606664</v>
          </cell>
          <cell r="BC88">
            <v>15.43139415121964</v>
          </cell>
        </row>
        <row r="89">
          <cell r="F89">
            <v>1598233645</v>
          </cell>
          <cell r="BC89">
            <v>25.71190357651642</v>
          </cell>
        </row>
        <row r="90">
          <cell r="F90">
            <v>1659849701</v>
          </cell>
          <cell r="BC90">
            <v>15.990310680809998</v>
          </cell>
        </row>
        <row r="91">
          <cell r="F91">
            <v>1205357878</v>
          </cell>
          <cell r="BC91">
            <v>23.438804349060888</v>
          </cell>
        </row>
        <row r="92">
          <cell r="F92">
            <v>1063919652</v>
          </cell>
          <cell r="BC92">
            <v>17.188126289296005</v>
          </cell>
        </row>
        <row r="93">
          <cell r="F93">
            <v>1518435650</v>
          </cell>
          <cell r="BC93">
            <v>34.10360267356441</v>
          </cell>
        </row>
        <row r="94">
          <cell r="F94">
            <v>1245350289</v>
          </cell>
          <cell r="BC94">
            <v>15.214655298738668</v>
          </cell>
        </row>
        <row r="95">
          <cell r="F95">
            <v>1851030985</v>
          </cell>
          <cell r="BC95">
            <v>12.76005322745899</v>
          </cell>
        </row>
        <row r="96">
          <cell r="F96">
            <v>1861513715</v>
          </cell>
          <cell r="BC96">
            <v>17.620730472516875</v>
          </cell>
        </row>
        <row r="97">
          <cell r="F97">
            <v>1932606530</v>
          </cell>
          <cell r="BC97">
            <v>9.3065886773143287</v>
          </cell>
        </row>
        <row r="98">
          <cell r="F98">
            <v>1972071033</v>
          </cell>
          <cell r="BC98">
            <v>11.442805712632607</v>
          </cell>
        </row>
        <row r="99">
          <cell r="F99">
            <v>1255070306</v>
          </cell>
          <cell r="BC99">
            <v>17.276707834136978</v>
          </cell>
        </row>
        <row r="100">
          <cell r="F100">
            <v>1598262198</v>
          </cell>
          <cell r="BC100">
            <v>22.518560634939337</v>
          </cell>
        </row>
        <row r="101">
          <cell r="F101">
            <v>1437627593</v>
          </cell>
          <cell r="BC101">
            <v>17.736580854387697</v>
          </cell>
        </row>
        <row r="102">
          <cell r="F102">
            <v>1235236878</v>
          </cell>
          <cell r="BC102">
            <v>9.8058876132969388</v>
          </cell>
        </row>
        <row r="103">
          <cell r="F103">
            <v>1033611959</v>
          </cell>
          <cell r="BC103">
            <v>24.08770118442208</v>
          </cell>
        </row>
        <row r="104">
          <cell r="F104">
            <v>1356372650</v>
          </cell>
          <cell r="BC104">
            <v>18.342992572671722</v>
          </cell>
        </row>
        <row r="105">
          <cell r="F105">
            <v>1669408969</v>
          </cell>
          <cell r="BC105">
            <v>18.642054277724206</v>
          </cell>
        </row>
        <row r="106">
          <cell r="F106">
            <v>1861504946</v>
          </cell>
          <cell r="BC106">
            <v>25.570080474821953</v>
          </cell>
        </row>
        <row r="107">
          <cell r="F107">
            <v>1982640785</v>
          </cell>
          <cell r="BC107">
            <v>8.2673081080038653</v>
          </cell>
        </row>
        <row r="108">
          <cell r="F108">
            <v>1083659692</v>
          </cell>
          <cell r="BC108">
            <v>8.6292991457607027</v>
          </cell>
        </row>
        <row r="109">
          <cell r="F109">
            <v>1821024274</v>
          </cell>
          <cell r="BC109">
            <v>7.9301163934426206</v>
          </cell>
        </row>
        <row r="110">
          <cell r="F110">
            <v>1457397952</v>
          </cell>
          <cell r="BC110">
            <v>10.684003256750245</v>
          </cell>
        </row>
        <row r="111">
          <cell r="F111">
            <v>1508802497</v>
          </cell>
          <cell r="BC111">
            <v>10.029278444551622</v>
          </cell>
        </row>
        <row r="112">
          <cell r="F112">
            <v>1366487464</v>
          </cell>
          <cell r="BC112">
            <v>10.970344697926704</v>
          </cell>
        </row>
        <row r="113">
          <cell r="F113">
            <v>1619908977</v>
          </cell>
          <cell r="BC113">
            <v>8.901231881026991</v>
          </cell>
        </row>
        <row r="114">
          <cell r="F114">
            <v>1689603060</v>
          </cell>
          <cell r="BC114">
            <v>13.561206979267084</v>
          </cell>
        </row>
        <row r="115">
          <cell r="F115">
            <v>1285665539</v>
          </cell>
          <cell r="BC115">
            <v>16.784124724148434</v>
          </cell>
        </row>
        <row r="116">
          <cell r="F116">
            <v>1699710293</v>
          </cell>
          <cell r="BC116">
            <v>20.224349960658607</v>
          </cell>
        </row>
        <row r="117">
          <cell r="F117">
            <v>1972547321</v>
          </cell>
          <cell r="BC117">
            <v>15.61801809836069</v>
          </cell>
        </row>
        <row r="118">
          <cell r="F118">
            <v>1962447565</v>
          </cell>
          <cell r="BC118">
            <v>10.493190527242009</v>
          </cell>
        </row>
        <row r="119">
          <cell r="F119">
            <v>1811923931</v>
          </cell>
          <cell r="BC119">
            <v>18.376581706846657</v>
          </cell>
        </row>
        <row r="120">
          <cell r="F120">
            <v>1932145836</v>
          </cell>
          <cell r="BC120">
            <v>18.58183784956606</v>
          </cell>
        </row>
        <row r="121">
          <cell r="F121">
            <v>1376570275</v>
          </cell>
          <cell r="BC121">
            <v>11.531846800385742</v>
          </cell>
        </row>
        <row r="122">
          <cell r="F122">
            <v>1255367447</v>
          </cell>
          <cell r="BC122">
            <v>11.654288200015246</v>
          </cell>
        </row>
        <row r="123">
          <cell r="F123">
            <v>1952337073</v>
          </cell>
          <cell r="BC123">
            <v>8.0170333654773387</v>
          </cell>
        </row>
        <row r="124">
          <cell r="F124">
            <v>1659307395</v>
          </cell>
          <cell r="BC124">
            <v>12.772653923577609</v>
          </cell>
        </row>
        <row r="125">
          <cell r="F125">
            <v>1942236161</v>
          </cell>
          <cell r="BC125">
            <v>20.133188338781768</v>
          </cell>
        </row>
        <row r="126">
          <cell r="F126">
            <v>1396771515</v>
          </cell>
          <cell r="BC126">
            <v>32.338402918410651</v>
          </cell>
        </row>
        <row r="127">
          <cell r="F127">
            <v>1558393835</v>
          </cell>
          <cell r="BC127">
            <v>12.673367943587257</v>
          </cell>
        </row>
        <row r="128">
          <cell r="F128">
            <v>1265816185</v>
          </cell>
          <cell r="BC128">
            <v>13.553235300144623</v>
          </cell>
        </row>
        <row r="129">
          <cell r="F129">
            <v>1407882830</v>
          </cell>
          <cell r="BC129">
            <v>10.424922734811986</v>
          </cell>
        </row>
        <row r="130">
          <cell r="F130">
            <v>1235175175</v>
          </cell>
          <cell r="BC130">
            <v>8.1039503375120532</v>
          </cell>
        </row>
        <row r="131">
          <cell r="F131">
            <v>1225064777</v>
          </cell>
          <cell r="BC131">
            <v>9.7005239421407907</v>
          </cell>
        </row>
        <row r="132">
          <cell r="F132">
            <v>1063458958</v>
          </cell>
          <cell r="BC132">
            <v>11.981604633905402</v>
          </cell>
        </row>
        <row r="133">
          <cell r="F133">
            <v>1750317897</v>
          </cell>
          <cell r="BC133">
            <v>13.499552407095115</v>
          </cell>
        </row>
        <row r="134">
          <cell r="F134">
            <v>1184650541</v>
          </cell>
          <cell r="BC134">
            <v>10.682246421407934</v>
          </cell>
        </row>
        <row r="135">
          <cell r="F135">
            <v>1700812146</v>
          </cell>
          <cell r="BC135">
            <v>16.56904723522134</v>
          </cell>
        </row>
        <row r="136">
          <cell r="F136">
            <v>1336612530</v>
          </cell>
          <cell r="BC136">
            <v>28.482639897676556</v>
          </cell>
        </row>
        <row r="137">
          <cell r="F137">
            <v>1952446510</v>
          </cell>
          <cell r="BC137">
            <v>12.993192924300864</v>
          </cell>
        </row>
        <row r="138">
          <cell r="F138">
            <v>1376926519</v>
          </cell>
          <cell r="BC138">
            <v>15.717208338172814</v>
          </cell>
        </row>
        <row r="139">
          <cell r="F139">
            <v>1225654098</v>
          </cell>
          <cell r="BC139">
            <v>11.270342860414679</v>
          </cell>
        </row>
        <row r="140">
          <cell r="F140">
            <v>1235591918</v>
          </cell>
          <cell r="BC140">
            <v>19.068862865959527</v>
          </cell>
        </row>
        <row r="141">
          <cell r="F141">
            <v>1336196526</v>
          </cell>
          <cell r="BC141">
            <v>14.336891497726933</v>
          </cell>
        </row>
        <row r="142">
          <cell r="F142">
            <v>1295279594</v>
          </cell>
          <cell r="BC142">
            <v>26.938581079892256</v>
          </cell>
        </row>
        <row r="143">
          <cell r="F143">
            <v>1326074048</v>
          </cell>
          <cell r="BC143">
            <v>15.952790597878474</v>
          </cell>
        </row>
        <row r="144">
          <cell r="F144">
            <v>1114501459</v>
          </cell>
          <cell r="BC144">
            <v>22.762749277519266</v>
          </cell>
        </row>
        <row r="145">
          <cell r="F145">
            <v>1255385720</v>
          </cell>
          <cell r="BC145">
            <v>16.441095876567065</v>
          </cell>
        </row>
        <row r="146">
          <cell r="F146">
            <v>1144804485</v>
          </cell>
          <cell r="BC146">
            <v>23.218637698208404</v>
          </cell>
        </row>
        <row r="147">
          <cell r="F147">
            <v>1083711626</v>
          </cell>
          <cell r="BC147">
            <v>13.319285657545796</v>
          </cell>
        </row>
        <row r="148">
          <cell r="F148">
            <v>1669821336</v>
          </cell>
          <cell r="BC148">
            <v>12.885157087753111</v>
          </cell>
        </row>
        <row r="149">
          <cell r="F149">
            <v>1083661193</v>
          </cell>
          <cell r="BC149">
            <v>15.505210484088758</v>
          </cell>
        </row>
        <row r="150">
          <cell r="F150">
            <v>1336118298</v>
          </cell>
          <cell r="BC150">
            <v>11.157871464561275</v>
          </cell>
        </row>
        <row r="151">
          <cell r="F151">
            <v>1609976901</v>
          </cell>
          <cell r="BC151">
            <v>22.76278207760944</v>
          </cell>
        </row>
        <row r="152">
          <cell r="F152">
            <v>1104800069</v>
          </cell>
          <cell r="BC152">
            <v>24.530143155789219</v>
          </cell>
        </row>
        <row r="153">
          <cell r="F153">
            <v>1235239567</v>
          </cell>
          <cell r="BC153">
            <v>8.1039503375120514</v>
          </cell>
        </row>
        <row r="154">
          <cell r="F154">
            <v>1316921190</v>
          </cell>
          <cell r="BC154">
            <v>26.633000288088986</v>
          </cell>
        </row>
        <row r="155">
          <cell r="F155">
            <v>1194825448</v>
          </cell>
          <cell r="BC155">
            <v>8.2777842815814857</v>
          </cell>
        </row>
        <row r="156">
          <cell r="F156">
            <v>1851375703</v>
          </cell>
          <cell r="BC156">
            <v>23.820681653819079</v>
          </cell>
        </row>
        <row r="157">
          <cell r="F157">
            <v>1316351034</v>
          </cell>
          <cell r="BC157">
            <v>21.906947662970151</v>
          </cell>
        </row>
        <row r="158">
          <cell r="F158">
            <v>1194309336</v>
          </cell>
          <cell r="BC158">
            <v>23.288172150897175</v>
          </cell>
        </row>
        <row r="159">
          <cell r="F159">
            <v>1356387153</v>
          </cell>
          <cell r="BC159">
            <v>13.088264689006747</v>
          </cell>
        </row>
        <row r="160">
          <cell r="F160">
            <v>1740249382</v>
          </cell>
          <cell r="BC160">
            <v>35.262441561988865</v>
          </cell>
        </row>
        <row r="161">
          <cell r="F161">
            <v>1225000888</v>
          </cell>
          <cell r="BC161">
            <v>23.983463879014856</v>
          </cell>
        </row>
        <row r="162">
          <cell r="F162">
            <v>1407803679</v>
          </cell>
          <cell r="BC162">
            <v>13.888823946480207</v>
          </cell>
        </row>
        <row r="163">
          <cell r="F163">
            <v>1841854361</v>
          </cell>
          <cell r="BC163">
            <v>13.147880433183326</v>
          </cell>
        </row>
        <row r="164">
          <cell r="F164">
            <v>1891722187</v>
          </cell>
          <cell r="BC164">
            <v>20.946323066385737</v>
          </cell>
        </row>
        <row r="165">
          <cell r="F165">
            <v>1164476636</v>
          </cell>
          <cell r="BC165">
            <v>18.46109403401854</v>
          </cell>
        </row>
        <row r="166">
          <cell r="F166">
            <v>1891740544</v>
          </cell>
          <cell r="BC166">
            <v>26.892916511596198</v>
          </cell>
        </row>
        <row r="167">
          <cell r="F167">
            <v>1356346191</v>
          </cell>
          <cell r="BC167">
            <v>23.345632818323708</v>
          </cell>
        </row>
        <row r="168">
          <cell r="F168">
            <v>1346806015</v>
          </cell>
          <cell r="BC168">
            <v>27.486131789180941</v>
          </cell>
        </row>
        <row r="169">
          <cell r="F169">
            <v>1073599510</v>
          </cell>
          <cell r="BC169">
            <v>15.299774451818511</v>
          </cell>
        </row>
        <row r="170">
          <cell r="F170">
            <v>1972587376</v>
          </cell>
          <cell r="BC170">
            <v>25.137872866441658</v>
          </cell>
        </row>
        <row r="171">
          <cell r="F171">
            <v>1437103850</v>
          </cell>
          <cell r="BC171">
            <v>10.320569889103181</v>
          </cell>
        </row>
        <row r="172">
          <cell r="F172">
            <v>1093131310</v>
          </cell>
          <cell r="BC172">
            <v>20.630957911764686</v>
          </cell>
        </row>
        <row r="173">
          <cell r="F173">
            <v>1831649268</v>
          </cell>
          <cell r="BC173">
            <v>17.088678765670203</v>
          </cell>
        </row>
        <row r="174">
          <cell r="F174">
            <v>1346851052</v>
          </cell>
          <cell r="BC174">
            <v>12.824993721939963</v>
          </cell>
        </row>
        <row r="175">
          <cell r="F175">
            <v>1750418802</v>
          </cell>
          <cell r="BC175">
            <v>14.222856346432016</v>
          </cell>
        </row>
        <row r="176">
          <cell r="F176">
            <v>1265556294</v>
          </cell>
          <cell r="BC176">
            <v>21.431670826910374</v>
          </cell>
        </row>
        <row r="177">
          <cell r="F177">
            <v>1427248905</v>
          </cell>
          <cell r="BC177">
            <v>24.184355798058121</v>
          </cell>
        </row>
        <row r="178">
          <cell r="F178">
            <v>1588219828</v>
          </cell>
          <cell r="BC178">
            <v>9.8932265783240787</v>
          </cell>
        </row>
        <row r="179">
          <cell r="F179">
            <v>1245287762</v>
          </cell>
          <cell r="BC179">
            <v>21.099459076753416</v>
          </cell>
        </row>
        <row r="180">
          <cell r="F180">
            <v>1407803828</v>
          </cell>
          <cell r="BC180">
            <v>12.347134006707167</v>
          </cell>
        </row>
        <row r="181">
          <cell r="F181">
            <v>1275508970</v>
          </cell>
          <cell r="BC181">
            <v>16.315683985814022</v>
          </cell>
        </row>
        <row r="182">
          <cell r="F182">
            <v>1134175524</v>
          </cell>
          <cell r="BC182">
            <v>8.2679777198596422</v>
          </cell>
        </row>
        <row r="183">
          <cell r="F183">
            <v>1568127488</v>
          </cell>
          <cell r="BC183">
            <v>8.103950337512055</v>
          </cell>
        </row>
        <row r="184">
          <cell r="F184">
            <v>1396747689</v>
          </cell>
          <cell r="BC184">
            <v>12.372514046528435</v>
          </cell>
        </row>
        <row r="185">
          <cell r="F185">
            <v>1932135381</v>
          </cell>
          <cell r="BC185">
            <v>14.358374891513952</v>
          </cell>
        </row>
        <row r="186">
          <cell r="F186">
            <v>1710932355</v>
          </cell>
          <cell r="BC186">
            <v>23.898673643924788</v>
          </cell>
        </row>
        <row r="187">
          <cell r="F187">
            <v>1417951492</v>
          </cell>
          <cell r="BC187">
            <v>14.61869713114754</v>
          </cell>
        </row>
        <row r="188">
          <cell r="F188">
            <v>1730136128</v>
          </cell>
          <cell r="BC188">
            <v>11.535314863109791</v>
          </cell>
        </row>
        <row r="189">
          <cell r="F189">
            <v>1699313544</v>
          </cell>
          <cell r="BC189">
            <v>19.625139708775304</v>
          </cell>
        </row>
        <row r="190">
          <cell r="F190">
            <v>1144868092</v>
          </cell>
          <cell r="BC190">
            <v>16.438735614271987</v>
          </cell>
        </row>
        <row r="191">
          <cell r="F191">
            <v>1679555403</v>
          </cell>
          <cell r="BC191">
            <v>30.239146260215769</v>
          </cell>
        </row>
        <row r="192">
          <cell r="F192">
            <v>1174524458</v>
          </cell>
          <cell r="BC192">
            <v>21.752724542367403</v>
          </cell>
        </row>
        <row r="193">
          <cell r="F193">
            <v>1477511079</v>
          </cell>
          <cell r="BC193">
            <v>15.943906761812947</v>
          </cell>
        </row>
        <row r="194">
          <cell r="F194">
            <v>1023386190</v>
          </cell>
          <cell r="BC194">
            <v>11.146624324975859</v>
          </cell>
        </row>
        <row r="195">
          <cell r="F195">
            <v>1396802260</v>
          </cell>
          <cell r="BC195">
            <v>34.827259038823847</v>
          </cell>
        </row>
        <row r="196">
          <cell r="F196">
            <v>1962509505</v>
          </cell>
          <cell r="BC196">
            <v>23.484007694069458</v>
          </cell>
        </row>
        <row r="197">
          <cell r="F197">
            <v>1588618045</v>
          </cell>
          <cell r="BC197">
            <v>8.103950337512055</v>
          </cell>
        </row>
        <row r="198">
          <cell r="F198">
            <v>1962066480</v>
          </cell>
          <cell r="BC198">
            <v>8.0170333654773387</v>
          </cell>
        </row>
        <row r="199">
          <cell r="F199">
            <v>1588642102</v>
          </cell>
          <cell r="BC199">
            <v>19.24222138862099</v>
          </cell>
        </row>
        <row r="200">
          <cell r="F200">
            <v>1154792000</v>
          </cell>
          <cell r="BC200">
            <v>8.7763127741080158</v>
          </cell>
        </row>
        <row r="201">
          <cell r="F201">
            <v>1992242119</v>
          </cell>
          <cell r="BC201">
            <v>13.907975021094515</v>
          </cell>
        </row>
        <row r="202">
          <cell r="F202">
            <v>1194381681</v>
          </cell>
          <cell r="BC202">
            <v>16.379276489874616</v>
          </cell>
        </row>
        <row r="203">
          <cell r="F203">
            <v>1902462401</v>
          </cell>
          <cell r="BC203">
            <v>17.719582171649016</v>
          </cell>
        </row>
        <row r="204">
          <cell r="F204">
            <v>1689777971</v>
          </cell>
          <cell r="BC204">
            <v>8.4973227290259974</v>
          </cell>
        </row>
        <row r="205">
          <cell r="F205">
            <v>1649685132</v>
          </cell>
          <cell r="BC205">
            <v>22.920978959257468</v>
          </cell>
        </row>
        <row r="206">
          <cell r="F206">
            <v>1205252640</v>
          </cell>
          <cell r="BC206">
            <v>10.988249960477864</v>
          </cell>
        </row>
        <row r="207">
          <cell r="F207">
            <v>1528505757</v>
          </cell>
          <cell r="BC207">
            <v>16.402763762777251</v>
          </cell>
        </row>
        <row r="208">
          <cell r="F208">
            <v>1164848503</v>
          </cell>
          <cell r="BC208">
            <v>17.367763344748237</v>
          </cell>
        </row>
        <row r="209">
          <cell r="F209">
            <v>1033784970</v>
          </cell>
          <cell r="BC209">
            <v>20.621934734003656</v>
          </cell>
        </row>
        <row r="210">
          <cell r="F210">
            <v>1013951896</v>
          </cell>
          <cell r="BC210">
            <v>11.157472657084956</v>
          </cell>
        </row>
        <row r="211">
          <cell r="F211">
            <v>1649590498</v>
          </cell>
          <cell r="BC211">
            <v>8.6082325939006683</v>
          </cell>
        </row>
        <row r="212">
          <cell r="F212">
            <v>1235370750</v>
          </cell>
          <cell r="BC212">
            <v>23.58692463591262</v>
          </cell>
        </row>
        <row r="213">
          <cell r="F213">
            <v>1295391795</v>
          </cell>
          <cell r="BC213">
            <v>8.3394552930328043</v>
          </cell>
        </row>
        <row r="214">
          <cell r="F214">
            <v>1447736087</v>
          </cell>
          <cell r="BC214">
            <v>8.9754806268756262</v>
          </cell>
        </row>
        <row r="215">
          <cell r="F215">
            <v>1144277666</v>
          </cell>
          <cell r="BC215">
            <v>13.652881289175479</v>
          </cell>
        </row>
        <row r="216">
          <cell r="F216">
            <v>1982948550</v>
          </cell>
          <cell r="BC216">
            <v>9.6224110549102999</v>
          </cell>
        </row>
        <row r="217">
          <cell r="F217">
            <v>1699886085</v>
          </cell>
          <cell r="BC217">
            <v>22.760418451217575</v>
          </cell>
        </row>
        <row r="218">
          <cell r="F218">
            <v>1336142470</v>
          </cell>
          <cell r="BC218">
            <v>19.483496780098463</v>
          </cell>
        </row>
        <row r="219">
          <cell r="F219">
            <v>1811984925</v>
          </cell>
          <cell r="BC219">
            <v>15.342266152362585</v>
          </cell>
        </row>
        <row r="220">
          <cell r="F220">
            <v>1689621880</v>
          </cell>
          <cell r="BC220">
            <v>13.213480904652842</v>
          </cell>
        </row>
        <row r="221">
          <cell r="F221">
            <v>1932750841</v>
          </cell>
          <cell r="BC221">
            <v>24.42435417671167</v>
          </cell>
        </row>
        <row r="222">
          <cell r="F222">
            <v>1851836118</v>
          </cell>
          <cell r="BC222">
            <v>12.196503298226833</v>
          </cell>
        </row>
        <row r="223">
          <cell r="F223">
            <v>1447435722</v>
          </cell>
          <cell r="BC223">
            <v>23.085445295803776</v>
          </cell>
        </row>
        <row r="224">
          <cell r="F224">
            <v>1598704504</v>
          </cell>
          <cell r="BC224">
            <v>21.611566435149467</v>
          </cell>
        </row>
        <row r="225">
          <cell r="F225">
            <v>1427608959</v>
          </cell>
          <cell r="BC225">
            <v>15.919009537126337</v>
          </cell>
        </row>
        <row r="226">
          <cell r="F226">
            <v>1437564739</v>
          </cell>
          <cell r="BC226">
            <v>22.057250269836555</v>
          </cell>
        </row>
        <row r="227">
          <cell r="F227">
            <v>1548206907</v>
          </cell>
          <cell r="BC227">
            <v>23.318167424903603</v>
          </cell>
        </row>
        <row r="228">
          <cell r="F228">
            <v>1922456664</v>
          </cell>
          <cell r="BC228">
            <v>14.076196582087796</v>
          </cell>
        </row>
        <row r="229">
          <cell r="F229">
            <v>1831551514</v>
          </cell>
          <cell r="BC229">
            <v>14.58481549903567</v>
          </cell>
        </row>
        <row r="230">
          <cell r="F230">
            <v>1295704849</v>
          </cell>
          <cell r="BC230">
            <v>8.0170333654773369</v>
          </cell>
        </row>
        <row r="231">
          <cell r="F231">
            <v>1083298236</v>
          </cell>
          <cell r="BC231">
            <v>22.201034949711183</v>
          </cell>
        </row>
        <row r="232">
          <cell r="F232">
            <v>1669425401</v>
          </cell>
          <cell r="BC232">
            <v>21.888148395262313</v>
          </cell>
        </row>
        <row r="233">
          <cell r="F233">
            <v>1861446270</v>
          </cell>
          <cell r="BC233">
            <v>21.521249993975246</v>
          </cell>
        </row>
        <row r="234">
          <cell r="F234">
            <v>1407800972</v>
          </cell>
          <cell r="BC234">
            <v>18.801983456371399</v>
          </cell>
        </row>
        <row r="235">
          <cell r="F235">
            <v>1326089616</v>
          </cell>
          <cell r="BC235">
            <v>19.230214359019943</v>
          </cell>
        </row>
        <row r="236">
          <cell r="F236">
            <v>1538113014</v>
          </cell>
          <cell r="BC236">
            <v>21.133211128293411</v>
          </cell>
        </row>
        <row r="237">
          <cell r="F237">
            <v>1851941389</v>
          </cell>
          <cell r="BC237">
            <v>8.1039503375120532</v>
          </cell>
        </row>
        <row r="238">
          <cell r="F238">
            <v>1295101673</v>
          </cell>
          <cell r="BC238">
            <v>8.0170333654773405</v>
          </cell>
        </row>
        <row r="239">
          <cell r="F239">
            <v>1760415434</v>
          </cell>
          <cell r="BC239">
            <v>13.916002423662002</v>
          </cell>
        </row>
        <row r="240">
          <cell r="F240">
            <v>1629494059</v>
          </cell>
          <cell r="BC240">
            <v>11.397810442381862</v>
          </cell>
        </row>
        <row r="241">
          <cell r="F241">
            <v>1174149934</v>
          </cell>
          <cell r="BC241">
            <v>12.401689245709969</v>
          </cell>
        </row>
        <row r="242">
          <cell r="F242">
            <v>1467421024</v>
          </cell>
          <cell r="BC242">
            <v>17.059448725168714</v>
          </cell>
        </row>
        <row r="243">
          <cell r="F243">
            <v>1043865538</v>
          </cell>
          <cell r="BC243">
            <v>10.908559186113781</v>
          </cell>
        </row>
        <row r="244">
          <cell r="F244">
            <v>1447254149</v>
          </cell>
          <cell r="BC244">
            <v>29.311760996968058</v>
          </cell>
        </row>
        <row r="245">
          <cell r="F245">
            <v>1215931977</v>
          </cell>
          <cell r="BC245">
            <v>30.260814767169734</v>
          </cell>
        </row>
        <row r="246">
          <cell r="F246">
            <v>1427052067</v>
          </cell>
          <cell r="BC246">
            <v>24.725243145039329</v>
          </cell>
        </row>
        <row r="247">
          <cell r="F247">
            <v>1508864323</v>
          </cell>
          <cell r="BC247">
            <v>31.121694212642058</v>
          </cell>
        </row>
        <row r="248">
          <cell r="F248">
            <v>1912902230</v>
          </cell>
          <cell r="BC248">
            <v>29.01391571211132</v>
          </cell>
        </row>
        <row r="249">
          <cell r="F249">
            <v>1497058416</v>
          </cell>
          <cell r="BC249">
            <v>12.406472996987047</v>
          </cell>
        </row>
        <row r="250">
          <cell r="F250">
            <v>1407325103</v>
          </cell>
          <cell r="BC250">
            <v>12.558690435431112</v>
          </cell>
        </row>
        <row r="251">
          <cell r="F251">
            <v>1164725198</v>
          </cell>
          <cell r="BC251">
            <v>13.687577536764739</v>
          </cell>
        </row>
        <row r="252">
          <cell r="F252">
            <v>1528544145</v>
          </cell>
          <cell r="BC252">
            <v>16.05413378013499</v>
          </cell>
        </row>
        <row r="253">
          <cell r="F253">
            <v>1922747088</v>
          </cell>
          <cell r="BC253">
            <v>12.421973506950547</v>
          </cell>
        </row>
        <row r="254">
          <cell r="F254">
            <v>1023671765</v>
          </cell>
          <cell r="BC254">
            <v>8.1039503375120514</v>
          </cell>
        </row>
        <row r="255">
          <cell r="F255">
            <v>1245737840</v>
          </cell>
          <cell r="BC255">
            <v>24.267620862644652</v>
          </cell>
        </row>
        <row r="256">
          <cell r="F256">
            <v>1720033475</v>
          </cell>
          <cell r="BC256">
            <v>8.1039503375120532</v>
          </cell>
        </row>
        <row r="257">
          <cell r="F257">
            <v>1477641694</v>
          </cell>
          <cell r="BC257">
            <v>18.436533203219678</v>
          </cell>
        </row>
        <row r="258">
          <cell r="F258">
            <v>1366529406</v>
          </cell>
          <cell r="BC258">
            <v>10.648160521400648</v>
          </cell>
        </row>
        <row r="259">
          <cell r="F259">
            <v>1972261808</v>
          </cell>
          <cell r="BC259">
            <v>7.9301163934426215</v>
          </cell>
        </row>
        <row r="260">
          <cell r="F260">
            <v>1669991865</v>
          </cell>
          <cell r="BC260">
            <v>9.8495570958105105</v>
          </cell>
        </row>
        <row r="261">
          <cell r="F261">
            <v>1699336776</v>
          </cell>
          <cell r="BC261">
            <v>8.1039503375120514</v>
          </cell>
        </row>
        <row r="262">
          <cell r="F262">
            <v>1790317840</v>
          </cell>
          <cell r="BC262">
            <v>19.612204374156221</v>
          </cell>
        </row>
        <row r="263">
          <cell r="F263">
            <v>1831197714</v>
          </cell>
          <cell r="BC263">
            <v>15.874968569400663</v>
          </cell>
        </row>
        <row r="264">
          <cell r="F264">
            <v>1871063214</v>
          </cell>
          <cell r="BC264">
            <v>14.282651647257799</v>
          </cell>
        </row>
        <row r="265">
          <cell r="F265">
            <v>1952396509</v>
          </cell>
          <cell r="BC265">
            <v>7.9301163934426215</v>
          </cell>
        </row>
        <row r="266">
          <cell r="F266">
            <v>1396754875</v>
          </cell>
          <cell r="BC266">
            <v>23.453755616835217</v>
          </cell>
        </row>
        <row r="267">
          <cell r="F267">
            <v>1891007506</v>
          </cell>
          <cell r="BC267" t="e">
            <v>#N/A</v>
          </cell>
        </row>
        <row r="268">
          <cell r="F268">
            <v>1922611102</v>
          </cell>
          <cell r="BC268">
            <v>8.1102754584680454</v>
          </cell>
        </row>
        <row r="269">
          <cell r="F269">
            <v>1851348379</v>
          </cell>
          <cell r="BC269">
            <v>21.035638782781131</v>
          </cell>
        </row>
        <row r="270">
          <cell r="F270">
            <v>1477146959</v>
          </cell>
          <cell r="BC270">
            <v>14.581581906943144</v>
          </cell>
        </row>
        <row r="271">
          <cell r="F271">
            <v>1093754459</v>
          </cell>
          <cell r="BC271">
            <v>14.686625194725957</v>
          </cell>
        </row>
        <row r="272">
          <cell r="F272">
            <v>1548770423</v>
          </cell>
          <cell r="BC272">
            <v>13.894594069707637</v>
          </cell>
        </row>
        <row r="273">
          <cell r="F273">
            <v>1497996920</v>
          </cell>
          <cell r="BC273">
            <v>10.671116285438805</v>
          </cell>
        </row>
        <row r="274">
          <cell r="F274">
            <v>1578715504</v>
          </cell>
          <cell r="BC274">
            <v>18.014823685631587</v>
          </cell>
        </row>
        <row r="275">
          <cell r="F275">
            <v>1548293988</v>
          </cell>
          <cell r="BC275">
            <v>34.479711926422802</v>
          </cell>
        </row>
        <row r="276">
          <cell r="F276">
            <v>1609124155</v>
          </cell>
          <cell r="BC276">
            <v>26.972596724398681</v>
          </cell>
        </row>
        <row r="277">
          <cell r="F277">
            <v>1780693663</v>
          </cell>
          <cell r="BC277">
            <v>16.08139243307701</v>
          </cell>
        </row>
        <row r="278">
          <cell r="F278">
            <v>1144646274</v>
          </cell>
          <cell r="BC278">
            <v>17.059136748312447</v>
          </cell>
        </row>
        <row r="279">
          <cell r="F279">
            <v>1124015458</v>
          </cell>
          <cell r="BC279">
            <v>32.155498992285445</v>
          </cell>
        </row>
        <row r="280">
          <cell r="F280">
            <v>1467007856</v>
          </cell>
          <cell r="BC280">
            <v>10.831704416586305</v>
          </cell>
        </row>
        <row r="281">
          <cell r="F281">
            <v>1841390002</v>
          </cell>
          <cell r="BC281">
            <v>11.61236014727996</v>
          </cell>
        </row>
        <row r="282">
          <cell r="F282">
            <v>1073034138</v>
          </cell>
          <cell r="BC282">
            <v>30.294807015377632</v>
          </cell>
        </row>
        <row r="283">
          <cell r="F283">
            <v>1861003485</v>
          </cell>
          <cell r="BC283">
            <v>9.01334976741928</v>
          </cell>
        </row>
        <row r="284">
          <cell r="F284">
            <v>1720085293</v>
          </cell>
          <cell r="BC284">
            <v>8.7423252476002968</v>
          </cell>
        </row>
        <row r="285">
          <cell r="F285">
            <v>1801428768</v>
          </cell>
          <cell r="BC285">
            <v>19.243872038001694</v>
          </cell>
        </row>
        <row r="286">
          <cell r="F286">
            <v>1336193754</v>
          </cell>
          <cell r="BC286">
            <v>30.261445686498806</v>
          </cell>
        </row>
        <row r="287">
          <cell r="F287">
            <v>1548696834</v>
          </cell>
          <cell r="BC287">
            <v>22.922299111485032</v>
          </cell>
        </row>
        <row r="288">
          <cell r="F288">
            <v>1396161527</v>
          </cell>
          <cell r="BC288">
            <v>18.418694129340853</v>
          </cell>
        </row>
        <row r="289">
          <cell r="F289">
            <v>1134660103</v>
          </cell>
          <cell r="BC289">
            <v>21.409782452989393</v>
          </cell>
        </row>
        <row r="290">
          <cell r="F290">
            <v>1043703945</v>
          </cell>
          <cell r="BC290">
            <v>24.277193131027033</v>
          </cell>
        </row>
        <row r="291">
          <cell r="F291">
            <v>1275823155</v>
          </cell>
          <cell r="BC291">
            <v>26.043499632628372</v>
          </cell>
        </row>
        <row r="292">
          <cell r="F292">
            <v>1336565779</v>
          </cell>
          <cell r="BC292">
            <v>13.929697693466721</v>
          </cell>
        </row>
        <row r="293">
          <cell r="F293">
            <v>1700874880</v>
          </cell>
          <cell r="BC293">
            <v>22.436496325337554</v>
          </cell>
        </row>
        <row r="294">
          <cell r="F294">
            <v>1306293170</v>
          </cell>
          <cell r="BC294">
            <v>7.8621580699614082</v>
          </cell>
        </row>
        <row r="295">
          <cell r="F295">
            <v>1033513320</v>
          </cell>
          <cell r="BC295">
            <v>13.138707985776264</v>
          </cell>
        </row>
        <row r="296">
          <cell r="F296">
            <v>1770149270</v>
          </cell>
          <cell r="BC296">
            <v>22.690689027724183</v>
          </cell>
        </row>
        <row r="297">
          <cell r="F297">
            <v>1104471531</v>
          </cell>
          <cell r="BC297">
            <v>8.0677757989121286</v>
          </cell>
        </row>
        <row r="298">
          <cell r="F298">
            <v>1568454262</v>
          </cell>
          <cell r="BC298">
            <v>21.662935953242261</v>
          </cell>
        </row>
        <row r="299">
          <cell r="F299">
            <v>1669023685</v>
          </cell>
          <cell r="BC299">
            <v>24.950034709498549</v>
          </cell>
        </row>
        <row r="300">
          <cell r="F300">
            <v>1053380626</v>
          </cell>
          <cell r="BC300">
            <v>14.327545514325477</v>
          </cell>
        </row>
        <row r="301">
          <cell r="F301">
            <v>1346241627</v>
          </cell>
          <cell r="BC301">
            <v>22.068693931778448</v>
          </cell>
        </row>
        <row r="302">
          <cell r="F302">
            <v>1740278126</v>
          </cell>
          <cell r="BC302">
            <v>8.1328011353778642</v>
          </cell>
        </row>
        <row r="303">
          <cell r="F303">
            <v>1639630452</v>
          </cell>
          <cell r="BC303">
            <v>24.870296739392476</v>
          </cell>
        </row>
        <row r="304">
          <cell r="F304">
            <v>1740386473</v>
          </cell>
          <cell r="BC304">
            <v>31.231053472516873</v>
          </cell>
        </row>
        <row r="305">
          <cell r="F305">
            <v>1689628141</v>
          </cell>
          <cell r="BC305">
            <v>18.67163720732885</v>
          </cell>
        </row>
        <row r="306">
          <cell r="F306">
            <v>1063838381</v>
          </cell>
          <cell r="BC306">
            <v>18.026103201542927</v>
          </cell>
        </row>
        <row r="307">
          <cell r="F307">
            <v>1093708497</v>
          </cell>
          <cell r="BC307">
            <v>13.239897421848204</v>
          </cell>
        </row>
        <row r="308">
          <cell r="F308">
            <v>1295733517</v>
          </cell>
          <cell r="BC308">
            <v>16.161222904618786</v>
          </cell>
        </row>
        <row r="309">
          <cell r="F309">
            <v>1649268335</v>
          </cell>
          <cell r="BC309">
            <v>8.3507330221793765</v>
          </cell>
        </row>
        <row r="310">
          <cell r="F310">
            <v>1417368143</v>
          </cell>
          <cell r="BC310">
            <v>26.726983016807395</v>
          </cell>
        </row>
        <row r="311">
          <cell r="F311">
            <v>1043263981</v>
          </cell>
          <cell r="BC311">
            <v>13.401773396817763</v>
          </cell>
        </row>
        <row r="312">
          <cell r="F312">
            <v>1710244827</v>
          </cell>
          <cell r="BC312">
            <v>35.658329072638232</v>
          </cell>
        </row>
        <row r="313">
          <cell r="F313">
            <v>1184712580</v>
          </cell>
          <cell r="BC313">
            <v>18.042993731918997</v>
          </cell>
        </row>
        <row r="314">
          <cell r="F314">
            <v>1407843097</v>
          </cell>
          <cell r="BC314">
            <v>24.950034709498556</v>
          </cell>
        </row>
        <row r="315">
          <cell r="F315">
            <v>1891346797</v>
          </cell>
          <cell r="BC315">
            <v>23.621657563886231</v>
          </cell>
        </row>
        <row r="316">
          <cell r="F316">
            <v>1639122328</v>
          </cell>
          <cell r="BC316">
            <v>8.5632613161331133</v>
          </cell>
        </row>
        <row r="317">
          <cell r="F317">
            <v>1467016105</v>
          </cell>
          <cell r="BC317">
            <v>16.19770328833177</v>
          </cell>
        </row>
        <row r="318">
          <cell r="F318">
            <v>1497283899</v>
          </cell>
          <cell r="BC318">
            <v>10.123134622709697</v>
          </cell>
        </row>
        <row r="319">
          <cell r="F319">
            <v>1285687962</v>
          </cell>
          <cell r="BC319">
            <v>18.114129744699401</v>
          </cell>
        </row>
        <row r="320">
          <cell r="F320">
            <v>1649224056</v>
          </cell>
          <cell r="BC320">
            <v>8.1039503375120532</v>
          </cell>
        </row>
        <row r="321">
          <cell r="F321">
            <v>1194779504</v>
          </cell>
          <cell r="BC321">
            <v>12.196872017170957</v>
          </cell>
        </row>
        <row r="322">
          <cell r="F322">
            <v>1003869983</v>
          </cell>
          <cell r="BC322">
            <v>8.1039503375120532</v>
          </cell>
        </row>
        <row r="323">
          <cell r="F323">
            <v>1952354565</v>
          </cell>
          <cell r="BC323">
            <v>10.700487788090674</v>
          </cell>
        </row>
        <row r="324">
          <cell r="F324">
            <v>1821414269</v>
          </cell>
          <cell r="BC324">
            <v>19.056561303760891</v>
          </cell>
        </row>
        <row r="325">
          <cell r="F325">
            <v>1225588536</v>
          </cell>
          <cell r="BC325">
            <v>20.99510234633367</v>
          </cell>
        </row>
        <row r="326">
          <cell r="F326">
            <v>1225279755</v>
          </cell>
          <cell r="BC326">
            <v>12.470070685269997</v>
          </cell>
        </row>
        <row r="327">
          <cell r="F327">
            <v>1720166838</v>
          </cell>
          <cell r="BC327">
            <v>13.127149364734677</v>
          </cell>
        </row>
        <row r="328">
          <cell r="F328">
            <v>1023358991</v>
          </cell>
          <cell r="BC328">
            <v>12.501603653377018</v>
          </cell>
        </row>
        <row r="329">
          <cell r="F329">
            <v>1700833233</v>
          </cell>
          <cell r="BC329">
            <v>22.803268307353516</v>
          </cell>
        </row>
        <row r="330">
          <cell r="F330">
            <v>1215982525</v>
          </cell>
          <cell r="BC330">
            <v>19.563141465766595</v>
          </cell>
        </row>
        <row r="331">
          <cell r="F331">
            <v>1427003110</v>
          </cell>
          <cell r="BC331">
            <v>17.506439841807932</v>
          </cell>
        </row>
        <row r="332">
          <cell r="F332">
            <v>1598710949</v>
          </cell>
          <cell r="BC332">
            <v>17.576674065573751</v>
          </cell>
        </row>
        <row r="333">
          <cell r="F333">
            <v>1770538092</v>
          </cell>
          <cell r="BC333">
            <v>12.790056460342294</v>
          </cell>
        </row>
        <row r="334">
          <cell r="F334">
            <v>1871548487</v>
          </cell>
          <cell r="BC334">
            <v>19.565265114129641</v>
          </cell>
        </row>
        <row r="335">
          <cell r="F335">
            <v>1467407775</v>
          </cell>
          <cell r="BC335">
            <v>23.728450015790695</v>
          </cell>
        </row>
        <row r="336">
          <cell r="F336">
            <v>1881993079</v>
          </cell>
          <cell r="BC336">
            <v>27.337749382835153</v>
          </cell>
        </row>
        <row r="337">
          <cell r="F337">
            <v>1255379293</v>
          </cell>
          <cell r="BC337">
            <v>13.575018435868788</v>
          </cell>
        </row>
        <row r="338">
          <cell r="F338">
            <v>1881648350</v>
          </cell>
          <cell r="BC338">
            <v>28.460926524197308</v>
          </cell>
        </row>
        <row r="339">
          <cell r="F339">
            <v>1669410312</v>
          </cell>
          <cell r="BC339">
            <v>12.7799406521607</v>
          </cell>
        </row>
        <row r="340">
          <cell r="F340">
            <v>1184705048</v>
          </cell>
          <cell r="BC340">
            <v>9.7350587270973961</v>
          </cell>
        </row>
        <row r="341">
          <cell r="F341">
            <v>1386187813</v>
          </cell>
          <cell r="BC341">
            <v>12.117181370668558</v>
          </cell>
        </row>
        <row r="342">
          <cell r="F342">
            <v>1073168316</v>
          </cell>
          <cell r="BC342">
            <v>16.134087108968149</v>
          </cell>
        </row>
        <row r="343">
          <cell r="F343">
            <v>1669449799</v>
          </cell>
          <cell r="BC343">
            <v>38.049227802863761</v>
          </cell>
        </row>
        <row r="344">
          <cell r="F344">
            <v>1245285253</v>
          </cell>
          <cell r="BC344">
            <v>22.229055799322374</v>
          </cell>
        </row>
        <row r="345">
          <cell r="F345">
            <v>1629047279</v>
          </cell>
          <cell r="BC345">
            <v>11.961959476749593</v>
          </cell>
        </row>
        <row r="346">
          <cell r="F346">
            <v>1942279609</v>
          </cell>
          <cell r="BC346">
            <v>8.1039503375120514</v>
          </cell>
        </row>
        <row r="347">
          <cell r="F347">
            <v>1114996758</v>
          </cell>
          <cell r="BC347">
            <v>17.23683896859789</v>
          </cell>
        </row>
        <row r="348">
          <cell r="F348">
            <v>1902875578</v>
          </cell>
          <cell r="BC348">
            <v>17.420110700122123</v>
          </cell>
        </row>
        <row r="349">
          <cell r="F349">
            <v>1144299702</v>
          </cell>
          <cell r="BC349">
            <v>18.058472963075907</v>
          </cell>
        </row>
        <row r="350">
          <cell r="F350">
            <v>1689640583</v>
          </cell>
          <cell r="BC350">
            <v>11.503704463585088</v>
          </cell>
        </row>
        <row r="351">
          <cell r="F351">
            <v>1831125285</v>
          </cell>
          <cell r="BC351">
            <v>12.406400185631636</v>
          </cell>
        </row>
        <row r="352">
          <cell r="F352">
            <v>1629515499</v>
          </cell>
          <cell r="BC352">
            <v>17.112220661584178</v>
          </cell>
        </row>
        <row r="353">
          <cell r="F353">
            <v>1952766271</v>
          </cell>
          <cell r="BC353">
            <v>21.353202002179906</v>
          </cell>
        </row>
        <row r="354">
          <cell r="F354">
            <v>1659319366</v>
          </cell>
          <cell r="BC354">
            <v>7.9187026418650106</v>
          </cell>
        </row>
        <row r="355">
          <cell r="F355">
            <v>1972050276</v>
          </cell>
          <cell r="BC355">
            <v>8.0170333654773369</v>
          </cell>
        </row>
        <row r="356">
          <cell r="F356">
            <v>1154369841</v>
          </cell>
          <cell r="BC356">
            <v>14.239928035197712</v>
          </cell>
        </row>
        <row r="357">
          <cell r="F357">
            <v>1639153919</v>
          </cell>
          <cell r="BC357">
            <v>22.152118826634126</v>
          </cell>
        </row>
        <row r="358">
          <cell r="F358">
            <v>1043314602</v>
          </cell>
          <cell r="BC358">
            <v>23.855367942845472</v>
          </cell>
        </row>
        <row r="359">
          <cell r="F359">
            <v>1700821865</v>
          </cell>
          <cell r="BC359">
            <v>14.824305549373225</v>
          </cell>
        </row>
        <row r="360">
          <cell r="F360">
            <v>1902853781</v>
          </cell>
          <cell r="BC360">
            <v>30.272705166055509</v>
          </cell>
        </row>
        <row r="361">
          <cell r="F361">
            <v>1235264219</v>
          </cell>
          <cell r="BC361">
            <v>15.969681128254546</v>
          </cell>
        </row>
        <row r="362">
          <cell r="F362">
            <v>1366577355</v>
          </cell>
          <cell r="BC362">
            <v>17.270908808100266</v>
          </cell>
        </row>
        <row r="363">
          <cell r="F363">
            <v>1033244090</v>
          </cell>
          <cell r="BC363">
            <v>13.92391837933944</v>
          </cell>
        </row>
        <row r="364">
          <cell r="F364">
            <v>1699310839</v>
          </cell>
          <cell r="BC364">
            <v>18.482293327394999</v>
          </cell>
        </row>
        <row r="365">
          <cell r="F365">
            <v>1770618720</v>
          </cell>
          <cell r="BC365">
            <v>23.97544814175502</v>
          </cell>
        </row>
        <row r="366">
          <cell r="F366">
            <v>1356476311</v>
          </cell>
          <cell r="BC366">
            <v>24.663470148360791</v>
          </cell>
        </row>
        <row r="367">
          <cell r="F367">
            <v>1528606225</v>
          </cell>
          <cell r="BC367">
            <v>24.70391113893762</v>
          </cell>
        </row>
        <row r="368">
          <cell r="F368">
            <v>1669083291</v>
          </cell>
          <cell r="BC368">
            <v>7.9301163934426215</v>
          </cell>
        </row>
        <row r="369">
          <cell r="F369">
            <v>1629425491</v>
          </cell>
          <cell r="BC369">
            <v>8.4641878654773315</v>
          </cell>
        </row>
        <row r="370">
          <cell r="F370">
            <v>1629016340</v>
          </cell>
          <cell r="BC370">
            <v>12.561937415866918</v>
          </cell>
        </row>
        <row r="371">
          <cell r="F371">
            <v>1750703278</v>
          </cell>
          <cell r="BC371">
            <v>16.783044565091654</v>
          </cell>
        </row>
        <row r="372">
          <cell r="F372">
            <v>1215979059</v>
          </cell>
          <cell r="BC372">
            <v>24.427743127054342</v>
          </cell>
        </row>
        <row r="373">
          <cell r="F373">
            <v>1821551797</v>
          </cell>
          <cell r="BC373">
            <v>10.494290229025999</v>
          </cell>
        </row>
        <row r="374">
          <cell r="F374">
            <v>1992793962</v>
          </cell>
          <cell r="BC374">
            <v>18.196760244728434</v>
          </cell>
        </row>
        <row r="375">
          <cell r="F375">
            <v>1023481520</v>
          </cell>
          <cell r="BC375">
            <v>36.824901472998981</v>
          </cell>
        </row>
        <row r="376">
          <cell r="F376">
            <v>1174178313</v>
          </cell>
          <cell r="BC376">
            <v>8.6082544607007119</v>
          </cell>
        </row>
        <row r="377">
          <cell r="F377">
            <v>1558029488</v>
          </cell>
          <cell r="BC377">
            <v>7.9301163934426215</v>
          </cell>
        </row>
        <row r="378">
          <cell r="F378">
            <v>1487060893</v>
          </cell>
          <cell r="BC378">
            <v>15.195095653875821</v>
          </cell>
        </row>
        <row r="379">
          <cell r="F379">
            <v>1629535455</v>
          </cell>
          <cell r="BC379">
            <v>37.287804642285288</v>
          </cell>
        </row>
        <row r="380">
          <cell r="F380">
            <v>1265441208</v>
          </cell>
          <cell r="BC380">
            <v>13.356460262777265</v>
          </cell>
        </row>
        <row r="381">
          <cell r="F381">
            <v>1710537998</v>
          </cell>
          <cell r="BC381">
            <v>24.950034709498553</v>
          </cell>
        </row>
        <row r="382">
          <cell r="F382">
            <v>1659365666</v>
          </cell>
          <cell r="BC382" t="e">
            <v>#N/A</v>
          </cell>
        </row>
        <row r="383">
          <cell r="F383">
            <v>1184196206</v>
          </cell>
          <cell r="BC383">
            <v>15.753806306653846</v>
          </cell>
        </row>
        <row r="384">
          <cell r="F384">
            <v>1104950765</v>
          </cell>
          <cell r="BC384">
            <v>26.686969019467309</v>
          </cell>
        </row>
        <row r="385">
          <cell r="F385">
            <v>1760462196</v>
          </cell>
          <cell r="BC385">
            <v>9.6574113727508006</v>
          </cell>
        </row>
        <row r="386">
          <cell r="F386">
            <v>1457709891</v>
          </cell>
          <cell r="BC386" t="e">
            <v>#N/A</v>
          </cell>
        </row>
        <row r="387">
          <cell r="F387">
            <v>1386688703</v>
          </cell>
          <cell r="BC387" t="e">
            <v>#N/A</v>
          </cell>
        </row>
        <row r="388">
          <cell r="F388">
            <v>1770582363</v>
          </cell>
          <cell r="BC388">
            <v>19.905237078109781</v>
          </cell>
        </row>
        <row r="389">
          <cell r="F389">
            <v>1720088339</v>
          </cell>
          <cell r="BC389">
            <v>11.311582372227567</v>
          </cell>
        </row>
        <row r="390">
          <cell r="F390">
            <v>1326143504</v>
          </cell>
          <cell r="BC390">
            <v>11.112546000590486</v>
          </cell>
        </row>
        <row r="391">
          <cell r="F391">
            <v>1932107547</v>
          </cell>
          <cell r="BC391">
            <v>15.234473802139945</v>
          </cell>
        </row>
        <row r="392">
          <cell r="F392">
            <v>1558391250</v>
          </cell>
          <cell r="BC392">
            <v>14.981553541695146</v>
          </cell>
        </row>
        <row r="393">
          <cell r="F393">
            <v>1538137468</v>
          </cell>
          <cell r="BC393">
            <v>11.304343352941167</v>
          </cell>
        </row>
        <row r="394">
          <cell r="F394">
            <v>1942583752</v>
          </cell>
          <cell r="BC394">
            <v>22.336501218234211</v>
          </cell>
        </row>
        <row r="395">
          <cell r="F395">
            <v>1187450150</v>
          </cell>
          <cell r="BC395" t="e">
            <v>#N/A</v>
          </cell>
        </row>
        <row r="396">
          <cell r="F396">
            <v>1053953844</v>
          </cell>
          <cell r="BC396">
            <v>18.301423799421428</v>
          </cell>
        </row>
        <row r="397">
          <cell r="F397">
            <v>1528040888</v>
          </cell>
          <cell r="BC397">
            <v>21.669655572468464</v>
          </cell>
        </row>
        <row r="398">
          <cell r="F398">
            <v>1134298615</v>
          </cell>
          <cell r="BC398">
            <v>19.30978351012536</v>
          </cell>
        </row>
        <row r="399">
          <cell r="F399">
            <v>1952486771</v>
          </cell>
          <cell r="BC399">
            <v>30.124411114491423</v>
          </cell>
        </row>
        <row r="400">
          <cell r="F400">
            <v>1376542878</v>
          </cell>
          <cell r="BC400">
            <v>19.627057150923992</v>
          </cell>
        </row>
        <row r="401">
          <cell r="F401">
            <v>1629511597</v>
          </cell>
          <cell r="BC401">
            <v>9.8495570958105105</v>
          </cell>
        </row>
        <row r="402">
          <cell r="F402">
            <v>1407966864</v>
          </cell>
          <cell r="BC402">
            <v>16.868203365274979</v>
          </cell>
        </row>
        <row r="403">
          <cell r="F403">
            <v>1548230188</v>
          </cell>
          <cell r="BC403">
            <v>13.281780676434462</v>
          </cell>
        </row>
        <row r="404">
          <cell r="F404">
            <v>1124094008</v>
          </cell>
          <cell r="BC404" t="e">
            <v>#N/A</v>
          </cell>
        </row>
        <row r="405">
          <cell r="F405">
            <v>1366418246</v>
          </cell>
          <cell r="BC405" t="e">
            <v>#N/A</v>
          </cell>
        </row>
        <row r="406">
          <cell r="F406">
            <v>1437110913</v>
          </cell>
          <cell r="BC406" t="e">
            <v>#N/A</v>
          </cell>
        </row>
        <row r="407">
          <cell r="F407">
            <v>1366552739</v>
          </cell>
          <cell r="BC407">
            <v>14.398233287126347</v>
          </cell>
        </row>
        <row r="408">
          <cell r="F408">
            <v>1518968890</v>
          </cell>
          <cell r="BC408">
            <v>18.908633413693323</v>
          </cell>
        </row>
        <row r="409">
          <cell r="F409">
            <v>1811920267</v>
          </cell>
          <cell r="BC409">
            <v>14.263706711644158</v>
          </cell>
        </row>
        <row r="410">
          <cell r="F410">
            <v>1861446338</v>
          </cell>
          <cell r="BC410">
            <v>19.181980779844771</v>
          </cell>
        </row>
        <row r="411">
          <cell r="F411">
            <v>1730136250</v>
          </cell>
          <cell r="BC411">
            <v>21.633286672817345</v>
          </cell>
        </row>
        <row r="412">
          <cell r="F412">
            <v>1861521635</v>
          </cell>
          <cell r="BC412">
            <v>18.887560196247218</v>
          </cell>
        </row>
        <row r="413">
          <cell r="F413">
            <v>1891908687</v>
          </cell>
          <cell r="BC413">
            <v>15.690987377049211</v>
          </cell>
        </row>
        <row r="414">
          <cell r="F414">
            <v>1326519844</v>
          </cell>
          <cell r="BC414">
            <v>23.515146279826457</v>
          </cell>
        </row>
        <row r="415">
          <cell r="F415">
            <v>1932368586</v>
          </cell>
          <cell r="BC415">
            <v>36.751219027725028</v>
          </cell>
        </row>
        <row r="416">
          <cell r="F416">
            <v>1306372230</v>
          </cell>
          <cell r="BC416">
            <v>21.915871899877022</v>
          </cell>
        </row>
        <row r="417">
          <cell r="F417">
            <v>1437484672</v>
          </cell>
          <cell r="BC417">
            <v>21.79994416194323</v>
          </cell>
        </row>
        <row r="418">
          <cell r="F418">
            <v>1982130811</v>
          </cell>
          <cell r="BC418">
            <v>22.424077896075822</v>
          </cell>
        </row>
        <row r="419">
          <cell r="F419">
            <v>1124342241</v>
          </cell>
          <cell r="BC419">
            <v>31.80657258980245</v>
          </cell>
        </row>
        <row r="420">
          <cell r="F420">
            <v>1669613071</v>
          </cell>
          <cell r="BC420">
            <v>18.887520250723242</v>
          </cell>
        </row>
        <row r="421">
          <cell r="F421">
            <v>1518112036</v>
          </cell>
          <cell r="BC421">
            <v>23.118833529893919</v>
          </cell>
        </row>
        <row r="422">
          <cell r="F422">
            <v>1114463932</v>
          </cell>
          <cell r="BC422">
            <v>32.195594896403655</v>
          </cell>
        </row>
        <row r="423">
          <cell r="F423">
            <v>1194028118</v>
          </cell>
          <cell r="BC423">
            <v>30.110459237691941</v>
          </cell>
        </row>
        <row r="424">
          <cell r="F424">
            <v>1891871901</v>
          </cell>
          <cell r="BC424" t="e">
            <v>#N/A</v>
          </cell>
        </row>
        <row r="425">
          <cell r="F425">
            <v>1255682522</v>
          </cell>
          <cell r="BC425">
            <v>26.829712338817814</v>
          </cell>
        </row>
        <row r="426">
          <cell r="F426">
            <v>1639556806</v>
          </cell>
          <cell r="BC426">
            <v>19.115054140790729</v>
          </cell>
        </row>
        <row r="427">
          <cell r="F427">
            <v>1588805014</v>
          </cell>
          <cell r="BC427">
            <v>27.71467532855824</v>
          </cell>
        </row>
        <row r="428">
          <cell r="F428">
            <v>1962832899</v>
          </cell>
          <cell r="BC428">
            <v>33.083531377338446</v>
          </cell>
        </row>
        <row r="429">
          <cell r="F429">
            <v>1710312079</v>
          </cell>
          <cell r="BC429">
            <v>28.249215520395378</v>
          </cell>
        </row>
        <row r="430">
          <cell r="F430">
            <v>1992106348</v>
          </cell>
          <cell r="BC430">
            <v>34.690785186680699</v>
          </cell>
        </row>
        <row r="431">
          <cell r="F431">
            <v>1376932889</v>
          </cell>
          <cell r="BC431">
            <v>36.507014768563231</v>
          </cell>
        </row>
        <row r="432">
          <cell r="F432">
            <v>1912323635</v>
          </cell>
          <cell r="BC432">
            <v>33.234090639262369</v>
          </cell>
        </row>
        <row r="433">
          <cell r="F433">
            <v>1841697422</v>
          </cell>
          <cell r="BC433">
            <v>20.493842370255614</v>
          </cell>
        </row>
        <row r="434">
          <cell r="F434">
            <v>1003205337</v>
          </cell>
          <cell r="BC434">
            <v>33.251936176837027</v>
          </cell>
        </row>
        <row r="435">
          <cell r="F435">
            <v>1477137628</v>
          </cell>
          <cell r="BC435">
            <v>32.226380471243438</v>
          </cell>
        </row>
        <row r="436">
          <cell r="F436">
            <v>1841617552</v>
          </cell>
          <cell r="BC436">
            <v>8.746713961141106</v>
          </cell>
        </row>
        <row r="437">
          <cell r="F437">
            <v>1992998504</v>
          </cell>
          <cell r="BC437">
            <v>22.477153883712024</v>
          </cell>
        </row>
        <row r="438">
          <cell r="F438">
            <v>1093228397</v>
          </cell>
          <cell r="BC438">
            <v>22.837893804243006</v>
          </cell>
        </row>
        <row r="439">
          <cell r="F439">
            <v>1558872333</v>
          </cell>
          <cell r="BC439">
            <v>34.261715024648026</v>
          </cell>
        </row>
        <row r="440">
          <cell r="F440">
            <v>1730183625</v>
          </cell>
          <cell r="BC440">
            <v>10.111326927296661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16"/>
  <sheetViews>
    <sheetView tabSelected="1" workbookViewId="0"/>
  </sheetViews>
  <sheetFormatPr defaultRowHeight="13.2" x14ac:dyDescent="0.25"/>
  <cols>
    <col min="8" max="8" width="12.21875" customWidth="1"/>
    <col min="9" max="9" width="14.21875" customWidth="1"/>
  </cols>
  <sheetData>
    <row r="1" spans="1:9" ht="22.8" x14ac:dyDescent="0.4">
      <c r="A1" s="6" t="s">
        <v>29</v>
      </c>
      <c r="B1" s="6"/>
      <c r="C1" s="6"/>
      <c r="D1" s="6"/>
      <c r="E1" s="6"/>
      <c r="F1" s="6"/>
      <c r="G1" s="6"/>
      <c r="H1" s="6"/>
      <c r="I1" s="6"/>
    </row>
    <row r="2" spans="1:9" ht="22.8" x14ac:dyDescent="0.4">
      <c r="A2" s="6" t="s">
        <v>30</v>
      </c>
      <c r="B2" s="6"/>
      <c r="C2" s="6"/>
      <c r="D2" s="6"/>
      <c r="E2" s="6"/>
      <c r="F2" s="6"/>
      <c r="G2" s="6"/>
      <c r="H2" s="6"/>
      <c r="I2" s="6"/>
    </row>
    <row r="3" spans="1:9" ht="70.8" customHeight="1" x14ac:dyDescent="0.25">
      <c r="A3" s="204" t="s">
        <v>601</v>
      </c>
      <c r="B3" s="205"/>
      <c r="C3" s="205"/>
      <c r="D3" s="205"/>
      <c r="E3" s="205"/>
      <c r="F3" s="205"/>
      <c r="G3" s="205"/>
      <c r="H3" s="205"/>
      <c r="I3" s="205"/>
    </row>
    <row r="4" spans="1:9" ht="26.25" customHeight="1" x14ac:dyDescent="0.25">
      <c r="A4" s="5" t="s">
        <v>555</v>
      </c>
    </row>
    <row r="5" spans="1:9" ht="26.4" customHeight="1" x14ac:dyDescent="0.25">
      <c r="B5" s="204" t="s">
        <v>556</v>
      </c>
      <c r="C5" s="205"/>
      <c r="D5" s="205"/>
      <c r="E5" s="205"/>
      <c r="F5" s="205"/>
      <c r="G5" s="205"/>
      <c r="H5" s="205"/>
      <c r="I5" s="205"/>
    </row>
    <row r="6" spans="1:9" ht="25.5" customHeight="1" x14ac:dyDescent="0.25">
      <c r="A6" s="5" t="s">
        <v>557</v>
      </c>
    </row>
    <row r="7" spans="1:9" ht="13.8" customHeight="1" x14ac:dyDescent="0.25">
      <c r="B7" s="204" t="s">
        <v>558</v>
      </c>
      <c r="C7" s="205"/>
      <c r="D7" s="205"/>
      <c r="E7" s="205"/>
      <c r="F7" s="205"/>
      <c r="G7" s="205"/>
      <c r="H7" s="205"/>
      <c r="I7" s="205"/>
    </row>
    <row r="8" spans="1:9" ht="25.5" customHeight="1" x14ac:dyDescent="0.25">
      <c r="A8" s="5" t="s">
        <v>382</v>
      </c>
    </row>
    <row r="9" spans="1:9" ht="39.6" customHeight="1" x14ac:dyDescent="0.25">
      <c r="B9" s="204" t="s">
        <v>559</v>
      </c>
      <c r="C9" s="205"/>
      <c r="D9" s="205"/>
      <c r="E9" s="205"/>
      <c r="F9" s="205"/>
      <c r="G9" s="205"/>
      <c r="H9" s="205"/>
      <c r="I9" s="205"/>
    </row>
    <row r="10" spans="1:9" ht="25.5" customHeight="1" x14ac:dyDescent="0.25">
      <c r="A10" s="5" t="s">
        <v>560</v>
      </c>
      <c r="B10" s="41"/>
      <c r="C10" s="41"/>
      <c r="D10" s="41"/>
      <c r="E10" s="41"/>
      <c r="F10" s="41"/>
      <c r="G10" s="41"/>
      <c r="H10" s="41"/>
      <c r="I10" s="41"/>
    </row>
    <row r="11" spans="1:9" ht="24.6" customHeight="1" x14ac:dyDescent="0.25">
      <c r="B11" s="204" t="s">
        <v>563</v>
      </c>
      <c r="C11" s="204"/>
      <c r="D11" s="204"/>
      <c r="E11" s="204"/>
      <c r="F11" s="204"/>
      <c r="G11" s="204"/>
      <c r="H11" s="204"/>
      <c r="I11" s="204"/>
    </row>
    <row r="12" spans="1:9" ht="25.5" customHeight="1" x14ac:dyDescent="0.25">
      <c r="A12" s="5" t="s">
        <v>602</v>
      </c>
      <c r="B12" s="41"/>
      <c r="C12" s="41"/>
      <c r="D12" s="41"/>
      <c r="E12" s="41"/>
      <c r="F12" s="41"/>
      <c r="G12" s="41"/>
      <c r="H12" s="41"/>
      <c r="I12" s="41"/>
    </row>
    <row r="13" spans="1:9" ht="13.2" customHeight="1" x14ac:dyDescent="0.25">
      <c r="B13" s="204" t="s">
        <v>603</v>
      </c>
      <c r="C13" s="204"/>
      <c r="D13" s="204"/>
      <c r="E13" s="204"/>
      <c r="F13" s="204"/>
      <c r="G13" s="204"/>
      <c r="H13" s="204"/>
      <c r="I13" s="204"/>
    </row>
    <row r="14" spans="1:9" ht="38.25" customHeight="1" x14ac:dyDescent="0.25">
      <c r="A14" s="204" t="s">
        <v>47</v>
      </c>
      <c r="B14" s="205"/>
      <c r="C14" s="205"/>
      <c r="D14" s="205"/>
      <c r="E14" s="205"/>
      <c r="F14" s="205"/>
      <c r="G14" s="205"/>
      <c r="H14" s="205"/>
      <c r="I14" s="205"/>
    </row>
    <row r="15" spans="1:9" ht="42" customHeight="1" x14ac:dyDescent="0.25">
      <c r="A15" s="206" t="s">
        <v>582</v>
      </c>
      <c r="B15" s="206"/>
      <c r="C15" s="206"/>
      <c r="D15" s="206"/>
      <c r="E15" s="206"/>
      <c r="F15" s="206"/>
      <c r="G15" s="206"/>
      <c r="H15" s="206"/>
      <c r="I15" s="206"/>
    </row>
    <row r="16" spans="1:9" ht="24" customHeight="1" x14ac:dyDescent="0.25">
      <c r="A16" s="204" t="s">
        <v>379</v>
      </c>
      <c r="B16" s="205"/>
      <c r="C16" s="205"/>
      <c r="D16" s="205"/>
      <c r="E16" s="205"/>
      <c r="F16" s="205"/>
      <c r="G16" s="205"/>
      <c r="H16" s="205"/>
      <c r="I16" s="205"/>
    </row>
  </sheetData>
  <mergeCells count="9">
    <mergeCell ref="A16:I16"/>
    <mergeCell ref="A15:I15"/>
    <mergeCell ref="A14:I14"/>
    <mergeCell ref="A3:I3"/>
    <mergeCell ref="B9:I9"/>
    <mergeCell ref="B5:I5"/>
    <mergeCell ref="B7:I7"/>
    <mergeCell ref="B11:I11"/>
    <mergeCell ref="B13:I13"/>
  </mergeCells>
  <phoneticPr fontId="4"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7CB4D-8AF1-4D11-BCCD-F00D64DA0E12}">
  <sheetPr>
    <tabColor theme="9" tint="0.79998168889431442"/>
  </sheetPr>
  <dimension ref="A1:P424"/>
  <sheetViews>
    <sheetView topLeftCell="A342" workbookViewId="0">
      <selection activeCell="A362" sqref="A362:XFD362"/>
    </sheetView>
  </sheetViews>
  <sheetFormatPr defaultColWidth="9.109375" defaultRowHeight="13.2" x14ac:dyDescent="0.25"/>
  <cols>
    <col min="1" max="1" width="12.5546875" style="140" customWidth="1"/>
    <col min="2" max="2" width="45.109375" style="140" customWidth="1"/>
    <col min="3" max="3" width="17" style="140" customWidth="1"/>
    <col min="4" max="4" width="12.33203125" style="140" customWidth="1"/>
    <col min="5" max="5" width="14" style="140" customWidth="1"/>
    <col min="6" max="6" width="13" style="140" customWidth="1"/>
    <col min="7" max="7" width="12.88671875" style="140" customWidth="1"/>
    <col min="8" max="8" width="13.33203125" style="140" customWidth="1"/>
    <col min="9" max="9" width="0.5546875" style="140" customWidth="1"/>
    <col min="10" max="10" width="1.109375" style="140" hidden="1" customWidth="1"/>
    <col min="11" max="11" width="12.88671875" style="140" customWidth="1"/>
    <col min="12" max="12" width="0.88671875" style="140" customWidth="1"/>
    <col min="13" max="13" width="12.5546875" style="140" customWidth="1"/>
    <col min="14" max="14" width="12" style="140" customWidth="1"/>
    <col min="15" max="15" width="14.88671875" style="140" customWidth="1"/>
    <col min="16" max="16384" width="9.109375" style="140"/>
  </cols>
  <sheetData>
    <row r="1" spans="1:14" x14ac:dyDescent="0.25">
      <c r="A1" s="152">
        <v>45017</v>
      </c>
    </row>
    <row r="9" spans="1:14" ht="18" x14ac:dyDescent="0.25">
      <c r="A9" s="238" t="s">
        <v>613</v>
      </c>
      <c r="B9" s="238"/>
      <c r="C9" s="238"/>
      <c r="D9" s="238"/>
      <c r="E9" s="238"/>
      <c r="F9" s="238"/>
      <c r="G9" s="238"/>
      <c r="H9" s="238"/>
      <c r="I9" s="238"/>
      <c r="J9" s="238"/>
      <c r="K9" s="238"/>
      <c r="L9" s="238"/>
      <c r="M9" s="238"/>
      <c r="N9" s="238"/>
    </row>
    <row r="10" spans="1:14" ht="18" x14ac:dyDescent="0.35">
      <c r="A10" s="239" t="s">
        <v>614</v>
      </c>
      <c r="B10" s="239"/>
      <c r="C10" s="239"/>
      <c r="D10" s="239"/>
      <c r="E10" s="239"/>
      <c r="F10" s="239"/>
      <c r="G10" s="239"/>
      <c r="H10" s="239"/>
      <c r="I10" s="239"/>
      <c r="J10" s="239"/>
      <c r="K10" s="239"/>
      <c r="L10" s="239"/>
      <c r="M10" s="239"/>
      <c r="N10" s="239"/>
    </row>
    <row r="12" spans="1:14" x14ac:dyDescent="0.25">
      <c r="A12" s="240" t="s">
        <v>615</v>
      </c>
      <c r="B12" s="240"/>
      <c r="C12" s="240"/>
      <c r="D12" s="240"/>
      <c r="E12" s="240"/>
      <c r="F12" s="240"/>
      <c r="G12" s="240"/>
      <c r="H12" s="240"/>
      <c r="I12" s="240"/>
      <c r="J12" s="240"/>
      <c r="K12" s="240"/>
      <c r="L12" s="240"/>
      <c r="M12" s="240"/>
      <c r="N12" s="240"/>
    </row>
    <row r="14" spans="1:14" ht="15.6" customHeight="1" x14ac:dyDescent="0.25">
      <c r="A14" s="241" t="s">
        <v>616</v>
      </c>
      <c r="B14" s="242"/>
      <c r="C14" s="242"/>
      <c r="D14" s="242"/>
      <c r="E14" s="242"/>
      <c r="F14" s="242"/>
      <c r="G14" s="242"/>
      <c r="H14" s="242"/>
      <c r="I14" s="242"/>
      <c r="J14" s="242"/>
      <c r="K14" s="242"/>
      <c r="L14" s="242"/>
      <c r="M14" s="242"/>
      <c r="N14" s="243"/>
    </row>
    <row r="15" spans="1:14" ht="12.75" customHeight="1" x14ac:dyDescent="0.25">
      <c r="A15" s="244" t="s">
        <v>617</v>
      </c>
      <c r="B15" s="245"/>
      <c r="C15" s="245"/>
      <c r="D15" s="245"/>
      <c r="E15" s="245"/>
      <c r="F15" s="245"/>
      <c r="G15" s="245"/>
      <c r="H15" s="245"/>
      <c r="I15" s="245"/>
      <c r="J15" s="245"/>
      <c r="K15" s="245"/>
      <c r="L15" s="245"/>
      <c r="M15" s="245"/>
      <c r="N15" s="246"/>
    </row>
    <row r="16" spans="1:14" ht="12.75" customHeight="1" x14ac:dyDescent="0.25">
      <c r="A16" s="235" t="s">
        <v>618</v>
      </c>
      <c r="B16" s="236"/>
      <c r="C16" s="236"/>
      <c r="D16" s="236"/>
      <c r="E16" s="236"/>
      <c r="F16" s="236"/>
      <c r="G16" s="236"/>
      <c r="H16" s="236"/>
      <c r="I16" s="236"/>
      <c r="J16" s="236"/>
      <c r="K16" s="236"/>
      <c r="L16" s="236"/>
      <c r="M16" s="236"/>
      <c r="N16" s="237"/>
    </row>
    <row r="17" spans="1:14" ht="12.75" customHeight="1" x14ac:dyDescent="0.3">
      <c r="A17" s="223" t="s">
        <v>619</v>
      </c>
      <c r="B17" s="224"/>
      <c r="C17" s="224"/>
      <c r="D17" s="224"/>
      <c r="E17" s="224"/>
      <c r="F17" s="224"/>
      <c r="G17" s="224"/>
      <c r="H17" s="224"/>
      <c r="I17" s="224"/>
      <c r="J17" s="224"/>
      <c r="K17" s="224"/>
      <c r="L17" s="224"/>
      <c r="M17" s="224"/>
      <c r="N17" s="225"/>
    </row>
    <row r="18" spans="1:14" ht="10.5" hidden="1" customHeight="1" x14ac:dyDescent="0.25">
      <c r="A18" s="153"/>
      <c r="B18" s="154"/>
      <c r="C18" s="154"/>
      <c r="D18" s="154"/>
      <c r="E18" s="154"/>
      <c r="F18" s="154"/>
      <c r="G18" s="154"/>
      <c r="H18" s="154"/>
      <c r="I18" s="154"/>
      <c r="J18" s="154"/>
      <c r="K18" s="155"/>
      <c r="L18" s="154"/>
      <c r="M18" s="154"/>
      <c r="N18" s="156"/>
    </row>
    <row r="19" spans="1:14" ht="12.75" hidden="1" customHeight="1" x14ac:dyDescent="0.25">
      <c r="A19" s="226"/>
      <c r="B19" s="227"/>
      <c r="C19" s="227"/>
      <c r="D19" s="227"/>
      <c r="E19" s="227"/>
      <c r="F19" s="227"/>
      <c r="G19" s="227"/>
      <c r="H19" s="227"/>
      <c r="I19" s="227"/>
      <c r="J19" s="227"/>
      <c r="K19" s="227"/>
      <c r="L19" s="227"/>
      <c r="M19" s="227"/>
      <c r="N19" s="228"/>
    </row>
    <row r="20" spans="1:14" ht="19.5" hidden="1" customHeight="1" x14ac:dyDescent="0.25">
      <c r="A20" s="226"/>
      <c r="B20" s="227"/>
      <c r="C20" s="227"/>
      <c r="D20" s="227"/>
      <c r="E20" s="227"/>
      <c r="F20" s="227"/>
      <c r="G20" s="227"/>
      <c r="H20" s="227"/>
      <c r="I20" s="227"/>
      <c r="J20" s="227"/>
      <c r="K20" s="227"/>
      <c r="L20" s="227"/>
      <c r="M20" s="227"/>
      <c r="N20" s="228"/>
    </row>
    <row r="21" spans="1:14" ht="9" hidden="1" customHeight="1" x14ac:dyDescent="0.25">
      <c r="A21" s="229"/>
      <c r="B21" s="230"/>
      <c r="C21" s="230"/>
      <c r="D21" s="230"/>
      <c r="E21" s="230"/>
      <c r="F21" s="230"/>
      <c r="G21" s="230"/>
      <c r="H21" s="230"/>
      <c r="I21" s="230"/>
      <c r="J21" s="230"/>
      <c r="K21" s="230"/>
      <c r="L21" s="230"/>
      <c r="M21" s="230"/>
      <c r="N21" s="231"/>
    </row>
    <row r="22" spans="1:14" s="157" customFormat="1" ht="41.4" customHeight="1" x14ac:dyDescent="0.25">
      <c r="A22" s="232" t="s">
        <v>620</v>
      </c>
      <c r="B22" s="233"/>
      <c r="C22" s="233"/>
      <c r="D22" s="233"/>
      <c r="E22" s="233"/>
      <c r="F22" s="233"/>
      <c r="G22" s="233"/>
      <c r="H22" s="233"/>
      <c r="I22" s="233"/>
      <c r="J22" s="233"/>
      <c r="K22" s="233"/>
      <c r="L22" s="233"/>
      <c r="M22" s="233"/>
      <c r="N22" s="234"/>
    </row>
    <row r="23" spans="1:14" s="157" customFormat="1" ht="39.75" customHeight="1" x14ac:dyDescent="0.25">
      <c r="A23" s="158" t="s">
        <v>48</v>
      </c>
      <c r="B23" s="158" t="s">
        <v>621</v>
      </c>
      <c r="C23" s="159" t="s">
        <v>622</v>
      </c>
      <c r="D23" s="160" t="s">
        <v>623</v>
      </c>
      <c r="E23" s="160" t="s">
        <v>624</v>
      </c>
      <c r="F23" s="160" t="s">
        <v>625</v>
      </c>
      <c r="G23" s="160" t="s">
        <v>626</v>
      </c>
      <c r="H23" s="160" t="s">
        <v>627</v>
      </c>
      <c r="I23" s="161"/>
      <c r="J23" s="162" t="s">
        <v>628</v>
      </c>
      <c r="K23" s="162" t="s">
        <v>629</v>
      </c>
      <c r="L23" s="163"/>
      <c r="M23" s="164" t="s">
        <v>630</v>
      </c>
      <c r="N23" s="164" t="s">
        <v>631</v>
      </c>
    </row>
    <row r="24" spans="1:14" x14ac:dyDescent="0.25">
      <c r="A24" s="165">
        <v>1285687962</v>
      </c>
      <c r="B24" s="166" t="s">
        <v>632</v>
      </c>
      <c r="C24" s="167">
        <v>264.86</v>
      </c>
      <c r="D24" s="168">
        <v>1.2386999999999999</v>
      </c>
      <c r="E24" s="169">
        <v>39.86</v>
      </c>
      <c r="F24" s="169">
        <v>209.95</v>
      </c>
      <c r="G24" s="169">
        <v>19.579999999999998</v>
      </c>
      <c r="H24" s="169">
        <v>24.38</v>
      </c>
      <c r="I24" s="170"/>
      <c r="J24" s="167"/>
      <c r="K24" s="167">
        <v>269.39</v>
      </c>
      <c r="L24" s="171"/>
      <c r="M24" s="172">
        <v>37.74</v>
      </c>
      <c r="N24" s="172">
        <v>307.13</v>
      </c>
    </row>
    <row r="25" spans="1:14" x14ac:dyDescent="0.25">
      <c r="A25" s="165">
        <v>1245227578</v>
      </c>
      <c r="B25" s="166" t="s">
        <v>121</v>
      </c>
      <c r="C25" s="167">
        <v>245.34</v>
      </c>
      <c r="D25" s="168">
        <v>1.1056999999999999</v>
      </c>
      <c r="E25" s="169">
        <v>39.86</v>
      </c>
      <c r="F25" s="169">
        <v>174.81</v>
      </c>
      <c r="G25" s="169">
        <v>40.33</v>
      </c>
      <c r="H25" s="169">
        <v>0</v>
      </c>
      <c r="I25" s="170"/>
      <c r="J25" s="167"/>
      <c r="K25" s="167">
        <v>255</v>
      </c>
      <c r="L25" s="171"/>
      <c r="M25" s="172">
        <v>37.74</v>
      </c>
      <c r="N25" s="172">
        <v>292.74</v>
      </c>
    </row>
    <row r="26" spans="1:14" x14ac:dyDescent="0.25">
      <c r="A26" s="165">
        <v>1427608959</v>
      </c>
      <c r="B26" s="166" t="s">
        <v>122</v>
      </c>
      <c r="C26" s="167">
        <v>270.83999999999997</v>
      </c>
      <c r="D26" s="168">
        <v>1.1191</v>
      </c>
      <c r="E26" s="169">
        <v>39.86</v>
      </c>
      <c r="F26" s="169">
        <v>200.96</v>
      </c>
      <c r="G26" s="169">
        <v>18.75</v>
      </c>
      <c r="H26" s="169">
        <v>24.38</v>
      </c>
      <c r="I26" s="170"/>
      <c r="J26" s="167"/>
      <c r="K26" s="167">
        <v>270.83999999999997</v>
      </c>
      <c r="L26" s="171"/>
      <c r="M26" s="172">
        <v>37.74</v>
      </c>
      <c r="N26" s="172">
        <v>308.58</v>
      </c>
    </row>
    <row r="27" spans="1:14" x14ac:dyDescent="0.25">
      <c r="A27" s="165">
        <v>1063919652</v>
      </c>
      <c r="B27" s="166" t="s">
        <v>633</v>
      </c>
      <c r="C27" s="167">
        <v>267.62</v>
      </c>
      <c r="D27" s="168">
        <v>1.1512</v>
      </c>
      <c r="E27" s="169">
        <v>39.86</v>
      </c>
      <c r="F27" s="169">
        <v>202.5</v>
      </c>
      <c r="G27" s="169">
        <v>18.87</v>
      </c>
      <c r="H27" s="169">
        <v>24.38</v>
      </c>
      <c r="I27" s="170"/>
      <c r="J27" s="167"/>
      <c r="K27" s="167">
        <v>267.62</v>
      </c>
      <c r="L27" s="171"/>
      <c r="M27" s="172">
        <v>37.74</v>
      </c>
      <c r="N27" s="172">
        <v>305.36</v>
      </c>
    </row>
    <row r="28" spans="1:14" x14ac:dyDescent="0.25">
      <c r="A28" s="165">
        <v>1518435650</v>
      </c>
      <c r="B28" s="166" t="s">
        <v>123</v>
      </c>
      <c r="C28" s="167">
        <v>279.94</v>
      </c>
      <c r="D28" s="168">
        <v>1.1422000000000001</v>
      </c>
      <c r="E28" s="169">
        <v>39.86</v>
      </c>
      <c r="F28" s="169">
        <v>202.81</v>
      </c>
      <c r="G28" s="169">
        <v>40.6</v>
      </c>
      <c r="H28" s="169">
        <v>24.38</v>
      </c>
      <c r="I28" s="170"/>
      <c r="J28" s="167"/>
      <c r="K28" s="167">
        <v>283.27</v>
      </c>
      <c r="L28" s="171"/>
      <c r="M28" s="172">
        <v>37.74</v>
      </c>
      <c r="N28" s="172">
        <v>321.01</v>
      </c>
    </row>
    <row r="29" spans="1:14" x14ac:dyDescent="0.25">
      <c r="A29" s="165">
        <v>1669991865</v>
      </c>
      <c r="B29" s="166" t="s">
        <v>634</v>
      </c>
      <c r="C29" s="167">
        <v>251.07999999999998</v>
      </c>
      <c r="D29" s="168">
        <v>1.0916999999999999</v>
      </c>
      <c r="E29" s="169">
        <v>39.86</v>
      </c>
      <c r="F29" s="169">
        <v>197.63</v>
      </c>
      <c r="G29" s="169">
        <v>10.66</v>
      </c>
      <c r="H29" s="169">
        <v>24.38</v>
      </c>
      <c r="I29" s="170"/>
      <c r="J29" s="167"/>
      <c r="K29" s="167">
        <v>251.07999999999998</v>
      </c>
      <c r="L29" s="171"/>
      <c r="M29" s="172">
        <v>37.74</v>
      </c>
      <c r="N29" s="172">
        <v>288.82</v>
      </c>
    </row>
    <row r="30" spans="1:14" x14ac:dyDescent="0.25">
      <c r="A30" s="165">
        <v>1871143305</v>
      </c>
      <c r="B30" s="166" t="s">
        <v>124</v>
      </c>
      <c r="C30" s="167">
        <v>254.57</v>
      </c>
      <c r="D30" s="168">
        <v>1.1894</v>
      </c>
      <c r="E30" s="169">
        <v>39.86</v>
      </c>
      <c r="F30" s="169">
        <v>205.05</v>
      </c>
      <c r="G30" s="169">
        <v>8.5500000000000007</v>
      </c>
      <c r="H30" s="169">
        <v>24.38</v>
      </c>
      <c r="I30" s="170"/>
      <c r="J30" s="167"/>
      <c r="K30" s="167">
        <v>254.57</v>
      </c>
      <c r="L30" s="171"/>
      <c r="M30" s="172">
        <v>37.74</v>
      </c>
      <c r="N30" s="172">
        <v>292.31</v>
      </c>
    </row>
    <row r="31" spans="1:14" x14ac:dyDescent="0.25">
      <c r="A31" s="165">
        <v>1992242119</v>
      </c>
      <c r="B31" s="166" t="s">
        <v>635</v>
      </c>
      <c r="C31" s="167">
        <v>260.70999999999998</v>
      </c>
      <c r="D31" s="168">
        <v>1.1969000000000001</v>
      </c>
      <c r="E31" s="169">
        <v>39.86</v>
      </c>
      <c r="F31" s="169">
        <v>205.74</v>
      </c>
      <c r="G31" s="169">
        <v>15.12</v>
      </c>
      <c r="H31" s="169">
        <v>24.38</v>
      </c>
      <c r="I31" s="170"/>
      <c r="J31" s="167"/>
      <c r="K31" s="167">
        <v>260.72000000000003</v>
      </c>
      <c r="L31" s="171"/>
      <c r="M31" s="172">
        <v>37.74</v>
      </c>
      <c r="N31" s="172">
        <v>298.46000000000004</v>
      </c>
    </row>
    <row r="32" spans="1:14" x14ac:dyDescent="0.25">
      <c r="A32" s="165">
        <v>1043703945</v>
      </c>
      <c r="B32" s="166" t="s">
        <v>636</v>
      </c>
      <c r="C32" s="167">
        <v>266.43</v>
      </c>
      <c r="D32" s="168">
        <v>1.0692999999999999</v>
      </c>
      <c r="E32" s="169">
        <v>39.86</v>
      </c>
      <c r="F32" s="169">
        <v>195.34</v>
      </c>
      <c r="G32" s="169">
        <v>26.48</v>
      </c>
      <c r="H32" s="169">
        <v>24.38</v>
      </c>
      <c r="I32" s="170"/>
      <c r="J32" s="167"/>
      <c r="K32" s="167">
        <v>266.43</v>
      </c>
      <c r="L32" s="171"/>
      <c r="M32" s="172">
        <v>37.74</v>
      </c>
      <c r="N32" s="172">
        <v>304.17</v>
      </c>
    </row>
    <row r="33" spans="1:14" x14ac:dyDescent="0.25">
      <c r="A33" s="165">
        <v>1831649268</v>
      </c>
      <c r="B33" s="166" t="s">
        <v>125</v>
      </c>
      <c r="C33" s="167">
        <v>263.88</v>
      </c>
      <c r="D33" s="168">
        <v>1.1066</v>
      </c>
      <c r="E33" s="169">
        <v>39.86</v>
      </c>
      <c r="F33" s="169">
        <v>198.01</v>
      </c>
      <c r="G33" s="169">
        <v>18.66</v>
      </c>
      <c r="H33" s="169">
        <v>24.38</v>
      </c>
      <c r="I33" s="170"/>
      <c r="J33" s="167"/>
      <c r="K33" s="167">
        <v>263.88</v>
      </c>
      <c r="L33" s="171"/>
      <c r="M33" s="172">
        <v>37.74</v>
      </c>
      <c r="N33" s="172">
        <v>301.62</v>
      </c>
    </row>
    <row r="34" spans="1:14" x14ac:dyDescent="0.25">
      <c r="A34" s="165">
        <v>1689147035</v>
      </c>
      <c r="B34" s="166" t="s">
        <v>126</v>
      </c>
      <c r="C34" s="167">
        <v>249.82999999999998</v>
      </c>
      <c r="D34" s="168">
        <v>1.0915999999999999</v>
      </c>
      <c r="E34" s="169">
        <v>39.86</v>
      </c>
      <c r="F34" s="169">
        <v>197.67</v>
      </c>
      <c r="G34" s="169">
        <v>10.33</v>
      </c>
      <c r="H34" s="169">
        <v>24.38</v>
      </c>
      <c r="I34" s="170"/>
      <c r="J34" s="167"/>
      <c r="K34" s="167">
        <v>249.82999999999998</v>
      </c>
      <c r="L34" s="171"/>
      <c r="M34" s="172">
        <v>37.74</v>
      </c>
      <c r="N34" s="172">
        <v>287.57</v>
      </c>
    </row>
    <row r="35" spans="1:14" x14ac:dyDescent="0.25">
      <c r="A35" s="165">
        <v>1295391795</v>
      </c>
      <c r="B35" s="166" t="s">
        <v>127</v>
      </c>
      <c r="C35" s="167">
        <v>246.60999999999999</v>
      </c>
      <c r="D35" s="168">
        <v>1.0757000000000001</v>
      </c>
      <c r="E35" s="169">
        <v>39.86</v>
      </c>
      <c r="F35" s="169">
        <v>195.98</v>
      </c>
      <c r="G35" s="169">
        <v>9.2100000000000009</v>
      </c>
      <c r="H35" s="169">
        <v>24.38</v>
      </c>
      <c r="I35" s="170"/>
      <c r="J35" s="167"/>
      <c r="K35" s="167">
        <v>246.60999999999999</v>
      </c>
      <c r="L35" s="171"/>
      <c r="M35" s="172">
        <v>37.74</v>
      </c>
      <c r="N35" s="172">
        <v>284.34999999999997</v>
      </c>
    </row>
    <row r="36" spans="1:14" x14ac:dyDescent="0.25">
      <c r="A36" s="165">
        <v>1598262198</v>
      </c>
      <c r="B36" s="166" t="s">
        <v>637</v>
      </c>
      <c r="C36" s="167">
        <v>275.87</v>
      </c>
      <c r="D36" s="168">
        <v>1.2108000000000001</v>
      </c>
      <c r="E36" s="169">
        <v>39.86</v>
      </c>
      <c r="F36" s="169">
        <v>208.94</v>
      </c>
      <c r="G36" s="169">
        <v>24.49</v>
      </c>
      <c r="H36" s="169">
        <v>24.38</v>
      </c>
      <c r="I36" s="170"/>
      <c r="J36" s="167"/>
      <c r="K36" s="167">
        <v>275.87</v>
      </c>
      <c r="L36" s="171"/>
      <c r="M36" s="172">
        <v>37.74</v>
      </c>
      <c r="N36" s="172">
        <v>313.61</v>
      </c>
    </row>
    <row r="37" spans="1:14" x14ac:dyDescent="0.25">
      <c r="A37" s="165">
        <v>1437627593</v>
      </c>
      <c r="B37" s="166" t="s">
        <v>128</v>
      </c>
      <c r="C37" s="167">
        <v>267.02</v>
      </c>
      <c r="D37" s="168">
        <v>1.1606000000000001</v>
      </c>
      <c r="E37" s="169">
        <v>39.86</v>
      </c>
      <c r="F37" s="169">
        <v>203.73</v>
      </c>
      <c r="G37" s="169">
        <v>19.22</v>
      </c>
      <c r="H37" s="169">
        <v>24.38</v>
      </c>
      <c r="I37" s="170"/>
      <c r="J37" s="167"/>
      <c r="K37" s="167">
        <v>267.02</v>
      </c>
      <c r="L37" s="171"/>
      <c r="M37" s="172">
        <v>37.74</v>
      </c>
      <c r="N37" s="172">
        <v>304.76</v>
      </c>
    </row>
    <row r="38" spans="1:14" x14ac:dyDescent="0.25">
      <c r="A38" s="165">
        <v>1598233645</v>
      </c>
      <c r="B38" s="166" t="s">
        <v>129</v>
      </c>
      <c r="C38" s="167">
        <v>272.58999999999997</v>
      </c>
      <c r="D38" s="168">
        <v>1.1344000000000001</v>
      </c>
      <c r="E38" s="169">
        <v>39.86</v>
      </c>
      <c r="F38" s="169">
        <v>201.29</v>
      </c>
      <c r="G38" s="169">
        <v>27.68</v>
      </c>
      <c r="H38" s="169">
        <v>24.38</v>
      </c>
      <c r="I38" s="170"/>
      <c r="J38" s="167"/>
      <c r="K38" s="167">
        <v>272.58999999999997</v>
      </c>
      <c r="L38" s="171"/>
      <c r="M38" s="172">
        <v>37.74</v>
      </c>
      <c r="N38" s="172">
        <v>310.33</v>
      </c>
    </row>
    <row r="39" spans="1:14" x14ac:dyDescent="0.25">
      <c r="A39" s="165">
        <v>1659849701</v>
      </c>
      <c r="B39" s="166" t="s">
        <v>130</v>
      </c>
      <c r="C39" s="167">
        <v>265.43</v>
      </c>
      <c r="D39" s="168">
        <v>1.1779999999999999</v>
      </c>
      <c r="E39" s="169">
        <v>39.86</v>
      </c>
      <c r="F39" s="169">
        <v>206.44</v>
      </c>
      <c r="G39" s="169">
        <v>17.45</v>
      </c>
      <c r="H39" s="169">
        <v>24.38</v>
      </c>
      <c r="I39" s="170"/>
      <c r="J39" s="167"/>
      <c r="K39" s="167">
        <v>265.43</v>
      </c>
      <c r="L39" s="171"/>
      <c r="M39" s="172">
        <v>37.74</v>
      </c>
      <c r="N39" s="172">
        <v>303.17</v>
      </c>
    </row>
    <row r="40" spans="1:14" x14ac:dyDescent="0.25">
      <c r="A40" s="165">
        <v>1770149270</v>
      </c>
      <c r="B40" s="166" t="s">
        <v>131</v>
      </c>
      <c r="C40" s="167">
        <v>265.07</v>
      </c>
      <c r="D40" s="168">
        <v>1.1116999999999999</v>
      </c>
      <c r="E40" s="169">
        <v>39.86</v>
      </c>
      <c r="F40" s="169">
        <v>198.72</v>
      </c>
      <c r="G40" s="169">
        <v>25.42</v>
      </c>
      <c r="H40" s="169">
        <v>24.38</v>
      </c>
      <c r="I40" s="170"/>
      <c r="J40" s="167"/>
      <c r="K40" s="167">
        <v>265.07</v>
      </c>
      <c r="L40" s="171"/>
      <c r="M40" s="172">
        <v>37.74</v>
      </c>
      <c r="N40" s="172">
        <v>302.81</v>
      </c>
    </row>
    <row r="41" spans="1:14" x14ac:dyDescent="0.25">
      <c r="A41" s="165">
        <v>1699310839</v>
      </c>
      <c r="B41" s="166" t="s">
        <v>132</v>
      </c>
      <c r="C41" s="167">
        <v>270.83999999999997</v>
      </c>
      <c r="D41" s="168">
        <v>1.1255999999999999</v>
      </c>
      <c r="E41" s="169">
        <v>39.86</v>
      </c>
      <c r="F41" s="169">
        <v>201.05</v>
      </c>
      <c r="G41" s="169">
        <v>19.829999999999998</v>
      </c>
      <c r="H41" s="169">
        <v>24.38</v>
      </c>
      <c r="I41" s="170"/>
      <c r="J41" s="167"/>
      <c r="K41" s="167">
        <v>270.83999999999997</v>
      </c>
      <c r="L41" s="171"/>
      <c r="M41" s="172">
        <v>37.74</v>
      </c>
      <c r="N41" s="172">
        <v>308.58</v>
      </c>
    </row>
    <row r="42" spans="1:14" x14ac:dyDescent="0.25">
      <c r="A42" s="165">
        <v>1932606530</v>
      </c>
      <c r="B42" s="166" t="s">
        <v>638</v>
      </c>
      <c r="C42" s="167">
        <v>224.60000000000002</v>
      </c>
      <c r="D42" s="168">
        <v>0.96099999999999997</v>
      </c>
      <c r="E42" s="169">
        <v>39.86</v>
      </c>
      <c r="F42" s="169">
        <v>169.65</v>
      </c>
      <c r="G42" s="169">
        <v>9.83</v>
      </c>
      <c r="H42" s="169">
        <v>7.879999999999999</v>
      </c>
      <c r="I42" s="170"/>
      <c r="J42" s="167"/>
      <c r="K42" s="167">
        <v>224.60000000000002</v>
      </c>
      <c r="L42" s="171"/>
      <c r="M42" s="172">
        <v>37.74</v>
      </c>
      <c r="N42" s="172">
        <v>262.34000000000003</v>
      </c>
    </row>
    <row r="43" spans="1:14" x14ac:dyDescent="0.25">
      <c r="A43" s="165">
        <v>1528505757</v>
      </c>
      <c r="B43" s="166" t="s">
        <v>639</v>
      </c>
      <c r="C43" s="167">
        <v>263.14999999999998</v>
      </c>
      <c r="D43" s="168">
        <v>1.1302000000000001</v>
      </c>
      <c r="E43" s="169">
        <v>39.86</v>
      </c>
      <c r="F43" s="169">
        <v>200.1</v>
      </c>
      <c r="G43" s="169">
        <v>17.77</v>
      </c>
      <c r="H43" s="169">
        <v>24.38</v>
      </c>
      <c r="I43" s="170"/>
      <c r="J43" s="167"/>
      <c r="K43" s="167">
        <v>263.14999999999998</v>
      </c>
      <c r="L43" s="171"/>
      <c r="M43" s="172">
        <v>37.74</v>
      </c>
      <c r="N43" s="172">
        <v>300.89</v>
      </c>
    </row>
    <row r="44" spans="1:14" x14ac:dyDescent="0.25">
      <c r="A44" s="165">
        <v>1972071033</v>
      </c>
      <c r="B44" s="166" t="s">
        <v>133</v>
      </c>
      <c r="C44" s="167">
        <v>264.21999999999997</v>
      </c>
      <c r="D44" s="168">
        <v>1.1792108485224528</v>
      </c>
      <c r="E44" s="169">
        <v>39.86</v>
      </c>
      <c r="F44" s="169">
        <v>205.53</v>
      </c>
      <c r="G44" s="169">
        <v>13.98</v>
      </c>
      <c r="H44" s="169">
        <v>24.38</v>
      </c>
      <c r="I44" s="170"/>
      <c r="J44" s="167"/>
      <c r="K44" s="167">
        <v>264.21999999999997</v>
      </c>
      <c r="L44" s="171"/>
      <c r="M44" s="172">
        <v>37.74</v>
      </c>
      <c r="N44" s="172">
        <v>301.95999999999998</v>
      </c>
    </row>
    <row r="45" spans="1:14" x14ac:dyDescent="0.25">
      <c r="A45" s="165">
        <v>1841840378</v>
      </c>
      <c r="B45" s="166" t="s">
        <v>134</v>
      </c>
      <c r="C45" s="167">
        <v>245.74</v>
      </c>
      <c r="D45" s="168">
        <v>1.1509</v>
      </c>
      <c r="E45" s="169">
        <v>39.86</v>
      </c>
      <c r="F45" s="169">
        <v>201.67</v>
      </c>
      <c r="G45" s="169">
        <v>8.52</v>
      </c>
      <c r="H45" s="169">
        <v>24.38</v>
      </c>
      <c r="I45" s="170"/>
      <c r="J45" s="167"/>
      <c r="K45" s="167">
        <v>250.05</v>
      </c>
      <c r="L45" s="171"/>
      <c r="M45" s="172">
        <v>37.74</v>
      </c>
      <c r="N45" s="172">
        <v>287.79000000000002</v>
      </c>
    </row>
    <row r="46" spans="1:14" x14ac:dyDescent="0.25">
      <c r="A46" s="165">
        <v>1245737840</v>
      </c>
      <c r="B46" s="166" t="s">
        <v>640</v>
      </c>
      <c r="C46" s="167">
        <v>274.75</v>
      </c>
      <c r="D46" s="168">
        <v>1.1741999999999999</v>
      </c>
      <c r="E46" s="169">
        <v>39.86</v>
      </c>
      <c r="F46" s="169">
        <v>204.04</v>
      </c>
      <c r="G46" s="169">
        <v>26.91</v>
      </c>
      <c r="H46" s="169">
        <v>24.38</v>
      </c>
      <c r="I46" s="170"/>
      <c r="J46" s="167"/>
      <c r="K46" s="167">
        <v>274.75</v>
      </c>
      <c r="L46" s="171"/>
      <c r="M46" s="172">
        <v>37.74</v>
      </c>
      <c r="N46" s="172">
        <v>312.49</v>
      </c>
    </row>
    <row r="47" spans="1:14" x14ac:dyDescent="0.25">
      <c r="A47" s="165">
        <v>1760032296</v>
      </c>
      <c r="B47" s="166" t="s">
        <v>135</v>
      </c>
      <c r="C47" s="167">
        <v>259.15000000000003</v>
      </c>
      <c r="D47" s="168">
        <v>1.2081999999999999</v>
      </c>
      <c r="E47" s="169">
        <v>39.86</v>
      </c>
      <c r="F47" s="169">
        <v>204.77</v>
      </c>
      <c r="G47" s="169">
        <v>8.31</v>
      </c>
      <c r="H47" s="169">
        <v>24.38</v>
      </c>
      <c r="I47" s="170"/>
      <c r="J47" s="167"/>
      <c r="K47" s="167">
        <v>259.15000000000003</v>
      </c>
      <c r="L47" s="171"/>
      <c r="M47" s="172">
        <v>37.74</v>
      </c>
      <c r="N47" s="172">
        <v>296.89000000000004</v>
      </c>
    </row>
    <row r="48" spans="1:14" x14ac:dyDescent="0.25">
      <c r="A48" s="165">
        <v>1205357878</v>
      </c>
      <c r="B48" s="166" t="s">
        <v>641</v>
      </c>
      <c r="C48" s="167">
        <v>272.96999999999997</v>
      </c>
      <c r="D48" s="168">
        <v>1.1529</v>
      </c>
      <c r="E48" s="169">
        <v>39.86</v>
      </c>
      <c r="F48" s="169">
        <v>200.27</v>
      </c>
      <c r="G48" s="169">
        <v>26.04</v>
      </c>
      <c r="H48" s="169">
        <v>24.38</v>
      </c>
      <c r="I48" s="170"/>
      <c r="J48" s="167"/>
      <c r="K48" s="167">
        <v>272.96999999999997</v>
      </c>
      <c r="L48" s="171"/>
      <c r="M48" s="172">
        <v>37.74</v>
      </c>
      <c r="N48" s="172">
        <v>310.70999999999998</v>
      </c>
    </row>
    <row r="49" spans="1:14" x14ac:dyDescent="0.25">
      <c r="A49" s="165">
        <v>1578059085</v>
      </c>
      <c r="B49" s="166" t="s">
        <v>642</v>
      </c>
      <c r="C49" s="167">
        <v>249</v>
      </c>
      <c r="D49" s="168">
        <v>0.99829999999999997</v>
      </c>
      <c r="E49" s="169">
        <v>39.86</v>
      </c>
      <c r="F49" s="169">
        <v>189.5</v>
      </c>
      <c r="G49" s="169">
        <v>13.86</v>
      </c>
      <c r="H49" s="169">
        <v>24.38</v>
      </c>
      <c r="I49" s="170"/>
      <c r="J49" s="167"/>
      <c r="K49" s="167">
        <v>249</v>
      </c>
      <c r="L49" s="171"/>
      <c r="M49" s="172">
        <v>37.74</v>
      </c>
      <c r="N49" s="172">
        <v>286.74</v>
      </c>
    </row>
    <row r="50" spans="1:14" x14ac:dyDescent="0.25">
      <c r="A50" s="165">
        <v>1366552739</v>
      </c>
      <c r="B50" s="166" t="s">
        <v>643</v>
      </c>
      <c r="C50" s="167">
        <v>273.32</v>
      </c>
      <c r="D50" s="168">
        <v>1.2453000000000001</v>
      </c>
      <c r="E50" s="169">
        <v>39.86</v>
      </c>
      <c r="F50" s="169">
        <v>210.36</v>
      </c>
      <c r="G50" s="169">
        <v>15.95</v>
      </c>
      <c r="H50" s="169">
        <v>24.38</v>
      </c>
      <c r="I50" s="170"/>
      <c r="J50" s="167"/>
      <c r="K50" s="167">
        <v>273.32</v>
      </c>
      <c r="L50" s="171"/>
      <c r="M50" s="172">
        <v>37.74</v>
      </c>
      <c r="N50" s="172">
        <v>311.06</v>
      </c>
    </row>
    <row r="51" spans="1:14" x14ac:dyDescent="0.25">
      <c r="A51" s="165">
        <v>1114501442</v>
      </c>
      <c r="B51" s="166" t="s">
        <v>136</v>
      </c>
      <c r="C51" s="167">
        <v>246.74</v>
      </c>
      <c r="D51" s="168">
        <v>1.1342000000000001</v>
      </c>
      <c r="E51" s="169">
        <v>39.86</v>
      </c>
      <c r="F51" s="169">
        <v>185.4</v>
      </c>
      <c r="G51" s="169">
        <v>18.18</v>
      </c>
      <c r="H51" s="169">
        <v>7.879999999999999</v>
      </c>
      <c r="I51" s="170"/>
      <c r="J51" s="167"/>
      <c r="K51" s="167">
        <v>246.74</v>
      </c>
      <c r="L51" s="171"/>
      <c r="M51" s="172">
        <v>37.74</v>
      </c>
      <c r="N51" s="172">
        <v>284.48</v>
      </c>
    </row>
    <row r="52" spans="1:14" x14ac:dyDescent="0.25">
      <c r="A52" s="165">
        <v>1245337880</v>
      </c>
      <c r="B52" s="166" t="s">
        <v>137</v>
      </c>
      <c r="C52" s="167">
        <v>270.45999999999998</v>
      </c>
      <c r="D52" s="168">
        <v>1.2121999999999999</v>
      </c>
      <c r="E52" s="169">
        <v>39.86</v>
      </c>
      <c r="F52" s="169">
        <v>208.3</v>
      </c>
      <c r="G52" s="169">
        <v>12.55</v>
      </c>
      <c r="H52" s="169">
        <v>24.38</v>
      </c>
      <c r="I52" s="170"/>
      <c r="J52" s="167"/>
      <c r="K52" s="167">
        <v>270.45999999999998</v>
      </c>
      <c r="L52" s="171"/>
      <c r="M52" s="172">
        <v>37.74</v>
      </c>
      <c r="N52" s="172">
        <v>308.2</v>
      </c>
    </row>
    <row r="53" spans="1:14" x14ac:dyDescent="0.25">
      <c r="A53" s="165">
        <v>1639122328</v>
      </c>
      <c r="B53" s="166" t="s">
        <v>644</v>
      </c>
      <c r="C53" s="167">
        <v>243.89999999999998</v>
      </c>
      <c r="D53" s="168">
        <v>1.0190999999999999</v>
      </c>
      <c r="E53" s="169">
        <v>39.86</v>
      </c>
      <c r="F53" s="169">
        <v>191.07</v>
      </c>
      <c r="G53" s="169">
        <v>9.1199999999999992</v>
      </c>
      <c r="H53" s="169">
        <v>24.38</v>
      </c>
      <c r="I53" s="170"/>
      <c r="J53" s="167"/>
      <c r="K53" s="167">
        <v>243.89999999999998</v>
      </c>
      <c r="L53" s="171"/>
      <c r="M53" s="172">
        <v>37.74</v>
      </c>
      <c r="N53" s="172">
        <v>281.64</v>
      </c>
    </row>
    <row r="54" spans="1:14" x14ac:dyDescent="0.25">
      <c r="A54" s="165">
        <v>1023671765</v>
      </c>
      <c r="B54" s="166" t="s">
        <v>138</v>
      </c>
      <c r="C54" s="167">
        <v>252.17000000000002</v>
      </c>
      <c r="D54" s="168">
        <v>1.3879999999999999</v>
      </c>
      <c r="E54" s="169">
        <v>39.86</v>
      </c>
      <c r="F54" s="169">
        <v>206.68</v>
      </c>
      <c r="G54" s="169">
        <v>8.61</v>
      </c>
      <c r="H54" s="169">
        <v>7.879999999999999</v>
      </c>
      <c r="I54" s="170"/>
      <c r="J54" s="167"/>
      <c r="K54" s="167">
        <v>255.15</v>
      </c>
      <c r="L54" s="171"/>
      <c r="M54" s="172">
        <v>37.74</v>
      </c>
      <c r="N54" s="172">
        <v>292.89</v>
      </c>
    </row>
    <row r="55" spans="1:14" x14ac:dyDescent="0.25">
      <c r="A55" s="165">
        <v>1962509505</v>
      </c>
      <c r="B55" s="166" t="s">
        <v>139</v>
      </c>
      <c r="C55" s="167">
        <v>282.57</v>
      </c>
      <c r="D55" s="168">
        <v>1.2932999999999999</v>
      </c>
      <c r="E55" s="169">
        <v>39.86</v>
      </c>
      <c r="F55" s="169">
        <v>214.02</v>
      </c>
      <c r="G55" s="169">
        <v>25.52</v>
      </c>
      <c r="H55" s="169">
        <v>24.38</v>
      </c>
      <c r="I55" s="170"/>
      <c r="J55" s="167"/>
      <c r="K55" s="167">
        <v>282.57</v>
      </c>
      <c r="L55" s="171"/>
      <c r="M55" s="172">
        <v>37.74</v>
      </c>
      <c r="N55" s="172">
        <v>320.31</v>
      </c>
    </row>
    <row r="56" spans="1:14" x14ac:dyDescent="0.25">
      <c r="A56" s="165">
        <v>1487060893</v>
      </c>
      <c r="B56" s="166" t="s">
        <v>645</v>
      </c>
      <c r="C56" s="167">
        <v>286.89999999999998</v>
      </c>
      <c r="D56" s="168">
        <v>1.4046000000000001</v>
      </c>
      <c r="E56" s="169">
        <v>39.86</v>
      </c>
      <c r="F56" s="169">
        <v>233.23</v>
      </c>
      <c r="G56" s="169">
        <v>17.399999999999999</v>
      </c>
      <c r="H56" s="169">
        <v>24.38</v>
      </c>
      <c r="I56" s="170"/>
      <c r="J56" s="167"/>
      <c r="K56" s="167">
        <v>290.49</v>
      </c>
      <c r="L56" s="171"/>
      <c r="M56" s="172">
        <v>37.74</v>
      </c>
      <c r="N56" s="172">
        <v>328.23</v>
      </c>
    </row>
    <row r="57" spans="1:14" x14ac:dyDescent="0.25">
      <c r="A57" s="165">
        <v>1992998504</v>
      </c>
      <c r="B57" s="166" t="s">
        <v>646</v>
      </c>
      <c r="C57" s="167">
        <v>226.76</v>
      </c>
      <c r="D57" s="168">
        <v>0.97060000000000002</v>
      </c>
      <c r="E57" s="169">
        <v>39.86</v>
      </c>
      <c r="F57" s="169">
        <v>163.59</v>
      </c>
      <c r="G57" s="169">
        <v>24.23</v>
      </c>
      <c r="H57" s="169">
        <v>0</v>
      </c>
      <c r="I57" s="170"/>
      <c r="J57" s="167"/>
      <c r="K57" s="167">
        <v>227.68</v>
      </c>
      <c r="L57" s="171"/>
      <c r="M57" s="172">
        <v>37.74</v>
      </c>
      <c r="N57" s="172">
        <v>265.42</v>
      </c>
    </row>
    <row r="58" spans="1:14" x14ac:dyDescent="0.25">
      <c r="A58" s="165">
        <v>1982130811</v>
      </c>
      <c r="B58" s="166" t="s">
        <v>647</v>
      </c>
      <c r="C58" s="167">
        <v>261.37</v>
      </c>
      <c r="D58" s="168">
        <v>1.3047</v>
      </c>
      <c r="E58" s="169">
        <v>39.86</v>
      </c>
      <c r="F58" s="169">
        <v>198.7</v>
      </c>
      <c r="G58" s="169">
        <v>24.38</v>
      </c>
      <c r="H58" s="169">
        <v>7.879999999999999</v>
      </c>
      <c r="I58" s="170"/>
      <c r="J58" s="167"/>
      <c r="K58" s="167">
        <v>262.94</v>
      </c>
      <c r="L58" s="171"/>
      <c r="M58" s="172">
        <v>37.74</v>
      </c>
      <c r="N58" s="172">
        <v>300.68</v>
      </c>
    </row>
    <row r="59" spans="1:14" x14ac:dyDescent="0.25">
      <c r="A59" s="165">
        <v>1194722629</v>
      </c>
      <c r="B59" s="166" t="s">
        <v>140</v>
      </c>
      <c r="C59" s="167">
        <v>282.45</v>
      </c>
      <c r="D59" s="168">
        <v>1.2199</v>
      </c>
      <c r="E59" s="169">
        <v>39.86</v>
      </c>
      <c r="F59" s="169">
        <v>210.45</v>
      </c>
      <c r="G59" s="169">
        <v>35.08</v>
      </c>
      <c r="H59" s="169">
        <v>24.38</v>
      </c>
      <c r="I59" s="170"/>
      <c r="J59" s="167"/>
      <c r="K59" s="167">
        <v>285.39</v>
      </c>
      <c r="L59" s="171"/>
      <c r="M59" s="172">
        <v>37.74</v>
      </c>
      <c r="N59" s="172">
        <v>323.13</v>
      </c>
    </row>
    <row r="60" spans="1:14" x14ac:dyDescent="0.25">
      <c r="A60" s="165">
        <v>1255878245</v>
      </c>
      <c r="B60" s="166" t="s">
        <v>141</v>
      </c>
      <c r="C60" s="167">
        <v>251.38</v>
      </c>
      <c r="D60" s="168">
        <v>1.1559999999999999</v>
      </c>
      <c r="E60" s="169">
        <v>39.86</v>
      </c>
      <c r="F60" s="169">
        <v>203</v>
      </c>
      <c r="G60" s="169">
        <v>11.74</v>
      </c>
      <c r="H60" s="169">
        <v>24.38</v>
      </c>
      <c r="I60" s="170"/>
      <c r="J60" s="167"/>
      <c r="K60" s="167">
        <v>254.6</v>
      </c>
      <c r="L60" s="171"/>
      <c r="M60" s="172">
        <v>37.74</v>
      </c>
      <c r="N60" s="172">
        <v>292.33999999999997</v>
      </c>
    </row>
    <row r="61" spans="1:14" x14ac:dyDescent="0.25">
      <c r="A61" s="165">
        <v>1376932889</v>
      </c>
      <c r="B61" s="166" t="s">
        <v>648</v>
      </c>
      <c r="C61" s="167">
        <v>280.60000000000002</v>
      </c>
      <c r="D61" s="168">
        <v>1.1092</v>
      </c>
      <c r="E61" s="169">
        <v>39.86</v>
      </c>
      <c r="F61" s="169">
        <v>199.26</v>
      </c>
      <c r="G61" s="169">
        <v>40.19</v>
      </c>
      <c r="H61" s="169">
        <v>24.38</v>
      </c>
      <c r="I61" s="170"/>
      <c r="J61" s="167"/>
      <c r="K61" s="167">
        <v>280.60000000000002</v>
      </c>
      <c r="L61" s="171"/>
      <c r="M61" s="172">
        <v>37.74</v>
      </c>
      <c r="N61" s="172">
        <v>318.34000000000003</v>
      </c>
    </row>
    <row r="62" spans="1:14" x14ac:dyDescent="0.25">
      <c r="A62" s="165">
        <v>1275519506</v>
      </c>
      <c r="B62" s="166" t="s">
        <v>142</v>
      </c>
      <c r="C62" s="167">
        <v>264.62</v>
      </c>
      <c r="D62" s="168">
        <v>1.2518</v>
      </c>
      <c r="E62" s="169">
        <v>39.86</v>
      </c>
      <c r="F62" s="169">
        <v>210.51</v>
      </c>
      <c r="G62" s="169">
        <v>11.46</v>
      </c>
      <c r="H62" s="169">
        <v>24.38</v>
      </c>
      <c r="I62" s="170"/>
      <c r="J62" s="167"/>
      <c r="K62" s="167">
        <v>264.62</v>
      </c>
      <c r="L62" s="171"/>
      <c r="M62" s="172">
        <v>37.74</v>
      </c>
      <c r="N62" s="172">
        <v>302.36</v>
      </c>
    </row>
    <row r="63" spans="1:14" x14ac:dyDescent="0.25">
      <c r="A63" s="165">
        <v>1114463932</v>
      </c>
      <c r="B63" s="166" t="s">
        <v>649</v>
      </c>
      <c r="C63" s="167">
        <v>287.89</v>
      </c>
      <c r="D63" s="168">
        <v>1.2923</v>
      </c>
      <c r="E63" s="169">
        <v>39.86</v>
      </c>
      <c r="F63" s="169">
        <v>214.19</v>
      </c>
      <c r="G63" s="169">
        <v>35.14</v>
      </c>
      <c r="H63" s="169">
        <v>24.38</v>
      </c>
      <c r="I63" s="170"/>
      <c r="J63" s="167"/>
      <c r="K63" s="167">
        <v>289.18</v>
      </c>
      <c r="L63" s="171"/>
      <c r="M63" s="172">
        <v>37.74</v>
      </c>
      <c r="N63" s="172">
        <v>326.92</v>
      </c>
    </row>
    <row r="64" spans="1:14" x14ac:dyDescent="0.25">
      <c r="A64" s="165">
        <v>1609852375</v>
      </c>
      <c r="B64" s="166" t="s">
        <v>143</v>
      </c>
      <c r="C64" s="167">
        <v>252.88000000000002</v>
      </c>
      <c r="D64" s="168">
        <v>1.1155999999999999</v>
      </c>
      <c r="E64" s="169">
        <v>39.86</v>
      </c>
      <c r="F64" s="169">
        <v>199.23</v>
      </c>
      <c r="G64" s="169">
        <v>9.59</v>
      </c>
      <c r="H64" s="169">
        <v>24.38</v>
      </c>
      <c r="I64" s="170"/>
      <c r="J64" s="167"/>
      <c r="K64" s="167">
        <v>252.88000000000002</v>
      </c>
      <c r="L64" s="171"/>
      <c r="M64" s="172">
        <v>37.74</v>
      </c>
      <c r="N64" s="172">
        <v>290.62</v>
      </c>
    </row>
    <row r="65" spans="1:14" x14ac:dyDescent="0.25">
      <c r="A65" s="165">
        <v>1093791337</v>
      </c>
      <c r="B65" s="166" t="s">
        <v>144</v>
      </c>
      <c r="C65" s="167">
        <v>261.86</v>
      </c>
      <c r="D65" s="168">
        <v>1.095</v>
      </c>
      <c r="E65" s="169">
        <v>39.86</v>
      </c>
      <c r="F65" s="169">
        <v>197.91</v>
      </c>
      <c r="G65" s="169">
        <v>25.12</v>
      </c>
      <c r="H65" s="169">
        <v>24.38</v>
      </c>
      <c r="I65" s="170"/>
      <c r="J65" s="167"/>
      <c r="K65" s="167">
        <v>262.89</v>
      </c>
      <c r="L65" s="171"/>
      <c r="M65" s="172">
        <v>37.74</v>
      </c>
      <c r="N65" s="172">
        <v>300.63</v>
      </c>
    </row>
    <row r="66" spans="1:14" x14ac:dyDescent="0.25">
      <c r="A66" s="165">
        <v>1073599635</v>
      </c>
      <c r="B66" s="166" t="s">
        <v>145</v>
      </c>
      <c r="C66" s="167">
        <v>273.33</v>
      </c>
      <c r="D66" s="168">
        <v>1.2274</v>
      </c>
      <c r="E66" s="169">
        <v>39.86</v>
      </c>
      <c r="F66" s="169">
        <v>208.59</v>
      </c>
      <c r="G66" s="169">
        <v>29.09</v>
      </c>
      <c r="H66" s="169">
        <v>24.38</v>
      </c>
      <c r="I66" s="170"/>
      <c r="J66" s="167"/>
      <c r="K66" s="167">
        <v>277.54000000000002</v>
      </c>
      <c r="L66" s="171"/>
      <c r="M66" s="172">
        <v>37.74</v>
      </c>
      <c r="N66" s="172">
        <v>315.28000000000003</v>
      </c>
    </row>
    <row r="67" spans="1:14" x14ac:dyDescent="0.25">
      <c r="A67" s="165">
        <v>1053396788</v>
      </c>
      <c r="B67" s="166" t="s">
        <v>146</v>
      </c>
      <c r="C67" s="167">
        <v>276.31</v>
      </c>
      <c r="D67" s="168">
        <v>1.1019000000000001</v>
      </c>
      <c r="E67" s="169">
        <v>39.86</v>
      </c>
      <c r="F67" s="169">
        <v>198.61</v>
      </c>
      <c r="G67" s="169">
        <v>35.29</v>
      </c>
      <c r="H67" s="169">
        <v>24.38</v>
      </c>
      <c r="I67" s="170"/>
      <c r="J67" s="167"/>
      <c r="K67" s="167">
        <v>276.31</v>
      </c>
      <c r="L67" s="171"/>
      <c r="M67" s="172">
        <v>37.74</v>
      </c>
      <c r="N67" s="172">
        <v>314.05</v>
      </c>
    </row>
    <row r="68" spans="1:14" x14ac:dyDescent="0.25">
      <c r="A68" s="165">
        <v>1851377543</v>
      </c>
      <c r="B68" s="166" t="s">
        <v>147</v>
      </c>
      <c r="C68" s="167">
        <v>266.64999999999998</v>
      </c>
      <c r="D68" s="168">
        <v>1.2311000000000001</v>
      </c>
      <c r="E68" s="169">
        <v>39.86</v>
      </c>
      <c r="F68" s="169">
        <v>209.3</v>
      </c>
      <c r="G68" s="169">
        <v>16.21</v>
      </c>
      <c r="H68" s="169">
        <v>24.38</v>
      </c>
      <c r="I68" s="170"/>
      <c r="J68" s="167"/>
      <c r="K68" s="167">
        <v>266.64999999999998</v>
      </c>
      <c r="L68" s="171"/>
      <c r="M68" s="172">
        <v>37.74</v>
      </c>
      <c r="N68" s="172">
        <v>304.39</v>
      </c>
    </row>
    <row r="69" spans="1:14" x14ac:dyDescent="0.25">
      <c r="A69" s="165">
        <v>1508842295</v>
      </c>
      <c r="B69" s="166" t="s">
        <v>148</v>
      </c>
      <c r="C69" s="167">
        <v>272.97000000000003</v>
      </c>
      <c r="D69" s="168">
        <v>1.204</v>
      </c>
      <c r="E69" s="169">
        <v>39.86</v>
      </c>
      <c r="F69" s="169">
        <v>206.48</v>
      </c>
      <c r="G69" s="169">
        <v>31.1</v>
      </c>
      <c r="H69" s="169">
        <v>24.38</v>
      </c>
      <c r="I69" s="170"/>
      <c r="J69" s="167"/>
      <c r="K69" s="167">
        <v>277.44</v>
      </c>
      <c r="L69" s="171"/>
      <c r="M69" s="172">
        <v>37.74</v>
      </c>
      <c r="N69" s="172">
        <v>315.18</v>
      </c>
    </row>
    <row r="70" spans="1:14" x14ac:dyDescent="0.25">
      <c r="A70" s="165">
        <v>1639155302</v>
      </c>
      <c r="B70" s="166" t="s">
        <v>149</v>
      </c>
      <c r="C70" s="167">
        <v>272.3</v>
      </c>
      <c r="D70" s="168">
        <v>1.3425</v>
      </c>
      <c r="E70" s="169">
        <v>39.86</v>
      </c>
      <c r="F70" s="169">
        <v>218.9</v>
      </c>
      <c r="G70" s="169">
        <v>10.210000000000001</v>
      </c>
      <c r="H70" s="169">
        <v>24.38</v>
      </c>
      <c r="I70" s="170"/>
      <c r="J70" s="167"/>
      <c r="K70" s="167">
        <v>272.3</v>
      </c>
      <c r="L70" s="171"/>
      <c r="M70" s="172">
        <v>37.74</v>
      </c>
      <c r="N70" s="172">
        <v>310.04000000000002</v>
      </c>
    </row>
    <row r="71" spans="1:14" x14ac:dyDescent="0.25">
      <c r="A71" s="165">
        <v>1346226040</v>
      </c>
      <c r="B71" s="166" t="s">
        <v>150</v>
      </c>
      <c r="C71" s="167">
        <v>263.33999999999997</v>
      </c>
      <c r="D71" s="168">
        <v>1.1827000000000001</v>
      </c>
      <c r="E71" s="169">
        <v>39.86</v>
      </c>
      <c r="F71" s="169">
        <v>205.52</v>
      </c>
      <c r="G71" s="169">
        <v>13.57</v>
      </c>
      <c r="H71" s="169">
        <v>24.38</v>
      </c>
      <c r="I71" s="170"/>
      <c r="J71" s="167"/>
      <c r="K71" s="167">
        <v>263.33999999999997</v>
      </c>
      <c r="L71" s="171"/>
      <c r="M71" s="172">
        <v>37.74</v>
      </c>
      <c r="N71" s="172">
        <v>301.08</v>
      </c>
    </row>
    <row r="72" spans="1:14" x14ac:dyDescent="0.25">
      <c r="A72" s="165">
        <v>1730722240</v>
      </c>
      <c r="B72" s="166" t="s">
        <v>151</v>
      </c>
      <c r="C72" s="167">
        <v>279.5</v>
      </c>
      <c r="D72" s="168">
        <v>1.1822999999999999</v>
      </c>
      <c r="E72" s="169">
        <v>39.86</v>
      </c>
      <c r="F72" s="169">
        <v>204.79</v>
      </c>
      <c r="G72" s="169">
        <v>31.77</v>
      </c>
      <c r="H72" s="169">
        <v>24.38</v>
      </c>
      <c r="I72" s="170"/>
      <c r="J72" s="167"/>
      <c r="K72" s="167">
        <v>279.5</v>
      </c>
      <c r="L72" s="171"/>
      <c r="M72" s="172">
        <v>37.74</v>
      </c>
      <c r="N72" s="172">
        <v>317.24</v>
      </c>
    </row>
    <row r="73" spans="1:14" x14ac:dyDescent="0.25">
      <c r="A73" s="165">
        <v>1528044294</v>
      </c>
      <c r="B73" s="166" t="s">
        <v>152</v>
      </c>
      <c r="C73" s="167">
        <v>272.56</v>
      </c>
      <c r="D73" s="168">
        <v>1.27</v>
      </c>
      <c r="E73" s="169">
        <v>39.86</v>
      </c>
      <c r="F73" s="169">
        <v>213.8</v>
      </c>
      <c r="G73" s="169">
        <v>20.3</v>
      </c>
      <c r="H73" s="169">
        <v>24.38</v>
      </c>
      <c r="I73" s="170"/>
      <c r="J73" s="167"/>
      <c r="K73" s="167">
        <v>273.95999999999998</v>
      </c>
      <c r="L73" s="171"/>
      <c r="M73" s="172">
        <v>37.74</v>
      </c>
      <c r="N73" s="172">
        <v>311.7</v>
      </c>
    </row>
    <row r="74" spans="1:14" x14ac:dyDescent="0.25">
      <c r="A74" s="165">
        <v>1356372650</v>
      </c>
      <c r="B74" s="166" t="s">
        <v>650</v>
      </c>
      <c r="C74" s="167">
        <v>277.75</v>
      </c>
      <c r="D74" s="168">
        <v>1.2817000000000001</v>
      </c>
      <c r="E74" s="169">
        <v>39.86</v>
      </c>
      <c r="F74" s="169">
        <v>210.68</v>
      </c>
      <c r="G74" s="169">
        <v>20.54</v>
      </c>
      <c r="H74" s="169">
        <v>24.38</v>
      </c>
      <c r="I74" s="170"/>
      <c r="J74" s="167"/>
      <c r="K74" s="167">
        <v>277.75</v>
      </c>
      <c r="L74" s="171"/>
      <c r="M74" s="172">
        <v>37.74</v>
      </c>
      <c r="N74" s="172">
        <v>315.49</v>
      </c>
    </row>
    <row r="75" spans="1:14" x14ac:dyDescent="0.25">
      <c r="A75" s="165">
        <v>1255682522</v>
      </c>
      <c r="B75" s="166" t="s">
        <v>651</v>
      </c>
      <c r="C75" s="167">
        <v>275.2</v>
      </c>
      <c r="D75" s="168">
        <v>1.1920999999999999</v>
      </c>
      <c r="E75" s="169">
        <v>39.86</v>
      </c>
      <c r="F75" s="169">
        <v>206.02</v>
      </c>
      <c r="G75" s="169">
        <v>32.119999999999997</v>
      </c>
      <c r="H75" s="169">
        <v>24.38</v>
      </c>
      <c r="I75" s="170"/>
      <c r="J75" s="167"/>
      <c r="K75" s="167">
        <v>278</v>
      </c>
      <c r="L75" s="171"/>
      <c r="M75" s="172">
        <v>37.74</v>
      </c>
      <c r="N75" s="172">
        <v>315.74</v>
      </c>
    </row>
    <row r="76" spans="1:14" x14ac:dyDescent="0.25">
      <c r="A76" s="165">
        <v>1225064777</v>
      </c>
      <c r="B76" s="166" t="s">
        <v>652</v>
      </c>
      <c r="C76" s="167">
        <v>237.14000000000001</v>
      </c>
      <c r="D76" s="168">
        <v>1.1840999999999999</v>
      </c>
      <c r="E76" s="169">
        <v>39.86</v>
      </c>
      <c r="F76" s="169">
        <v>188.35</v>
      </c>
      <c r="G76" s="169">
        <v>10.61</v>
      </c>
      <c r="H76" s="169">
        <v>7.879999999999999</v>
      </c>
      <c r="I76" s="170"/>
      <c r="J76" s="167"/>
      <c r="K76" s="167">
        <v>238.82</v>
      </c>
      <c r="L76" s="171"/>
      <c r="M76" s="172">
        <v>37.74</v>
      </c>
      <c r="N76" s="172">
        <v>276.56</v>
      </c>
    </row>
    <row r="77" spans="1:14" x14ac:dyDescent="0.25">
      <c r="A77" s="165">
        <v>1649254582</v>
      </c>
      <c r="B77" s="166" t="s">
        <v>153</v>
      </c>
      <c r="C77" s="167">
        <v>285.2</v>
      </c>
      <c r="D77" s="168">
        <v>1.1929000000000001</v>
      </c>
      <c r="E77" s="169">
        <v>39.86</v>
      </c>
      <c r="F77" s="169">
        <v>207.05</v>
      </c>
      <c r="G77" s="169">
        <v>36.83</v>
      </c>
      <c r="H77" s="169">
        <v>24.38</v>
      </c>
      <c r="I77" s="170"/>
      <c r="J77" s="167"/>
      <c r="K77" s="167">
        <v>285.2</v>
      </c>
      <c r="L77" s="171"/>
      <c r="M77" s="172">
        <v>37.74</v>
      </c>
      <c r="N77" s="172">
        <v>322.94</v>
      </c>
    </row>
    <row r="78" spans="1:14" x14ac:dyDescent="0.25">
      <c r="A78" s="165">
        <v>1316512346</v>
      </c>
      <c r="B78" s="166" t="s">
        <v>154</v>
      </c>
      <c r="C78" s="167">
        <v>270.91000000000003</v>
      </c>
      <c r="D78" s="168">
        <v>1.1740999999999999</v>
      </c>
      <c r="E78" s="169">
        <v>39.86</v>
      </c>
      <c r="F78" s="169">
        <v>204.17</v>
      </c>
      <c r="G78" s="169">
        <v>22.71</v>
      </c>
      <c r="H78" s="169">
        <v>24.38</v>
      </c>
      <c r="I78" s="170"/>
      <c r="J78" s="167"/>
      <c r="K78" s="167">
        <v>270.91000000000003</v>
      </c>
      <c r="L78" s="171"/>
      <c r="M78" s="172">
        <v>37.74</v>
      </c>
      <c r="N78" s="172">
        <v>308.65000000000003</v>
      </c>
    </row>
    <row r="79" spans="1:14" x14ac:dyDescent="0.25">
      <c r="A79" s="165">
        <v>1093228397</v>
      </c>
      <c r="B79" s="166" t="s">
        <v>653</v>
      </c>
      <c r="C79" s="167">
        <v>272.78000000000003</v>
      </c>
      <c r="D79" s="168">
        <v>1.2118</v>
      </c>
      <c r="E79" s="169">
        <v>39.86</v>
      </c>
      <c r="F79" s="169">
        <v>207.63</v>
      </c>
      <c r="G79" s="169">
        <v>25.16</v>
      </c>
      <c r="H79" s="169">
        <v>24.38</v>
      </c>
      <c r="I79" s="170"/>
      <c r="J79" s="167"/>
      <c r="K79" s="167">
        <v>272.78000000000003</v>
      </c>
      <c r="L79" s="171"/>
      <c r="M79" s="172">
        <v>37.74</v>
      </c>
      <c r="N79" s="172">
        <v>310.52000000000004</v>
      </c>
    </row>
    <row r="80" spans="1:14" x14ac:dyDescent="0.25">
      <c r="A80" s="165">
        <v>1891908687</v>
      </c>
      <c r="B80" s="166" t="s">
        <v>155</v>
      </c>
      <c r="C80" s="167">
        <v>272.76</v>
      </c>
      <c r="D80" s="168">
        <v>1.2608999999999999</v>
      </c>
      <c r="E80" s="169">
        <v>39.86</v>
      </c>
      <c r="F80" s="169">
        <v>211.63</v>
      </c>
      <c r="G80" s="169">
        <v>15.99</v>
      </c>
      <c r="H80" s="169">
        <v>24.38</v>
      </c>
      <c r="I80" s="170"/>
      <c r="J80" s="167"/>
      <c r="K80" s="167">
        <v>272.76</v>
      </c>
      <c r="L80" s="171"/>
      <c r="M80" s="172">
        <v>37.74</v>
      </c>
      <c r="N80" s="172">
        <v>310.5</v>
      </c>
    </row>
    <row r="81" spans="1:14" x14ac:dyDescent="0.25">
      <c r="A81" s="165">
        <v>1235175175</v>
      </c>
      <c r="B81" s="166" t="s">
        <v>654</v>
      </c>
      <c r="C81" s="167">
        <v>240.32000000000002</v>
      </c>
      <c r="D81" s="168">
        <v>1.2924</v>
      </c>
      <c r="E81" s="169">
        <v>39.86</v>
      </c>
      <c r="F81" s="169">
        <v>196.58</v>
      </c>
      <c r="G81" s="169">
        <v>8.61</v>
      </c>
      <c r="H81" s="169">
        <v>7.879999999999999</v>
      </c>
      <c r="I81" s="170"/>
      <c r="J81" s="167"/>
      <c r="K81" s="167">
        <v>245.05</v>
      </c>
      <c r="L81" s="171"/>
      <c r="M81" s="172">
        <v>37.74</v>
      </c>
      <c r="N81" s="172">
        <v>282.79000000000002</v>
      </c>
    </row>
    <row r="82" spans="1:14" x14ac:dyDescent="0.25">
      <c r="A82" s="165">
        <v>1992724157</v>
      </c>
      <c r="B82" s="166" t="s">
        <v>156</v>
      </c>
      <c r="C82" s="167">
        <v>257.82</v>
      </c>
      <c r="D82" s="168">
        <v>1.1457999999999999</v>
      </c>
      <c r="E82" s="169">
        <v>39.86</v>
      </c>
      <c r="F82" s="169">
        <v>202.64</v>
      </c>
      <c r="G82" s="169">
        <v>11.72</v>
      </c>
      <c r="H82" s="169">
        <v>24.38</v>
      </c>
      <c r="I82" s="170"/>
      <c r="J82" s="167"/>
      <c r="K82" s="167">
        <v>257.82</v>
      </c>
      <c r="L82" s="171"/>
      <c r="M82" s="172">
        <v>37.74</v>
      </c>
      <c r="N82" s="172">
        <v>295.56</v>
      </c>
    </row>
    <row r="83" spans="1:14" x14ac:dyDescent="0.25">
      <c r="A83" s="165">
        <v>1174608350</v>
      </c>
      <c r="B83" s="166" t="s">
        <v>157</v>
      </c>
      <c r="C83" s="167">
        <v>253.06</v>
      </c>
      <c r="D83" s="168">
        <v>1.2284999999999999</v>
      </c>
      <c r="E83" s="169">
        <v>39.86</v>
      </c>
      <c r="F83" s="169">
        <v>208.85</v>
      </c>
      <c r="G83" s="169">
        <v>12.12</v>
      </c>
      <c r="H83" s="169">
        <v>24.38</v>
      </c>
      <c r="I83" s="170"/>
      <c r="J83" s="167"/>
      <c r="K83" s="167">
        <v>260.83</v>
      </c>
      <c r="L83" s="171"/>
      <c r="M83" s="172">
        <v>37.74</v>
      </c>
      <c r="N83" s="172">
        <v>298.57</v>
      </c>
    </row>
    <row r="84" spans="1:14" x14ac:dyDescent="0.25">
      <c r="A84" s="165">
        <v>1497283899</v>
      </c>
      <c r="B84" s="166" t="s">
        <v>655</v>
      </c>
      <c r="C84" s="167">
        <v>245.34999999999997</v>
      </c>
      <c r="D84" s="168">
        <v>1.0264</v>
      </c>
      <c r="E84" s="169">
        <v>39.86</v>
      </c>
      <c r="F84" s="169">
        <v>191.92</v>
      </c>
      <c r="G84" s="169">
        <v>10.119999999999999</v>
      </c>
      <c r="H84" s="169">
        <v>24.38</v>
      </c>
      <c r="I84" s="170"/>
      <c r="J84" s="167"/>
      <c r="K84" s="167">
        <v>245.34999999999997</v>
      </c>
      <c r="L84" s="171"/>
      <c r="M84" s="172">
        <v>37.74</v>
      </c>
      <c r="N84" s="172">
        <v>283.08999999999997</v>
      </c>
    </row>
    <row r="85" spans="1:14" x14ac:dyDescent="0.25">
      <c r="A85" s="165">
        <v>1578013876</v>
      </c>
      <c r="B85" s="166" t="s">
        <v>656</v>
      </c>
      <c r="C85" s="167">
        <v>257.21000000000004</v>
      </c>
      <c r="D85" s="168">
        <v>1.0764</v>
      </c>
      <c r="E85" s="169">
        <v>39.86</v>
      </c>
      <c r="F85" s="169">
        <v>195.99</v>
      </c>
      <c r="G85" s="169">
        <v>8.43</v>
      </c>
      <c r="H85" s="169">
        <v>24.38</v>
      </c>
      <c r="I85" s="170"/>
      <c r="J85" s="167"/>
      <c r="K85" s="167">
        <v>257.21000000000004</v>
      </c>
      <c r="L85" s="171"/>
      <c r="M85" s="172">
        <v>37.74</v>
      </c>
      <c r="N85" s="172">
        <v>294.95000000000005</v>
      </c>
    </row>
    <row r="86" spans="1:14" x14ac:dyDescent="0.25">
      <c r="A86" s="165">
        <v>1265441208</v>
      </c>
      <c r="B86" s="166" t="s">
        <v>158</v>
      </c>
      <c r="C86" s="167">
        <v>251.90000000000003</v>
      </c>
      <c r="D86" s="168">
        <v>1.0858000000000001</v>
      </c>
      <c r="E86" s="169">
        <v>39.86</v>
      </c>
      <c r="F86" s="169">
        <v>196.61</v>
      </c>
      <c r="G86" s="169">
        <v>15.95</v>
      </c>
      <c r="H86" s="169">
        <v>24.38</v>
      </c>
      <c r="I86" s="170"/>
      <c r="J86" s="167"/>
      <c r="K86" s="167">
        <v>252.42</v>
      </c>
      <c r="L86" s="171"/>
      <c r="M86" s="172">
        <v>37.74</v>
      </c>
      <c r="N86" s="172">
        <v>290.15999999999997</v>
      </c>
    </row>
    <row r="87" spans="1:14" x14ac:dyDescent="0.25">
      <c r="A87" s="165">
        <v>1831219781</v>
      </c>
      <c r="B87" s="166" t="s">
        <v>159</v>
      </c>
      <c r="C87" s="167">
        <v>265.54999999999995</v>
      </c>
      <c r="D87" s="168">
        <v>1.2528999999999999</v>
      </c>
      <c r="E87" s="169">
        <v>39.86</v>
      </c>
      <c r="F87" s="169">
        <v>210.18</v>
      </c>
      <c r="G87" s="169">
        <v>14.64</v>
      </c>
      <c r="H87" s="169">
        <v>24.38</v>
      </c>
      <c r="I87" s="170"/>
      <c r="J87" s="167"/>
      <c r="K87" s="167">
        <v>265.54999999999995</v>
      </c>
      <c r="L87" s="171"/>
      <c r="M87" s="172">
        <v>37.74</v>
      </c>
      <c r="N87" s="172">
        <v>303.28999999999996</v>
      </c>
    </row>
    <row r="88" spans="1:14" x14ac:dyDescent="0.25">
      <c r="A88" s="165">
        <v>1578683439</v>
      </c>
      <c r="B88" s="166" t="s">
        <v>160</v>
      </c>
      <c r="C88" s="167">
        <v>280.99</v>
      </c>
      <c r="D88" s="168">
        <v>1.2793000000000001</v>
      </c>
      <c r="E88" s="169">
        <v>39.86</v>
      </c>
      <c r="F88" s="169">
        <v>214.42</v>
      </c>
      <c r="G88" s="169">
        <v>24.62</v>
      </c>
      <c r="H88" s="169">
        <v>24.38</v>
      </c>
      <c r="I88" s="170"/>
      <c r="J88" s="167"/>
      <c r="K88" s="167">
        <v>280.99</v>
      </c>
      <c r="L88" s="171"/>
      <c r="M88" s="172">
        <v>37.74</v>
      </c>
      <c r="N88" s="172">
        <v>318.73</v>
      </c>
    </row>
    <row r="89" spans="1:14" x14ac:dyDescent="0.25">
      <c r="A89" s="165">
        <v>1235236878</v>
      </c>
      <c r="B89" s="166" t="s">
        <v>161</v>
      </c>
      <c r="C89" s="167">
        <v>266.37</v>
      </c>
      <c r="D89" s="168">
        <v>1.1752</v>
      </c>
      <c r="E89" s="169">
        <v>39.86</v>
      </c>
      <c r="F89" s="169">
        <v>204.86</v>
      </c>
      <c r="G89" s="169">
        <v>10.69</v>
      </c>
      <c r="H89" s="169">
        <v>24.38</v>
      </c>
      <c r="I89" s="170"/>
      <c r="J89" s="167"/>
      <c r="K89" s="167">
        <v>266.37</v>
      </c>
      <c r="L89" s="171"/>
      <c r="M89" s="172">
        <v>37.74</v>
      </c>
      <c r="N89" s="172">
        <v>304.11</v>
      </c>
    </row>
    <row r="90" spans="1:14" x14ac:dyDescent="0.25">
      <c r="A90" s="165">
        <v>1295723377</v>
      </c>
      <c r="B90" s="166" t="s">
        <v>162</v>
      </c>
      <c r="C90" s="167">
        <v>250.67000000000002</v>
      </c>
      <c r="D90" s="168">
        <v>1.3048999999999999</v>
      </c>
      <c r="E90" s="169">
        <v>39.86</v>
      </c>
      <c r="F90" s="169">
        <v>186.76</v>
      </c>
      <c r="G90" s="169">
        <v>23.67</v>
      </c>
      <c r="H90" s="169">
        <v>0</v>
      </c>
      <c r="I90" s="170"/>
      <c r="J90" s="167"/>
      <c r="K90" s="167">
        <v>250.67000000000002</v>
      </c>
      <c r="L90" s="171"/>
      <c r="M90" s="172">
        <v>37.74</v>
      </c>
      <c r="N90" s="172">
        <v>288.41000000000003</v>
      </c>
    </row>
    <row r="91" spans="1:14" x14ac:dyDescent="0.25">
      <c r="A91" s="165">
        <v>1952446510</v>
      </c>
      <c r="B91" s="166" t="s">
        <v>163</v>
      </c>
      <c r="C91" s="167">
        <v>246.86</v>
      </c>
      <c r="D91" s="168">
        <v>0.9768</v>
      </c>
      <c r="E91" s="169">
        <v>39.86</v>
      </c>
      <c r="F91" s="169">
        <v>187.58</v>
      </c>
      <c r="G91" s="169">
        <v>14</v>
      </c>
      <c r="H91" s="169">
        <v>24.38</v>
      </c>
      <c r="I91" s="170"/>
      <c r="J91" s="167"/>
      <c r="K91" s="167">
        <v>246.86</v>
      </c>
      <c r="L91" s="171"/>
      <c r="M91" s="172">
        <v>37.74</v>
      </c>
      <c r="N91" s="172">
        <v>284.60000000000002</v>
      </c>
    </row>
    <row r="92" spans="1:14" x14ac:dyDescent="0.25">
      <c r="A92" s="165">
        <v>1558872333</v>
      </c>
      <c r="B92" s="166" t="s">
        <v>657</v>
      </c>
      <c r="C92" s="167">
        <v>276.13</v>
      </c>
      <c r="D92" s="168">
        <v>1.0624</v>
      </c>
      <c r="E92" s="169">
        <v>39.86</v>
      </c>
      <c r="F92" s="169">
        <v>195.45</v>
      </c>
      <c r="G92" s="169">
        <v>37.479999999999997</v>
      </c>
      <c r="H92" s="169">
        <v>24.38</v>
      </c>
      <c r="I92" s="170"/>
      <c r="J92" s="167"/>
      <c r="K92" s="167">
        <v>276.13</v>
      </c>
      <c r="L92" s="171"/>
      <c r="M92" s="172">
        <v>37.74</v>
      </c>
      <c r="N92" s="172">
        <v>313.87</v>
      </c>
    </row>
    <row r="93" spans="1:14" x14ac:dyDescent="0.25">
      <c r="A93" s="165">
        <v>1306372230</v>
      </c>
      <c r="B93" s="166" t="s">
        <v>658</v>
      </c>
      <c r="C93" s="167">
        <v>262.85000000000002</v>
      </c>
      <c r="D93" s="168">
        <v>1.3776999999999999</v>
      </c>
      <c r="E93" s="169">
        <v>39.86</v>
      </c>
      <c r="F93" s="169">
        <v>204.65</v>
      </c>
      <c r="G93" s="169">
        <v>23.83</v>
      </c>
      <c r="H93" s="169">
        <v>7.879999999999999</v>
      </c>
      <c r="I93" s="170"/>
      <c r="J93" s="167"/>
      <c r="K93" s="167">
        <v>268.33999999999997</v>
      </c>
      <c r="L93" s="171"/>
      <c r="M93" s="172">
        <v>37.74</v>
      </c>
      <c r="N93" s="172">
        <v>306.08</v>
      </c>
    </row>
    <row r="94" spans="1:14" x14ac:dyDescent="0.25">
      <c r="A94" s="165">
        <v>1255385720</v>
      </c>
      <c r="B94" s="166" t="s">
        <v>659</v>
      </c>
      <c r="C94" s="167">
        <v>261.58999999999997</v>
      </c>
      <c r="D94" s="168">
        <v>1.2000999999999999</v>
      </c>
      <c r="E94" s="169">
        <v>39.86</v>
      </c>
      <c r="F94" s="169">
        <v>207.17</v>
      </c>
      <c r="G94" s="169">
        <v>18.399999999999999</v>
      </c>
      <c r="H94" s="169">
        <v>24.38</v>
      </c>
      <c r="I94" s="170"/>
      <c r="J94" s="167"/>
      <c r="K94" s="167">
        <v>265.43</v>
      </c>
      <c r="L94" s="171"/>
      <c r="M94" s="172">
        <v>37.74</v>
      </c>
      <c r="N94" s="172">
        <v>303.17</v>
      </c>
    </row>
    <row r="95" spans="1:14" x14ac:dyDescent="0.25">
      <c r="A95" s="165">
        <v>1336196526</v>
      </c>
      <c r="B95" s="166" t="s">
        <v>164</v>
      </c>
      <c r="C95" s="167">
        <v>264.57</v>
      </c>
      <c r="D95" s="168">
        <v>1.1278999999999999</v>
      </c>
      <c r="E95" s="169">
        <v>39.86</v>
      </c>
      <c r="F95" s="169">
        <v>199.99</v>
      </c>
      <c r="G95" s="169">
        <v>15.65</v>
      </c>
      <c r="H95" s="169">
        <v>24.38</v>
      </c>
      <c r="I95" s="170"/>
      <c r="J95" s="167"/>
      <c r="K95" s="167">
        <v>264.57</v>
      </c>
      <c r="L95" s="171"/>
      <c r="M95" s="172">
        <v>37.74</v>
      </c>
      <c r="N95" s="172">
        <v>302.31</v>
      </c>
    </row>
    <row r="96" spans="1:14" x14ac:dyDescent="0.25">
      <c r="A96" s="165">
        <v>1295279594</v>
      </c>
      <c r="B96" s="166" t="s">
        <v>660</v>
      </c>
      <c r="C96" s="167">
        <v>306.44</v>
      </c>
      <c r="D96" s="168">
        <v>1.5206</v>
      </c>
      <c r="E96" s="169">
        <v>39.86</v>
      </c>
      <c r="F96" s="169">
        <v>238.04</v>
      </c>
      <c r="G96" s="169">
        <v>29.98</v>
      </c>
      <c r="H96" s="169">
        <v>24.38</v>
      </c>
      <c r="I96" s="170"/>
      <c r="J96" s="167"/>
      <c r="K96" s="167">
        <v>307.88</v>
      </c>
      <c r="L96" s="171"/>
      <c r="M96" s="172">
        <v>37.74</v>
      </c>
      <c r="N96" s="172">
        <v>345.62</v>
      </c>
    </row>
    <row r="97" spans="1:14" x14ac:dyDescent="0.25">
      <c r="A97" s="165">
        <v>1225524747</v>
      </c>
      <c r="B97" s="166" t="s">
        <v>661</v>
      </c>
      <c r="C97" s="167">
        <v>269.88</v>
      </c>
      <c r="D97" s="168">
        <v>1.1241000000000001</v>
      </c>
      <c r="E97" s="169">
        <v>39.86</v>
      </c>
      <c r="F97" s="169">
        <v>199.43</v>
      </c>
      <c r="G97" s="169">
        <v>24.06</v>
      </c>
      <c r="H97" s="169">
        <v>24.38</v>
      </c>
      <c r="I97" s="170"/>
      <c r="J97" s="167"/>
      <c r="K97" s="167">
        <v>269.88</v>
      </c>
      <c r="L97" s="171"/>
      <c r="M97" s="172">
        <v>37.74</v>
      </c>
      <c r="N97" s="172">
        <v>307.62</v>
      </c>
    </row>
    <row r="98" spans="1:14" x14ac:dyDescent="0.25">
      <c r="A98" s="165">
        <v>1215400668</v>
      </c>
      <c r="B98" s="166" t="s">
        <v>165</v>
      </c>
      <c r="C98" s="167">
        <v>256.64</v>
      </c>
      <c r="D98" s="168">
        <v>1.0724</v>
      </c>
      <c r="E98" s="169">
        <v>39.86</v>
      </c>
      <c r="F98" s="169">
        <v>195.8</v>
      </c>
      <c r="G98" s="169">
        <v>17.23</v>
      </c>
      <c r="H98" s="169">
        <v>24.38</v>
      </c>
      <c r="I98" s="170"/>
      <c r="J98" s="167"/>
      <c r="K98" s="167">
        <v>256.64</v>
      </c>
      <c r="L98" s="171"/>
      <c r="M98" s="172">
        <v>37.74</v>
      </c>
      <c r="N98" s="172">
        <v>294.38</v>
      </c>
    </row>
    <row r="99" spans="1:14" x14ac:dyDescent="0.25">
      <c r="A99" s="165">
        <v>1144804485</v>
      </c>
      <c r="B99" s="166" t="s">
        <v>166</v>
      </c>
      <c r="C99" s="167">
        <v>271.58999999999997</v>
      </c>
      <c r="D99" s="168">
        <v>1.2450000000000001</v>
      </c>
      <c r="E99" s="169">
        <v>39.86</v>
      </c>
      <c r="F99" s="169">
        <v>210.43</v>
      </c>
      <c r="G99" s="169">
        <v>25.33</v>
      </c>
      <c r="H99" s="169">
        <v>24.38</v>
      </c>
      <c r="I99" s="170"/>
      <c r="J99" s="167"/>
      <c r="K99" s="167">
        <v>275.62</v>
      </c>
      <c r="L99" s="171"/>
      <c r="M99" s="172">
        <v>37.74</v>
      </c>
      <c r="N99" s="172">
        <v>313.36</v>
      </c>
    </row>
    <row r="100" spans="1:14" x14ac:dyDescent="0.25">
      <c r="A100" s="165">
        <v>1114501459</v>
      </c>
      <c r="B100" s="166" t="s">
        <v>426</v>
      </c>
      <c r="C100" s="167">
        <v>257.15999999999997</v>
      </c>
      <c r="D100" s="168">
        <v>1.2921</v>
      </c>
      <c r="E100" s="169">
        <v>39.86</v>
      </c>
      <c r="F100" s="169">
        <v>199.5</v>
      </c>
      <c r="G100" s="169">
        <v>24.82</v>
      </c>
      <c r="H100" s="169">
        <v>7.879999999999999</v>
      </c>
      <c r="I100" s="170"/>
      <c r="J100" s="167"/>
      <c r="K100" s="167">
        <v>264.18</v>
      </c>
      <c r="L100" s="171"/>
      <c r="M100" s="172">
        <v>37.74</v>
      </c>
      <c r="N100" s="172">
        <v>301.92</v>
      </c>
    </row>
    <row r="101" spans="1:14" x14ac:dyDescent="0.25">
      <c r="A101" s="165">
        <v>1558393835</v>
      </c>
      <c r="B101" s="166" t="s">
        <v>662</v>
      </c>
      <c r="C101" s="167">
        <v>258.5</v>
      </c>
      <c r="D101" s="168">
        <v>1.2364999999999999</v>
      </c>
      <c r="E101" s="169">
        <v>39.86</v>
      </c>
      <c r="F101" s="169">
        <v>208.46</v>
      </c>
      <c r="G101" s="169">
        <v>14.06</v>
      </c>
      <c r="H101" s="169">
        <v>24.38</v>
      </c>
      <c r="I101" s="170"/>
      <c r="J101" s="167"/>
      <c r="K101" s="167">
        <v>262.38</v>
      </c>
      <c r="L101" s="171"/>
      <c r="M101" s="172">
        <v>37.74</v>
      </c>
      <c r="N101" s="172">
        <v>300.12</v>
      </c>
    </row>
    <row r="102" spans="1:14" x14ac:dyDescent="0.25">
      <c r="A102" s="165">
        <v>1083711626</v>
      </c>
      <c r="B102" s="166" t="s">
        <v>167</v>
      </c>
      <c r="C102" s="167">
        <v>259.02</v>
      </c>
      <c r="D102" s="168">
        <v>1.3660000000000001</v>
      </c>
      <c r="E102" s="169">
        <v>39.86</v>
      </c>
      <c r="F102" s="169">
        <v>206.83</v>
      </c>
      <c r="G102" s="169">
        <v>15.02</v>
      </c>
      <c r="H102" s="169">
        <v>7.879999999999999</v>
      </c>
      <c r="I102" s="170"/>
      <c r="J102" s="167"/>
      <c r="K102" s="167">
        <v>261.70999999999998</v>
      </c>
      <c r="L102" s="171"/>
      <c r="M102" s="172">
        <v>37.74</v>
      </c>
      <c r="N102" s="172">
        <v>299.45</v>
      </c>
    </row>
    <row r="103" spans="1:14" x14ac:dyDescent="0.25">
      <c r="A103" s="165">
        <v>1669821336</v>
      </c>
      <c r="B103" s="166" t="s">
        <v>168</v>
      </c>
      <c r="C103" s="167">
        <v>246.57999999999998</v>
      </c>
      <c r="D103" s="168">
        <v>1.2244999999999999</v>
      </c>
      <c r="E103" s="169">
        <v>39.86</v>
      </c>
      <c r="F103" s="169">
        <v>193.64</v>
      </c>
      <c r="G103" s="169">
        <v>13.01</v>
      </c>
      <c r="H103" s="169">
        <v>7.879999999999999</v>
      </c>
      <c r="I103" s="170"/>
      <c r="J103" s="167"/>
      <c r="K103" s="167">
        <v>246.57999999999998</v>
      </c>
      <c r="L103" s="171"/>
      <c r="M103" s="172">
        <v>37.74</v>
      </c>
      <c r="N103" s="172">
        <v>284.32</v>
      </c>
    </row>
    <row r="104" spans="1:14" x14ac:dyDescent="0.25">
      <c r="A104" s="165">
        <v>1083661193</v>
      </c>
      <c r="B104" s="166" t="s">
        <v>169</v>
      </c>
      <c r="C104" s="167">
        <v>255.41000000000003</v>
      </c>
      <c r="D104" s="168">
        <v>1.0583</v>
      </c>
      <c r="E104" s="169">
        <v>39.86</v>
      </c>
      <c r="F104" s="169">
        <v>194.98</v>
      </c>
      <c r="G104" s="169">
        <v>18.28</v>
      </c>
      <c r="H104" s="169">
        <v>24.38</v>
      </c>
      <c r="I104" s="170"/>
      <c r="J104" s="167"/>
      <c r="K104" s="167">
        <v>255.41000000000003</v>
      </c>
      <c r="L104" s="171"/>
      <c r="M104" s="172">
        <v>37.74</v>
      </c>
      <c r="N104" s="172">
        <v>293.15000000000003</v>
      </c>
    </row>
    <row r="105" spans="1:14" x14ac:dyDescent="0.25">
      <c r="A105" s="165">
        <v>1336118298</v>
      </c>
      <c r="B105" s="166" t="s">
        <v>170</v>
      </c>
      <c r="C105" s="167">
        <v>281.43</v>
      </c>
      <c r="D105" s="168">
        <v>1.3911</v>
      </c>
      <c r="E105" s="169">
        <v>39.86</v>
      </c>
      <c r="F105" s="169">
        <v>223.12</v>
      </c>
      <c r="G105" s="169">
        <v>12.4</v>
      </c>
      <c r="H105" s="169">
        <v>24.38</v>
      </c>
      <c r="I105" s="170"/>
      <c r="J105" s="167"/>
      <c r="K105" s="167">
        <v>281.43</v>
      </c>
      <c r="L105" s="171"/>
      <c r="M105" s="172">
        <v>37.74</v>
      </c>
      <c r="N105" s="172">
        <v>319.17</v>
      </c>
    </row>
    <row r="106" spans="1:14" x14ac:dyDescent="0.25">
      <c r="A106" s="165">
        <v>1194309336</v>
      </c>
      <c r="B106" s="166" t="s">
        <v>171</v>
      </c>
      <c r="C106" s="167">
        <v>278.42999999999995</v>
      </c>
      <c r="D106" s="168">
        <v>1.2555000000000001</v>
      </c>
      <c r="E106" s="169">
        <v>39.86</v>
      </c>
      <c r="F106" s="169">
        <v>212.42</v>
      </c>
      <c r="G106" s="169">
        <v>25.13</v>
      </c>
      <c r="H106" s="169">
        <v>24.38</v>
      </c>
      <c r="I106" s="170"/>
      <c r="J106" s="167"/>
      <c r="K106" s="167">
        <v>278.42999999999995</v>
      </c>
      <c r="L106" s="171"/>
      <c r="M106" s="172">
        <v>37.74</v>
      </c>
      <c r="N106" s="172">
        <v>316.16999999999996</v>
      </c>
    </row>
    <row r="107" spans="1:14" x14ac:dyDescent="0.25">
      <c r="A107" s="165">
        <v>1699710293</v>
      </c>
      <c r="B107" s="166" t="s">
        <v>663</v>
      </c>
      <c r="C107" s="167">
        <v>269.60999999999996</v>
      </c>
      <c r="D107" s="168">
        <v>1.1732</v>
      </c>
      <c r="E107" s="169">
        <v>39.86</v>
      </c>
      <c r="F107" s="169">
        <v>201.84</v>
      </c>
      <c r="G107" s="169">
        <v>22.67</v>
      </c>
      <c r="H107" s="169">
        <v>24.38</v>
      </c>
      <c r="I107" s="170"/>
      <c r="J107" s="167"/>
      <c r="K107" s="167">
        <v>269.60999999999996</v>
      </c>
      <c r="L107" s="171"/>
      <c r="M107" s="172">
        <v>37.74</v>
      </c>
      <c r="N107" s="172">
        <v>307.34999999999997</v>
      </c>
    </row>
    <row r="108" spans="1:14" x14ac:dyDescent="0.25">
      <c r="A108" s="165">
        <v>1083659692</v>
      </c>
      <c r="B108" s="166" t="s">
        <v>664</v>
      </c>
      <c r="C108" s="167">
        <v>259.79000000000002</v>
      </c>
      <c r="D108" s="168">
        <v>1.2653000000000001</v>
      </c>
      <c r="E108" s="169">
        <v>39.86</v>
      </c>
      <c r="F108" s="169">
        <v>210.25</v>
      </c>
      <c r="G108" s="169">
        <v>9.18</v>
      </c>
      <c r="H108" s="169">
        <v>24.38</v>
      </c>
      <c r="I108" s="170"/>
      <c r="J108" s="167"/>
      <c r="K108" s="167">
        <v>259.79000000000002</v>
      </c>
      <c r="L108" s="171"/>
      <c r="M108" s="172">
        <v>37.74</v>
      </c>
      <c r="N108" s="172">
        <v>297.53000000000003</v>
      </c>
    </row>
    <row r="109" spans="1:14" x14ac:dyDescent="0.25">
      <c r="A109" s="165">
        <v>1740249382</v>
      </c>
      <c r="B109" s="166" t="s">
        <v>665</v>
      </c>
      <c r="C109" s="167">
        <v>273.5</v>
      </c>
      <c r="D109" s="168">
        <v>1.1982999999999999</v>
      </c>
      <c r="E109" s="169">
        <v>39.86</v>
      </c>
      <c r="F109" s="169">
        <v>205.06</v>
      </c>
      <c r="G109" s="169">
        <v>39.93</v>
      </c>
      <c r="H109" s="169">
        <v>24.38</v>
      </c>
      <c r="I109" s="170"/>
      <c r="J109" s="167"/>
      <c r="K109" s="167">
        <v>284.85000000000002</v>
      </c>
      <c r="L109" s="171"/>
      <c r="M109" s="172">
        <v>37.74</v>
      </c>
      <c r="N109" s="172">
        <v>322.59000000000003</v>
      </c>
    </row>
    <row r="110" spans="1:14" x14ac:dyDescent="0.25">
      <c r="A110" s="165">
        <v>1225000888</v>
      </c>
      <c r="B110" s="166" t="s">
        <v>666</v>
      </c>
      <c r="C110" s="167">
        <v>275.20000000000005</v>
      </c>
      <c r="D110" s="168">
        <v>1.2286999999999999</v>
      </c>
      <c r="E110" s="169">
        <v>39.86</v>
      </c>
      <c r="F110" s="169">
        <v>209.66</v>
      </c>
      <c r="G110" s="169">
        <v>26.83</v>
      </c>
      <c r="H110" s="169">
        <v>24.38</v>
      </c>
      <c r="I110" s="170"/>
      <c r="J110" s="167"/>
      <c r="K110" s="167">
        <v>276.35000000000002</v>
      </c>
      <c r="L110" s="171"/>
      <c r="M110" s="172">
        <v>37.74</v>
      </c>
      <c r="N110" s="172">
        <v>314.09000000000003</v>
      </c>
    </row>
    <row r="111" spans="1:14" x14ac:dyDescent="0.25">
      <c r="A111" s="165">
        <v>1407803679</v>
      </c>
      <c r="B111" s="166" t="s">
        <v>172</v>
      </c>
      <c r="C111" s="167">
        <v>254.94</v>
      </c>
      <c r="D111" s="168">
        <v>1.0680000000000001</v>
      </c>
      <c r="E111" s="169">
        <v>39.86</v>
      </c>
      <c r="F111" s="169">
        <v>195.46</v>
      </c>
      <c r="G111" s="169">
        <v>15.19</v>
      </c>
      <c r="H111" s="169">
        <v>24.38</v>
      </c>
      <c r="I111" s="170"/>
      <c r="J111" s="167"/>
      <c r="K111" s="167">
        <v>254.94</v>
      </c>
      <c r="L111" s="171"/>
      <c r="M111" s="172">
        <v>37.74</v>
      </c>
      <c r="N111" s="172">
        <v>292.68</v>
      </c>
    </row>
    <row r="112" spans="1:14" x14ac:dyDescent="0.25">
      <c r="A112" s="165">
        <v>1134249006</v>
      </c>
      <c r="B112" s="166" t="s">
        <v>667</v>
      </c>
      <c r="C112" s="167">
        <v>270.45</v>
      </c>
      <c r="D112" s="168">
        <v>1.2322</v>
      </c>
      <c r="E112" s="169">
        <v>39.86</v>
      </c>
      <c r="F112" s="169">
        <v>209.73</v>
      </c>
      <c r="G112" s="169">
        <v>17.25</v>
      </c>
      <c r="H112" s="169">
        <v>24.38</v>
      </c>
      <c r="I112" s="170"/>
      <c r="J112" s="167"/>
      <c r="K112" s="167">
        <v>270.45</v>
      </c>
      <c r="L112" s="171"/>
      <c r="M112" s="172">
        <v>37.74</v>
      </c>
      <c r="N112" s="172">
        <v>308.19</v>
      </c>
    </row>
    <row r="113" spans="1:14" x14ac:dyDescent="0.25">
      <c r="A113" s="165">
        <v>1710312079</v>
      </c>
      <c r="B113" s="166" t="s">
        <v>173</v>
      </c>
      <c r="C113" s="167">
        <v>289.87</v>
      </c>
      <c r="D113" s="168">
        <v>1.2921</v>
      </c>
      <c r="E113" s="169">
        <v>39.86</v>
      </c>
      <c r="F113" s="169">
        <v>214.17</v>
      </c>
      <c r="G113" s="169">
        <v>30.47</v>
      </c>
      <c r="H113" s="169">
        <v>24.38</v>
      </c>
      <c r="I113" s="170"/>
      <c r="J113" s="167"/>
      <c r="K113" s="167">
        <v>289.87</v>
      </c>
      <c r="L113" s="171"/>
      <c r="M113" s="172">
        <v>37.74</v>
      </c>
      <c r="N113" s="172">
        <v>327.61</v>
      </c>
    </row>
    <row r="114" spans="1:14" x14ac:dyDescent="0.25">
      <c r="A114" s="165">
        <v>1710537998</v>
      </c>
      <c r="B114" s="166" t="s">
        <v>174</v>
      </c>
      <c r="C114" s="167">
        <v>263.43</v>
      </c>
      <c r="D114" s="168">
        <v>1.0192000000000001</v>
      </c>
      <c r="E114" s="169">
        <v>39.86</v>
      </c>
      <c r="F114" s="169">
        <v>191.47</v>
      </c>
      <c r="G114" s="169">
        <v>26.93</v>
      </c>
      <c r="H114" s="169">
        <v>24.38</v>
      </c>
      <c r="I114" s="170"/>
      <c r="J114" s="167"/>
      <c r="K114" s="167">
        <v>263.43</v>
      </c>
      <c r="L114" s="171"/>
      <c r="M114" s="172">
        <v>37.74</v>
      </c>
      <c r="N114" s="172">
        <v>301.17</v>
      </c>
    </row>
    <row r="115" spans="1:14" x14ac:dyDescent="0.25">
      <c r="A115" s="165">
        <v>1841854361</v>
      </c>
      <c r="B115" s="166" t="s">
        <v>175</v>
      </c>
      <c r="C115" s="167">
        <v>284.71999999999997</v>
      </c>
      <c r="D115" s="168">
        <v>1.3625</v>
      </c>
      <c r="E115" s="169">
        <v>39.86</v>
      </c>
      <c r="F115" s="169">
        <v>222.93</v>
      </c>
      <c r="G115" s="169">
        <v>15.11</v>
      </c>
      <c r="H115" s="169">
        <v>24.38</v>
      </c>
      <c r="I115" s="170"/>
      <c r="J115" s="167"/>
      <c r="K115" s="167">
        <v>284.71999999999997</v>
      </c>
      <c r="L115" s="171"/>
      <c r="M115" s="172">
        <v>37.74</v>
      </c>
      <c r="N115" s="172">
        <v>322.45999999999998</v>
      </c>
    </row>
    <row r="116" spans="1:14" x14ac:dyDescent="0.25">
      <c r="A116" s="165">
        <v>1346806015</v>
      </c>
      <c r="B116" s="166" t="s">
        <v>176</v>
      </c>
      <c r="C116" s="167">
        <v>276.87</v>
      </c>
      <c r="D116" s="168">
        <v>1.2635000000000001</v>
      </c>
      <c r="E116" s="169">
        <v>39.86</v>
      </c>
      <c r="F116" s="169">
        <v>210.14</v>
      </c>
      <c r="G116" s="169">
        <v>29.97</v>
      </c>
      <c r="H116" s="169">
        <v>24.38</v>
      </c>
      <c r="I116" s="170"/>
      <c r="J116" s="167"/>
      <c r="K116" s="167">
        <v>279.97000000000003</v>
      </c>
      <c r="L116" s="171"/>
      <c r="M116" s="172">
        <v>37.74</v>
      </c>
      <c r="N116" s="172">
        <v>317.71000000000004</v>
      </c>
    </row>
    <row r="117" spans="1:14" x14ac:dyDescent="0.25">
      <c r="A117" s="165">
        <v>1801428768</v>
      </c>
      <c r="B117" s="166" t="s">
        <v>177</v>
      </c>
      <c r="C117" s="167">
        <v>280.48</v>
      </c>
      <c r="D117" s="168">
        <v>1.3134999999999999</v>
      </c>
      <c r="E117" s="169">
        <v>39.86</v>
      </c>
      <c r="F117" s="169">
        <v>218.01</v>
      </c>
      <c r="G117" s="169">
        <v>22.64</v>
      </c>
      <c r="H117" s="169">
        <v>24.38</v>
      </c>
      <c r="I117" s="170"/>
      <c r="J117" s="167"/>
      <c r="K117" s="167">
        <v>280.51</v>
      </c>
      <c r="L117" s="171"/>
      <c r="M117" s="172">
        <v>37.74</v>
      </c>
      <c r="N117" s="172">
        <v>318.25</v>
      </c>
    </row>
    <row r="118" spans="1:14" x14ac:dyDescent="0.25">
      <c r="A118" s="165">
        <v>1407325103</v>
      </c>
      <c r="B118" s="166" t="s">
        <v>178</v>
      </c>
      <c r="C118" s="167">
        <v>268.17</v>
      </c>
      <c r="D118" s="168">
        <v>1.2948</v>
      </c>
      <c r="E118" s="169">
        <v>39.86</v>
      </c>
      <c r="F118" s="169">
        <v>216.07</v>
      </c>
      <c r="G118" s="169">
        <v>13.62</v>
      </c>
      <c r="H118" s="169">
        <v>24.38</v>
      </c>
      <c r="I118" s="170"/>
      <c r="J118" s="167"/>
      <c r="K118" s="167">
        <v>269.55</v>
      </c>
      <c r="L118" s="171"/>
      <c r="M118" s="172">
        <v>37.74</v>
      </c>
      <c r="N118" s="172">
        <v>307.29000000000002</v>
      </c>
    </row>
    <row r="119" spans="1:14" x14ac:dyDescent="0.25">
      <c r="A119" s="165">
        <v>1891722187</v>
      </c>
      <c r="B119" s="166" t="s">
        <v>179</v>
      </c>
      <c r="C119" s="167">
        <v>264.26</v>
      </c>
      <c r="D119" s="168">
        <v>1.1096999999999999</v>
      </c>
      <c r="E119" s="169">
        <v>39.86</v>
      </c>
      <c r="F119" s="169">
        <v>200.53</v>
      </c>
      <c r="G119" s="169">
        <v>23.04</v>
      </c>
      <c r="H119" s="169">
        <v>24.38</v>
      </c>
      <c r="I119" s="170"/>
      <c r="J119" s="167"/>
      <c r="K119" s="167">
        <v>264.26</v>
      </c>
      <c r="L119" s="171"/>
      <c r="M119" s="172">
        <v>37.74</v>
      </c>
      <c r="N119" s="172">
        <v>302</v>
      </c>
    </row>
    <row r="120" spans="1:14" x14ac:dyDescent="0.25">
      <c r="A120" s="165">
        <v>1073599510</v>
      </c>
      <c r="B120" s="166" t="s">
        <v>180</v>
      </c>
      <c r="C120" s="167">
        <v>259.47000000000003</v>
      </c>
      <c r="D120" s="168">
        <v>1.0259</v>
      </c>
      <c r="E120" s="169">
        <v>39.86</v>
      </c>
      <c r="F120" s="169">
        <v>192.41</v>
      </c>
      <c r="G120" s="169">
        <v>16.559999999999999</v>
      </c>
      <c r="H120" s="169">
        <v>24.38</v>
      </c>
      <c r="I120" s="170"/>
      <c r="J120" s="167"/>
      <c r="K120" s="167">
        <v>259.47000000000003</v>
      </c>
      <c r="L120" s="171"/>
      <c r="M120" s="172">
        <v>37.74</v>
      </c>
      <c r="N120" s="172">
        <v>297.21000000000004</v>
      </c>
    </row>
    <row r="121" spans="1:14" x14ac:dyDescent="0.25">
      <c r="A121" s="165">
        <v>1972587376</v>
      </c>
      <c r="B121" s="166" t="s">
        <v>181</v>
      </c>
      <c r="C121" s="167">
        <v>245.34</v>
      </c>
      <c r="D121" s="168">
        <v>1.0399</v>
      </c>
      <c r="E121" s="169">
        <v>39.86</v>
      </c>
      <c r="F121" s="169">
        <v>168.85</v>
      </c>
      <c r="G121" s="169">
        <v>27.43</v>
      </c>
      <c r="H121" s="169">
        <v>0</v>
      </c>
      <c r="I121" s="170"/>
      <c r="J121" s="167"/>
      <c r="K121" s="167">
        <v>245.34</v>
      </c>
      <c r="L121" s="171"/>
      <c r="M121" s="172">
        <v>37.74</v>
      </c>
      <c r="N121" s="172">
        <v>283.08</v>
      </c>
    </row>
    <row r="122" spans="1:14" x14ac:dyDescent="0.25">
      <c r="A122" s="165">
        <v>1942236161</v>
      </c>
      <c r="B122" s="166" t="s">
        <v>668</v>
      </c>
      <c r="C122" s="167">
        <v>265.94</v>
      </c>
      <c r="D122" s="168">
        <v>1.202</v>
      </c>
      <c r="E122" s="169">
        <v>39.86</v>
      </c>
      <c r="F122" s="169">
        <v>204.71</v>
      </c>
      <c r="G122" s="169">
        <v>22.73</v>
      </c>
      <c r="H122" s="169">
        <v>24.38</v>
      </c>
      <c r="I122" s="170"/>
      <c r="J122" s="167"/>
      <c r="K122" s="167">
        <v>267.3</v>
      </c>
      <c r="L122" s="171"/>
      <c r="M122" s="172">
        <v>37.74</v>
      </c>
      <c r="N122" s="172">
        <v>305.04000000000002</v>
      </c>
    </row>
    <row r="123" spans="1:14" x14ac:dyDescent="0.25">
      <c r="A123" s="165">
        <v>1437103850</v>
      </c>
      <c r="B123" s="166" t="s">
        <v>182</v>
      </c>
      <c r="C123" s="167">
        <v>257.25</v>
      </c>
      <c r="D123" s="168">
        <v>1.1792108485224528</v>
      </c>
      <c r="E123" s="169">
        <v>39.86</v>
      </c>
      <c r="F123" s="169">
        <v>204.67</v>
      </c>
      <c r="G123" s="169">
        <v>11.06</v>
      </c>
      <c r="H123" s="169">
        <v>24.38</v>
      </c>
      <c r="I123" s="170"/>
      <c r="J123" s="167"/>
      <c r="K123" s="167">
        <v>257.25</v>
      </c>
      <c r="L123" s="171"/>
      <c r="M123" s="172">
        <v>37.74</v>
      </c>
      <c r="N123" s="172">
        <v>294.99</v>
      </c>
    </row>
    <row r="124" spans="1:14" x14ac:dyDescent="0.25">
      <c r="A124" s="165">
        <v>1851375703</v>
      </c>
      <c r="B124" s="166" t="s">
        <v>183</v>
      </c>
      <c r="C124" s="167">
        <v>284.02999999999997</v>
      </c>
      <c r="D124" s="168">
        <v>1.3849</v>
      </c>
      <c r="E124" s="169">
        <v>39.86</v>
      </c>
      <c r="F124" s="169">
        <v>219.71</v>
      </c>
      <c r="G124" s="169">
        <v>26.68</v>
      </c>
      <c r="H124" s="169">
        <v>24.38</v>
      </c>
      <c r="I124" s="170"/>
      <c r="J124" s="167"/>
      <c r="K124" s="167">
        <v>286.25</v>
      </c>
      <c r="L124" s="171"/>
      <c r="M124" s="172">
        <v>37.74</v>
      </c>
      <c r="N124" s="172">
        <v>323.99</v>
      </c>
    </row>
    <row r="125" spans="1:14" x14ac:dyDescent="0.25">
      <c r="A125" s="165">
        <v>1639630452</v>
      </c>
      <c r="B125" s="166" t="s">
        <v>184</v>
      </c>
      <c r="C125" s="167">
        <v>268.7</v>
      </c>
      <c r="D125" s="168">
        <v>1.1688000000000001</v>
      </c>
      <c r="E125" s="169">
        <v>39.86</v>
      </c>
      <c r="F125" s="169">
        <v>204.42</v>
      </c>
      <c r="G125" s="169">
        <v>26.84</v>
      </c>
      <c r="H125" s="169">
        <v>24.38</v>
      </c>
      <c r="I125" s="170"/>
      <c r="J125" s="167"/>
      <c r="K125" s="167">
        <v>271.12</v>
      </c>
      <c r="L125" s="171"/>
      <c r="M125" s="172">
        <v>37.74</v>
      </c>
      <c r="N125" s="172">
        <v>308.86</v>
      </c>
    </row>
    <row r="126" spans="1:14" x14ac:dyDescent="0.25">
      <c r="A126" s="165">
        <v>1093131310</v>
      </c>
      <c r="B126" s="166" t="s">
        <v>185</v>
      </c>
      <c r="C126" s="167">
        <v>269.28000000000003</v>
      </c>
      <c r="D126" s="168">
        <v>1.1656</v>
      </c>
      <c r="E126" s="169">
        <v>39.86</v>
      </c>
      <c r="F126" s="169">
        <v>200.36</v>
      </c>
      <c r="G126" s="169">
        <v>23.05</v>
      </c>
      <c r="H126" s="169">
        <v>24.38</v>
      </c>
      <c r="I126" s="170"/>
      <c r="J126" s="167"/>
      <c r="K126" s="167">
        <v>269.28000000000003</v>
      </c>
      <c r="L126" s="171"/>
      <c r="M126" s="172">
        <v>37.74</v>
      </c>
      <c r="N126" s="172">
        <v>307.02000000000004</v>
      </c>
    </row>
    <row r="127" spans="1:14" x14ac:dyDescent="0.25">
      <c r="A127" s="165">
        <v>1912485517</v>
      </c>
      <c r="B127" s="166" t="s">
        <v>186</v>
      </c>
      <c r="C127" s="167">
        <v>276.09000000000003</v>
      </c>
      <c r="D127" s="168">
        <v>1.1724000000000001</v>
      </c>
      <c r="E127" s="169">
        <v>39.86</v>
      </c>
      <c r="F127" s="169">
        <v>204.35</v>
      </c>
      <c r="G127" s="169">
        <v>35.67</v>
      </c>
      <c r="H127" s="169">
        <v>24.38</v>
      </c>
      <c r="I127" s="170"/>
      <c r="J127" s="167"/>
      <c r="K127" s="167">
        <v>279.88</v>
      </c>
      <c r="L127" s="171"/>
      <c r="M127" s="172">
        <v>37.74</v>
      </c>
      <c r="N127" s="172">
        <v>317.62</v>
      </c>
    </row>
    <row r="128" spans="1:14" x14ac:dyDescent="0.25">
      <c r="A128" s="165">
        <v>1841697422</v>
      </c>
      <c r="B128" s="166" t="s">
        <v>669</v>
      </c>
      <c r="C128" s="167">
        <v>266.60000000000002</v>
      </c>
      <c r="D128" s="168">
        <v>0.74260000000000004</v>
      </c>
      <c r="E128" s="169">
        <v>39.86</v>
      </c>
      <c r="F128" s="169">
        <v>169.39</v>
      </c>
      <c r="G128" s="169">
        <v>22.31</v>
      </c>
      <c r="H128" s="169">
        <v>24.38</v>
      </c>
      <c r="I128" s="170"/>
      <c r="J128" s="167"/>
      <c r="K128" s="167">
        <v>266.60000000000002</v>
      </c>
      <c r="L128" s="171"/>
      <c r="M128" s="172">
        <v>37.74</v>
      </c>
      <c r="N128" s="172">
        <v>304.34000000000003</v>
      </c>
    </row>
    <row r="129" spans="1:14" x14ac:dyDescent="0.25">
      <c r="A129" s="165">
        <v>1356346191</v>
      </c>
      <c r="B129" s="166" t="s">
        <v>187</v>
      </c>
      <c r="C129" s="167">
        <v>232.12</v>
      </c>
      <c r="D129" s="168">
        <v>0.85319999999999996</v>
      </c>
      <c r="E129" s="169">
        <v>39.86</v>
      </c>
      <c r="F129" s="169">
        <v>159.07</v>
      </c>
      <c r="G129" s="169">
        <v>26.35</v>
      </c>
      <c r="H129" s="169">
        <v>7.879999999999999</v>
      </c>
      <c r="I129" s="170"/>
      <c r="J129" s="167"/>
      <c r="K129" s="167">
        <v>232.12</v>
      </c>
      <c r="L129" s="171"/>
      <c r="M129" s="172">
        <v>37.74</v>
      </c>
      <c r="N129" s="172">
        <v>269.86</v>
      </c>
    </row>
    <row r="130" spans="1:14" x14ac:dyDescent="0.25">
      <c r="A130" s="165">
        <v>1477537199</v>
      </c>
      <c r="B130" s="166" t="s">
        <v>188</v>
      </c>
      <c r="C130" s="167">
        <v>259.62</v>
      </c>
      <c r="D130" s="168">
        <v>1.2226999999999999</v>
      </c>
      <c r="E130" s="169">
        <v>39.86</v>
      </c>
      <c r="F130" s="169">
        <v>210.44</v>
      </c>
      <c r="G130" s="169">
        <v>8.43</v>
      </c>
      <c r="H130" s="169">
        <v>24.38</v>
      </c>
      <c r="I130" s="170"/>
      <c r="J130" s="167"/>
      <c r="K130" s="167">
        <v>259.62</v>
      </c>
      <c r="L130" s="171"/>
      <c r="M130" s="172">
        <v>37.74</v>
      </c>
      <c r="N130" s="172">
        <v>297.36</v>
      </c>
    </row>
    <row r="131" spans="1:14" x14ac:dyDescent="0.25">
      <c r="A131" s="165">
        <v>1831551514</v>
      </c>
      <c r="B131" s="166" t="s">
        <v>670</v>
      </c>
      <c r="C131" s="167">
        <v>266.39999999999998</v>
      </c>
      <c r="D131" s="168">
        <v>1.2336</v>
      </c>
      <c r="E131" s="169">
        <v>39.86</v>
      </c>
      <c r="F131" s="169">
        <v>209.28</v>
      </c>
      <c r="G131" s="169">
        <v>15.75</v>
      </c>
      <c r="H131" s="169">
        <v>24.38</v>
      </c>
      <c r="I131" s="170"/>
      <c r="J131" s="167"/>
      <c r="K131" s="167">
        <v>266.39999999999998</v>
      </c>
      <c r="L131" s="171"/>
      <c r="M131" s="172">
        <v>37.74</v>
      </c>
      <c r="N131" s="172">
        <v>304.14</v>
      </c>
    </row>
    <row r="132" spans="1:14" x14ac:dyDescent="0.25">
      <c r="A132" s="165">
        <v>1154792000</v>
      </c>
      <c r="B132" s="166" t="s">
        <v>671</v>
      </c>
      <c r="C132" s="167">
        <v>247.05</v>
      </c>
      <c r="D132" s="168">
        <v>1.0931999999999999</v>
      </c>
      <c r="E132" s="169">
        <v>39.86</v>
      </c>
      <c r="F132" s="169">
        <v>197.43</v>
      </c>
      <c r="G132" s="169">
        <v>9.36</v>
      </c>
      <c r="H132" s="169">
        <v>24.38</v>
      </c>
      <c r="I132" s="170"/>
      <c r="J132" s="167"/>
      <c r="K132" s="167">
        <v>247.05</v>
      </c>
      <c r="L132" s="171"/>
      <c r="M132" s="172">
        <v>37.74</v>
      </c>
      <c r="N132" s="172">
        <v>284.79000000000002</v>
      </c>
    </row>
    <row r="133" spans="1:14" x14ac:dyDescent="0.25">
      <c r="A133" s="165">
        <v>1184196206</v>
      </c>
      <c r="B133" s="166" t="s">
        <v>189</v>
      </c>
      <c r="C133" s="167">
        <v>242.3</v>
      </c>
      <c r="D133" s="168">
        <v>0.95240000000000002</v>
      </c>
      <c r="E133" s="169">
        <v>39.86</v>
      </c>
      <c r="F133" s="169">
        <v>185.2</v>
      </c>
      <c r="G133" s="169">
        <v>17.05</v>
      </c>
      <c r="H133" s="169">
        <v>24.38</v>
      </c>
      <c r="I133" s="170"/>
      <c r="J133" s="167"/>
      <c r="K133" s="167">
        <v>242.3</v>
      </c>
      <c r="L133" s="171"/>
      <c r="M133" s="172">
        <v>37.74</v>
      </c>
      <c r="N133" s="172">
        <v>280.04000000000002</v>
      </c>
    </row>
    <row r="134" spans="1:14" x14ac:dyDescent="0.25">
      <c r="A134" s="165">
        <v>1245350289</v>
      </c>
      <c r="B134" s="166" t="s">
        <v>672</v>
      </c>
      <c r="C134" s="167">
        <v>263.15999999999997</v>
      </c>
      <c r="D134" s="168">
        <v>1.1897</v>
      </c>
      <c r="E134" s="169">
        <v>39.86</v>
      </c>
      <c r="F134" s="169">
        <v>205.1</v>
      </c>
      <c r="G134" s="169">
        <v>16.71</v>
      </c>
      <c r="H134" s="169">
        <v>24.38</v>
      </c>
      <c r="I134" s="170"/>
      <c r="J134" s="167"/>
      <c r="K134" s="167">
        <v>263.15999999999997</v>
      </c>
      <c r="L134" s="171"/>
      <c r="M134" s="172">
        <v>37.74</v>
      </c>
      <c r="N134" s="172">
        <v>300.89999999999998</v>
      </c>
    </row>
    <row r="135" spans="1:14" x14ac:dyDescent="0.25">
      <c r="A135" s="165">
        <v>1003366311</v>
      </c>
      <c r="B135" s="166" t="s">
        <v>438</v>
      </c>
      <c r="C135" s="167">
        <v>248.19</v>
      </c>
      <c r="D135" s="168">
        <v>1.1073</v>
      </c>
      <c r="E135" s="169">
        <v>39.86</v>
      </c>
      <c r="F135" s="169">
        <v>182.51</v>
      </c>
      <c r="G135" s="169">
        <v>17.850000000000001</v>
      </c>
      <c r="H135" s="169">
        <v>7.879999999999999</v>
      </c>
      <c r="I135" s="170"/>
      <c r="J135" s="167"/>
      <c r="K135" s="167">
        <v>248.19</v>
      </c>
      <c r="L135" s="171"/>
      <c r="M135" s="172">
        <v>37.74</v>
      </c>
      <c r="N135" s="172">
        <v>285.93</v>
      </c>
    </row>
    <row r="136" spans="1:14" x14ac:dyDescent="0.25">
      <c r="A136" s="165">
        <v>1750418802</v>
      </c>
      <c r="B136" s="166" t="s">
        <v>190</v>
      </c>
      <c r="C136" s="167">
        <v>234.28</v>
      </c>
      <c r="D136" s="168">
        <v>1.1792108485224528</v>
      </c>
      <c r="E136" s="169">
        <v>39.86</v>
      </c>
      <c r="F136" s="169">
        <v>180.16</v>
      </c>
      <c r="G136" s="169">
        <v>15.35</v>
      </c>
      <c r="H136" s="169">
        <v>0</v>
      </c>
      <c r="I136" s="170"/>
      <c r="J136" s="167"/>
      <c r="K136" s="167">
        <v>235.37</v>
      </c>
      <c r="L136" s="171"/>
      <c r="M136" s="172">
        <v>37.74</v>
      </c>
      <c r="N136" s="172">
        <v>273.11</v>
      </c>
    </row>
    <row r="137" spans="1:14" x14ac:dyDescent="0.25">
      <c r="A137" s="165">
        <v>1265556294</v>
      </c>
      <c r="B137" s="166" t="s">
        <v>191</v>
      </c>
      <c r="C137" s="167">
        <v>276.54000000000002</v>
      </c>
      <c r="D137" s="168">
        <v>1.4829000000000001</v>
      </c>
      <c r="E137" s="169">
        <v>39.86</v>
      </c>
      <c r="F137" s="169">
        <v>230.44</v>
      </c>
      <c r="G137" s="169">
        <v>18.399999999999999</v>
      </c>
      <c r="H137" s="169">
        <v>24.38</v>
      </c>
      <c r="I137" s="170"/>
      <c r="J137" s="167"/>
      <c r="K137" s="167">
        <v>288.7</v>
      </c>
      <c r="L137" s="171"/>
      <c r="M137" s="172">
        <v>37.74</v>
      </c>
      <c r="N137" s="172">
        <v>326.44</v>
      </c>
    </row>
    <row r="138" spans="1:14" x14ac:dyDescent="0.25">
      <c r="A138" s="165">
        <v>1952766271</v>
      </c>
      <c r="B138" s="166" t="s">
        <v>673</v>
      </c>
      <c r="C138" s="167">
        <v>271.32</v>
      </c>
      <c r="D138" s="168">
        <v>1.4060999999999999</v>
      </c>
      <c r="E138" s="169">
        <v>39.86</v>
      </c>
      <c r="F138" s="169">
        <v>209.66</v>
      </c>
      <c r="G138" s="169">
        <v>23.27</v>
      </c>
      <c r="H138" s="169">
        <v>7.879999999999999</v>
      </c>
      <c r="I138" s="170"/>
      <c r="J138" s="167"/>
      <c r="K138" s="167">
        <v>272.79000000000002</v>
      </c>
      <c r="L138" s="171"/>
      <c r="M138" s="172">
        <v>37.74</v>
      </c>
      <c r="N138" s="172">
        <v>310.53000000000003</v>
      </c>
    </row>
    <row r="139" spans="1:14" x14ac:dyDescent="0.25">
      <c r="A139" s="165">
        <v>1609124155</v>
      </c>
      <c r="B139" s="166" t="s">
        <v>192</v>
      </c>
      <c r="C139" s="167">
        <v>271.71999999999997</v>
      </c>
      <c r="D139" s="168">
        <v>1.151</v>
      </c>
      <c r="E139" s="169">
        <v>39.86</v>
      </c>
      <c r="F139" s="169">
        <v>201.4</v>
      </c>
      <c r="G139" s="169">
        <v>32.909999999999997</v>
      </c>
      <c r="H139" s="169">
        <v>24.38</v>
      </c>
      <c r="I139" s="170"/>
      <c r="J139" s="167"/>
      <c r="K139" s="167">
        <v>274.17</v>
      </c>
      <c r="L139" s="171"/>
      <c r="M139" s="172">
        <v>37.74</v>
      </c>
      <c r="N139" s="172">
        <v>311.91000000000003</v>
      </c>
    </row>
    <row r="140" spans="1:14" x14ac:dyDescent="0.25">
      <c r="A140" s="165">
        <v>1407803828</v>
      </c>
      <c r="B140" s="166" t="s">
        <v>193</v>
      </c>
      <c r="C140" s="167">
        <v>261.91999999999996</v>
      </c>
      <c r="D140" s="168">
        <v>1.1999</v>
      </c>
      <c r="E140" s="169">
        <v>39.86</v>
      </c>
      <c r="F140" s="169">
        <v>208.19</v>
      </c>
      <c r="G140" s="169">
        <v>13.82</v>
      </c>
      <c r="H140" s="169">
        <v>24.38</v>
      </c>
      <c r="I140" s="170"/>
      <c r="J140" s="167"/>
      <c r="K140" s="167">
        <v>261.91999999999996</v>
      </c>
      <c r="L140" s="171"/>
      <c r="M140" s="172">
        <v>37.74</v>
      </c>
      <c r="N140" s="172">
        <v>299.65999999999997</v>
      </c>
    </row>
    <row r="141" spans="1:14" x14ac:dyDescent="0.25">
      <c r="A141" s="165">
        <v>1821024274</v>
      </c>
      <c r="B141" s="166" t="s">
        <v>674</v>
      </c>
      <c r="C141" s="167">
        <v>252</v>
      </c>
      <c r="D141" s="168">
        <v>1.1792108485224528</v>
      </c>
      <c r="E141" s="169">
        <v>39.86</v>
      </c>
      <c r="F141" s="169">
        <v>201.82</v>
      </c>
      <c r="G141" s="169">
        <v>8.43</v>
      </c>
      <c r="H141" s="169">
        <v>24.38</v>
      </c>
      <c r="I141" s="170"/>
      <c r="J141" s="167"/>
      <c r="K141" s="167">
        <v>252</v>
      </c>
      <c r="L141" s="171"/>
      <c r="M141" s="172">
        <v>37.74</v>
      </c>
      <c r="N141" s="172">
        <v>289.74</v>
      </c>
    </row>
    <row r="142" spans="1:14" x14ac:dyDescent="0.25">
      <c r="A142" s="165">
        <v>1770995094</v>
      </c>
      <c r="B142" s="166" t="s">
        <v>675</v>
      </c>
      <c r="C142" s="167">
        <v>246.06</v>
      </c>
      <c r="D142" s="168">
        <v>1.0406</v>
      </c>
      <c r="E142" s="169">
        <v>39.86</v>
      </c>
      <c r="F142" s="169">
        <v>193.02</v>
      </c>
      <c r="G142" s="169">
        <v>12.25</v>
      </c>
      <c r="H142" s="169">
        <v>24.38</v>
      </c>
      <c r="I142" s="170"/>
      <c r="J142" s="167"/>
      <c r="K142" s="167">
        <v>246.06</v>
      </c>
      <c r="L142" s="171"/>
      <c r="M142" s="172">
        <v>37.74</v>
      </c>
      <c r="N142" s="172">
        <v>283.8</v>
      </c>
    </row>
    <row r="143" spans="1:14" x14ac:dyDescent="0.25">
      <c r="A143" s="165">
        <v>1275508970</v>
      </c>
      <c r="B143" s="166" t="s">
        <v>194</v>
      </c>
      <c r="C143" s="167">
        <v>248.82</v>
      </c>
      <c r="D143" s="168">
        <v>0.98209999999999997</v>
      </c>
      <c r="E143" s="169">
        <v>39.86</v>
      </c>
      <c r="F143" s="169">
        <v>188.24</v>
      </c>
      <c r="G143" s="169">
        <v>18.079999999999998</v>
      </c>
      <c r="H143" s="169">
        <v>24.38</v>
      </c>
      <c r="I143" s="170"/>
      <c r="J143" s="167"/>
      <c r="K143" s="167">
        <v>248.82</v>
      </c>
      <c r="L143" s="171"/>
      <c r="M143" s="172">
        <v>37.74</v>
      </c>
      <c r="N143" s="172">
        <v>286.56</v>
      </c>
    </row>
    <row r="144" spans="1:14" x14ac:dyDescent="0.25">
      <c r="A144" s="165">
        <v>1568127488</v>
      </c>
      <c r="B144" s="166" t="s">
        <v>195</v>
      </c>
      <c r="C144" s="167">
        <v>246.40999999999997</v>
      </c>
      <c r="D144" s="168">
        <v>1.3033999999999999</v>
      </c>
      <c r="E144" s="169">
        <v>39.86</v>
      </c>
      <c r="F144" s="169">
        <v>199.85</v>
      </c>
      <c r="G144" s="169">
        <v>8.61</v>
      </c>
      <c r="H144" s="169">
        <v>7.88</v>
      </c>
      <c r="I144" s="170"/>
      <c r="J144" s="167"/>
      <c r="K144" s="167">
        <v>248.32</v>
      </c>
      <c r="L144" s="171"/>
      <c r="M144" s="172">
        <v>37.74</v>
      </c>
      <c r="N144" s="172">
        <v>286.06</v>
      </c>
    </row>
    <row r="145" spans="1:14" x14ac:dyDescent="0.25">
      <c r="A145" s="165">
        <v>1396747689</v>
      </c>
      <c r="B145" s="166" t="s">
        <v>196</v>
      </c>
      <c r="C145" s="167">
        <v>255.85000000000002</v>
      </c>
      <c r="D145" s="168">
        <v>1.1281000000000001</v>
      </c>
      <c r="E145" s="169">
        <v>39.86</v>
      </c>
      <c r="F145" s="169">
        <v>199.37</v>
      </c>
      <c r="G145" s="169">
        <v>14.16</v>
      </c>
      <c r="H145" s="169">
        <v>24.38</v>
      </c>
      <c r="I145" s="170"/>
      <c r="J145" s="167"/>
      <c r="K145" s="167">
        <v>255.85000000000002</v>
      </c>
      <c r="L145" s="171"/>
      <c r="M145" s="172">
        <v>37.74</v>
      </c>
      <c r="N145" s="172">
        <v>293.59000000000003</v>
      </c>
    </row>
    <row r="146" spans="1:14" x14ac:dyDescent="0.25">
      <c r="A146" s="165">
        <v>1932135381</v>
      </c>
      <c r="B146" s="166" t="s">
        <v>197</v>
      </c>
      <c r="C146" s="167">
        <v>264.12</v>
      </c>
      <c r="D146" s="168">
        <v>1.2033</v>
      </c>
      <c r="E146" s="169">
        <v>39.86</v>
      </c>
      <c r="F146" s="169">
        <v>207.35</v>
      </c>
      <c r="G146" s="169">
        <v>15.72</v>
      </c>
      <c r="H146" s="169">
        <v>24.38</v>
      </c>
      <c r="I146" s="170"/>
      <c r="J146" s="167"/>
      <c r="K146" s="167">
        <v>264.12</v>
      </c>
      <c r="L146" s="171"/>
      <c r="M146" s="172">
        <v>37.74</v>
      </c>
      <c r="N146" s="172">
        <v>301.86</v>
      </c>
    </row>
    <row r="147" spans="1:14" x14ac:dyDescent="0.25">
      <c r="A147" s="165">
        <v>1710932355</v>
      </c>
      <c r="B147" s="166" t="s">
        <v>198</v>
      </c>
      <c r="C147" s="167">
        <v>256.26</v>
      </c>
      <c r="D147" s="168">
        <v>1.0107999999999999</v>
      </c>
      <c r="E147" s="169">
        <v>39.86</v>
      </c>
      <c r="F147" s="169">
        <v>190.58</v>
      </c>
      <c r="G147" s="169">
        <v>26.07</v>
      </c>
      <c r="H147" s="169">
        <v>24.38</v>
      </c>
      <c r="I147" s="170"/>
      <c r="J147" s="167"/>
      <c r="K147" s="167">
        <v>256.51</v>
      </c>
      <c r="L147" s="171"/>
      <c r="M147" s="172">
        <v>37.74</v>
      </c>
      <c r="N147" s="172">
        <v>294.25</v>
      </c>
    </row>
    <row r="148" spans="1:14" x14ac:dyDescent="0.25">
      <c r="A148" s="165">
        <v>1376570275</v>
      </c>
      <c r="B148" s="166" t="s">
        <v>676</v>
      </c>
      <c r="C148" s="167">
        <v>241.84000000000003</v>
      </c>
      <c r="D148" s="168">
        <v>1.2110000000000001</v>
      </c>
      <c r="E148" s="169">
        <v>39.86</v>
      </c>
      <c r="F148" s="169">
        <v>190.43</v>
      </c>
      <c r="G148" s="169">
        <v>14.08</v>
      </c>
      <c r="H148" s="169">
        <v>7.879999999999999</v>
      </c>
      <c r="I148" s="170"/>
      <c r="J148" s="167"/>
      <c r="K148" s="167">
        <v>244.37</v>
      </c>
      <c r="L148" s="171"/>
      <c r="M148" s="172">
        <v>37.74</v>
      </c>
      <c r="N148" s="172">
        <v>282.11</v>
      </c>
    </row>
    <row r="149" spans="1:14" x14ac:dyDescent="0.25">
      <c r="A149" s="165">
        <v>1417951492</v>
      </c>
      <c r="B149" s="166" t="s">
        <v>199</v>
      </c>
      <c r="C149" s="167">
        <v>214.67999999999998</v>
      </c>
      <c r="D149" s="168">
        <v>0.95140000000000002</v>
      </c>
      <c r="E149" s="169">
        <v>39.86</v>
      </c>
      <c r="F149" s="169">
        <v>161.30000000000001</v>
      </c>
      <c r="G149" s="169">
        <v>15.84</v>
      </c>
      <c r="H149" s="169">
        <v>0</v>
      </c>
      <c r="I149" s="170"/>
      <c r="J149" s="167"/>
      <c r="K149" s="167">
        <v>217</v>
      </c>
      <c r="L149" s="171"/>
      <c r="M149" s="172">
        <v>37.74</v>
      </c>
      <c r="N149" s="172">
        <v>254.74</v>
      </c>
    </row>
    <row r="150" spans="1:14" x14ac:dyDescent="0.25">
      <c r="A150" s="165">
        <v>1730183625</v>
      </c>
      <c r="B150" s="166" t="s">
        <v>200</v>
      </c>
      <c r="C150" s="167">
        <v>212.7</v>
      </c>
      <c r="D150" s="168">
        <v>1.1792108485224528</v>
      </c>
      <c r="E150" s="169">
        <v>39.86</v>
      </c>
      <c r="F150" s="169">
        <v>180.59</v>
      </c>
      <c r="G150" s="169">
        <v>10.85</v>
      </c>
      <c r="H150" s="169">
        <v>0</v>
      </c>
      <c r="I150" s="170"/>
      <c r="J150" s="167"/>
      <c r="K150" s="167">
        <v>231.3</v>
      </c>
      <c r="L150" s="171"/>
      <c r="M150" s="172">
        <v>37.74</v>
      </c>
      <c r="N150" s="172">
        <v>269.04000000000002</v>
      </c>
    </row>
    <row r="151" spans="1:14" x14ac:dyDescent="0.25">
      <c r="A151" s="165">
        <v>1730136128</v>
      </c>
      <c r="B151" s="166" t="s">
        <v>677</v>
      </c>
      <c r="C151" s="167">
        <v>259.95999999999998</v>
      </c>
      <c r="D151" s="168">
        <v>1.1337999999999999</v>
      </c>
      <c r="E151" s="169">
        <v>39.86</v>
      </c>
      <c r="F151" s="169">
        <v>200.38</v>
      </c>
      <c r="G151" s="169">
        <v>13.18</v>
      </c>
      <c r="H151" s="169">
        <v>24.38</v>
      </c>
      <c r="I151" s="170"/>
      <c r="J151" s="167"/>
      <c r="K151" s="167">
        <v>259.95999999999998</v>
      </c>
      <c r="L151" s="171"/>
      <c r="M151" s="172">
        <v>37.74</v>
      </c>
      <c r="N151" s="172">
        <v>297.7</v>
      </c>
    </row>
    <row r="152" spans="1:14" x14ac:dyDescent="0.25">
      <c r="A152" s="165">
        <v>1679555403</v>
      </c>
      <c r="B152" s="166" t="s">
        <v>201</v>
      </c>
      <c r="C152" s="167">
        <v>239.51</v>
      </c>
      <c r="D152" s="168">
        <v>0.9486</v>
      </c>
      <c r="E152" s="169">
        <v>39.86</v>
      </c>
      <c r="F152" s="169">
        <v>160.59</v>
      </c>
      <c r="G152" s="169">
        <v>33.64</v>
      </c>
      <c r="H152" s="169">
        <v>0</v>
      </c>
      <c r="I152" s="170"/>
      <c r="J152" s="167"/>
      <c r="K152" s="167">
        <v>239.51</v>
      </c>
      <c r="L152" s="171"/>
      <c r="M152" s="172">
        <v>37.74</v>
      </c>
      <c r="N152" s="172">
        <v>277.25</v>
      </c>
    </row>
    <row r="153" spans="1:14" x14ac:dyDescent="0.25">
      <c r="A153" s="165">
        <v>1982948550</v>
      </c>
      <c r="B153" s="166" t="s">
        <v>202</v>
      </c>
      <c r="C153" s="167">
        <v>203.45999999999998</v>
      </c>
      <c r="D153" s="168">
        <v>0.82789999999999997</v>
      </c>
      <c r="E153" s="169">
        <v>39.86</v>
      </c>
      <c r="F153" s="169">
        <v>149.33000000000001</v>
      </c>
      <c r="G153" s="169">
        <v>10.25</v>
      </c>
      <c r="H153" s="169">
        <v>0</v>
      </c>
      <c r="I153" s="170"/>
      <c r="J153" s="167"/>
      <c r="K153" s="167">
        <v>203.45999999999998</v>
      </c>
      <c r="L153" s="171"/>
      <c r="M153" s="172">
        <v>37.74</v>
      </c>
      <c r="N153" s="172">
        <v>241.2</v>
      </c>
    </row>
    <row r="154" spans="1:14" x14ac:dyDescent="0.25">
      <c r="A154" s="165">
        <v>1174524458</v>
      </c>
      <c r="B154" s="166" t="s">
        <v>203</v>
      </c>
      <c r="C154" s="167">
        <v>242.31</v>
      </c>
      <c r="D154" s="168">
        <v>0.92920000000000003</v>
      </c>
      <c r="E154" s="169">
        <v>39.86</v>
      </c>
      <c r="F154" s="169">
        <v>158.88</v>
      </c>
      <c r="G154" s="169">
        <v>23.96</v>
      </c>
      <c r="H154" s="169">
        <v>0</v>
      </c>
      <c r="I154" s="170"/>
      <c r="J154" s="167"/>
      <c r="K154" s="167">
        <v>242.31</v>
      </c>
      <c r="L154" s="171"/>
      <c r="M154" s="172">
        <v>37.74</v>
      </c>
      <c r="N154" s="172">
        <v>280.05</v>
      </c>
    </row>
    <row r="155" spans="1:14" x14ac:dyDescent="0.25">
      <c r="A155" s="165">
        <v>1477511079</v>
      </c>
      <c r="B155" s="166" t="s">
        <v>204</v>
      </c>
      <c r="C155" s="167">
        <v>256.05</v>
      </c>
      <c r="D155" s="168">
        <v>1.036</v>
      </c>
      <c r="E155" s="169">
        <v>39.86</v>
      </c>
      <c r="F155" s="169">
        <v>192.71</v>
      </c>
      <c r="G155" s="169">
        <v>17.25</v>
      </c>
      <c r="H155" s="169">
        <v>24.38</v>
      </c>
      <c r="I155" s="170"/>
      <c r="J155" s="167"/>
      <c r="K155" s="167">
        <v>256.05</v>
      </c>
      <c r="L155" s="171"/>
      <c r="M155" s="172">
        <v>37.74</v>
      </c>
      <c r="N155" s="172">
        <v>293.79000000000002</v>
      </c>
    </row>
    <row r="156" spans="1:14" x14ac:dyDescent="0.25">
      <c r="A156" s="165">
        <v>1396802260</v>
      </c>
      <c r="B156" s="166" t="s">
        <v>205</v>
      </c>
      <c r="C156" s="167">
        <v>294.45</v>
      </c>
      <c r="D156" s="168">
        <v>1.1633</v>
      </c>
      <c r="E156" s="169">
        <v>39.86</v>
      </c>
      <c r="F156" s="169">
        <v>203.36</v>
      </c>
      <c r="G156" s="169">
        <v>38.94</v>
      </c>
      <c r="H156" s="169">
        <v>24.38</v>
      </c>
      <c r="I156" s="170"/>
      <c r="J156" s="167"/>
      <c r="K156" s="167">
        <v>294.45</v>
      </c>
      <c r="L156" s="171"/>
      <c r="M156" s="172">
        <v>37.74</v>
      </c>
      <c r="N156" s="172">
        <v>332.19</v>
      </c>
    </row>
    <row r="157" spans="1:14" x14ac:dyDescent="0.25">
      <c r="A157" s="165">
        <v>1588618045</v>
      </c>
      <c r="B157" s="166" t="s">
        <v>206</v>
      </c>
      <c r="C157" s="167">
        <v>260.99</v>
      </c>
      <c r="D157" s="168">
        <v>1.1657999999999999</v>
      </c>
      <c r="E157" s="169">
        <v>39.86</v>
      </c>
      <c r="F157" s="169">
        <v>202.89</v>
      </c>
      <c r="G157" s="169">
        <v>8.61</v>
      </c>
      <c r="H157" s="169">
        <v>24.38</v>
      </c>
      <c r="I157" s="170"/>
      <c r="J157" s="167"/>
      <c r="K157" s="167">
        <v>260.99</v>
      </c>
      <c r="L157" s="171"/>
      <c r="M157" s="172">
        <v>37.74</v>
      </c>
      <c r="N157" s="172">
        <v>298.73</v>
      </c>
    </row>
    <row r="158" spans="1:14" x14ac:dyDescent="0.25">
      <c r="A158" s="165">
        <v>1104946060</v>
      </c>
      <c r="B158" s="166" t="s">
        <v>678</v>
      </c>
      <c r="C158" s="167">
        <v>276.31</v>
      </c>
      <c r="D158" s="168">
        <v>1.2115</v>
      </c>
      <c r="E158" s="169">
        <v>39.86</v>
      </c>
      <c r="F158" s="169">
        <v>209.93</v>
      </c>
      <c r="G158" s="169">
        <v>24.24</v>
      </c>
      <c r="H158" s="169">
        <v>24.38</v>
      </c>
      <c r="I158" s="170"/>
      <c r="J158" s="167"/>
      <c r="K158" s="167">
        <v>276.31</v>
      </c>
      <c r="L158" s="171"/>
      <c r="M158" s="172">
        <v>37.74</v>
      </c>
      <c r="N158" s="172">
        <v>314.05</v>
      </c>
    </row>
    <row r="159" spans="1:14" x14ac:dyDescent="0.25">
      <c r="A159" s="165">
        <v>1962066480</v>
      </c>
      <c r="B159" s="166" t="s">
        <v>207</v>
      </c>
      <c r="C159" s="167">
        <v>282.79999999999995</v>
      </c>
      <c r="D159" s="168">
        <v>1.4528000000000001</v>
      </c>
      <c r="E159" s="169">
        <v>39.86</v>
      </c>
      <c r="F159" s="169">
        <v>233.84</v>
      </c>
      <c r="G159" s="169">
        <v>8.52</v>
      </c>
      <c r="H159" s="169">
        <v>24.38</v>
      </c>
      <c r="I159" s="170"/>
      <c r="J159" s="167"/>
      <c r="K159" s="167">
        <v>282.79999999999995</v>
      </c>
      <c r="L159" s="171"/>
      <c r="M159" s="172">
        <v>37.74</v>
      </c>
      <c r="N159" s="172">
        <v>320.53999999999996</v>
      </c>
    </row>
    <row r="160" spans="1:14" x14ac:dyDescent="0.25">
      <c r="A160" s="165">
        <v>1366487464</v>
      </c>
      <c r="B160" s="166" t="s">
        <v>679</v>
      </c>
      <c r="C160" s="167">
        <v>267.89</v>
      </c>
      <c r="D160" s="168">
        <v>1.2477</v>
      </c>
      <c r="E160" s="169">
        <v>39.86</v>
      </c>
      <c r="F160" s="169">
        <v>211.23</v>
      </c>
      <c r="G160" s="169">
        <v>12</v>
      </c>
      <c r="H160" s="169">
        <v>24.38</v>
      </c>
      <c r="I160" s="170"/>
      <c r="J160" s="167"/>
      <c r="K160" s="167">
        <v>267.89</v>
      </c>
      <c r="L160" s="171"/>
      <c r="M160" s="172">
        <v>37.74</v>
      </c>
      <c r="N160" s="172">
        <v>305.63</v>
      </c>
    </row>
    <row r="161" spans="1:14" x14ac:dyDescent="0.25">
      <c r="A161" s="165">
        <v>1407882830</v>
      </c>
      <c r="B161" s="166" t="s">
        <v>680</v>
      </c>
      <c r="C161" s="167">
        <v>258.83999999999997</v>
      </c>
      <c r="D161" s="168">
        <v>1.1849000000000001</v>
      </c>
      <c r="E161" s="169">
        <v>39.86</v>
      </c>
      <c r="F161" s="169">
        <v>203.31</v>
      </c>
      <c r="G161" s="169">
        <v>11.3</v>
      </c>
      <c r="H161" s="169">
        <v>24.38</v>
      </c>
      <c r="I161" s="170"/>
      <c r="J161" s="167"/>
      <c r="K161" s="167">
        <v>258.83999999999997</v>
      </c>
      <c r="L161" s="171"/>
      <c r="M161" s="172">
        <v>37.74</v>
      </c>
      <c r="N161" s="172">
        <v>296.58</v>
      </c>
    </row>
    <row r="162" spans="1:14" x14ac:dyDescent="0.25">
      <c r="A162" s="165">
        <v>1588642102</v>
      </c>
      <c r="B162" s="166" t="s">
        <v>208</v>
      </c>
      <c r="C162" s="167">
        <v>275.43</v>
      </c>
      <c r="D162" s="168">
        <v>1.2859</v>
      </c>
      <c r="E162" s="169">
        <v>39.86</v>
      </c>
      <c r="F162" s="169">
        <v>215.5</v>
      </c>
      <c r="G162" s="169">
        <v>21.15</v>
      </c>
      <c r="H162" s="169">
        <v>24.38</v>
      </c>
      <c r="I162" s="170"/>
      <c r="J162" s="167"/>
      <c r="K162" s="167">
        <v>276.51</v>
      </c>
      <c r="L162" s="171"/>
      <c r="M162" s="172">
        <v>37.74</v>
      </c>
      <c r="N162" s="172">
        <v>314.25</v>
      </c>
    </row>
    <row r="163" spans="1:14" x14ac:dyDescent="0.25">
      <c r="A163" s="165">
        <v>1063458958</v>
      </c>
      <c r="B163" s="166" t="s">
        <v>681</v>
      </c>
      <c r="C163" s="167">
        <v>261.45999999999998</v>
      </c>
      <c r="D163" s="168">
        <v>1.2544</v>
      </c>
      <c r="E163" s="169">
        <v>39.86</v>
      </c>
      <c r="F163" s="169">
        <v>210.73</v>
      </c>
      <c r="G163" s="169">
        <v>13.38</v>
      </c>
      <c r="H163" s="169">
        <v>24.38</v>
      </c>
      <c r="I163" s="170"/>
      <c r="J163" s="167"/>
      <c r="K163" s="167">
        <v>263.97000000000003</v>
      </c>
      <c r="L163" s="171"/>
      <c r="M163" s="172">
        <v>37.74</v>
      </c>
      <c r="N163" s="172">
        <v>301.71000000000004</v>
      </c>
    </row>
    <row r="164" spans="1:14" x14ac:dyDescent="0.25">
      <c r="A164" s="165">
        <v>1619908977</v>
      </c>
      <c r="B164" s="166" t="s">
        <v>682</v>
      </c>
      <c r="C164" s="167">
        <v>266.05</v>
      </c>
      <c r="D164" s="168">
        <v>1.2458</v>
      </c>
      <c r="E164" s="169">
        <v>39.86</v>
      </c>
      <c r="F164" s="169">
        <v>210.12</v>
      </c>
      <c r="G164" s="169">
        <v>9.49</v>
      </c>
      <c r="H164" s="169">
        <v>24.38</v>
      </c>
      <c r="I164" s="170"/>
      <c r="J164" s="167"/>
      <c r="K164" s="167">
        <v>266.05</v>
      </c>
      <c r="L164" s="171"/>
      <c r="M164" s="172">
        <v>37.74</v>
      </c>
      <c r="N164" s="172">
        <v>303.79000000000002</v>
      </c>
    </row>
    <row r="165" spans="1:14" x14ac:dyDescent="0.25">
      <c r="A165" s="165">
        <v>1538808340</v>
      </c>
      <c r="B165" s="166" t="s">
        <v>683</v>
      </c>
      <c r="C165" s="167">
        <v>273.81</v>
      </c>
      <c r="D165" s="168">
        <v>1.3851</v>
      </c>
      <c r="E165" s="169">
        <v>39.86</v>
      </c>
      <c r="F165" s="169">
        <v>223.66</v>
      </c>
      <c r="G165" s="169">
        <v>14.61</v>
      </c>
      <c r="H165" s="169">
        <v>24.38</v>
      </c>
      <c r="I165" s="170"/>
      <c r="J165" s="167"/>
      <c r="K165" s="167">
        <v>278.13</v>
      </c>
      <c r="L165" s="171"/>
      <c r="M165" s="172">
        <v>37.74</v>
      </c>
      <c r="N165" s="172">
        <v>315.87</v>
      </c>
    </row>
    <row r="166" spans="1:14" x14ac:dyDescent="0.25">
      <c r="A166" s="165">
        <v>1033784970</v>
      </c>
      <c r="B166" s="166" t="s">
        <v>209</v>
      </c>
      <c r="C166" s="167">
        <v>276.75</v>
      </c>
      <c r="D166" s="168">
        <v>1.2518</v>
      </c>
      <c r="E166" s="169">
        <v>39.86</v>
      </c>
      <c r="F166" s="169">
        <v>210.4</v>
      </c>
      <c r="G166" s="169">
        <v>22.44</v>
      </c>
      <c r="H166" s="169">
        <v>24.38</v>
      </c>
      <c r="I166" s="170"/>
      <c r="J166" s="167"/>
      <c r="K166" s="167">
        <v>276.75</v>
      </c>
      <c r="L166" s="171"/>
      <c r="M166" s="172">
        <v>37.74</v>
      </c>
      <c r="N166" s="172">
        <v>314.49</v>
      </c>
    </row>
    <row r="167" spans="1:14" x14ac:dyDescent="0.25">
      <c r="A167" s="165">
        <v>1437609732</v>
      </c>
      <c r="B167" s="166" t="s">
        <v>450</v>
      </c>
      <c r="C167" s="167">
        <v>263</v>
      </c>
      <c r="D167" s="168">
        <v>1.2005999999999999</v>
      </c>
      <c r="E167" s="169">
        <v>39.86</v>
      </c>
      <c r="F167" s="169">
        <v>205.91</v>
      </c>
      <c r="G167" s="169">
        <v>14.64</v>
      </c>
      <c r="H167" s="169">
        <v>24.38</v>
      </c>
      <c r="I167" s="170"/>
      <c r="J167" s="167"/>
      <c r="K167" s="167">
        <v>263</v>
      </c>
      <c r="L167" s="171"/>
      <c r="M167" s="172">
        <v>37.74</v>
      </c>
      <c r="N167" s="172">
        <v>300.74</v>
      </c>
    </row>
    <row r="168" spans="1:14" x14ac:dyDescent="0.25">
      <c r="A168" s="165">
        <v>1649590498</v>
      </c>
      <c r="B168" s="166" t="s">
        <v>684</v>
      </c>
      <c r="C168" s="167">
        <v>253.77000000000004</v>
      </c>
      <c r="D168" s="168">
        <v>1.1792108485224528</v>
      </c>
      <c r="E168" s="169">
        <v>39.86</v>
      </c>
      <c r="F168" s="169">
        <v>202.91</v>
      </c>
      <c r="G168" s="169">
        <v>9.2899999999999991</v>
      </c>
      <c r="H168" s="169">
        <v>24.38</v>
      </c>
      <c r="I168" s="170"/>
      <c r="J168" s="167"/>
      <c r="K168" s="167">
        <v>253.77000000000004</v>
      </c>
      <c r="L168" s="171"/>
      <c r="M168" s="172">
        <v>37.74</v>
      </c>
      <c r="N168" s="172">
        <v>291.51000000000005</v>
      </c>
    </row>
    <row r="169" spans="1:14" x14ac:dyDescent="0.25">
      <c r="A169" s="165">
        <v>1932145836</v>
      </c>
      <c r="B169" s="166" t="s">
        <v>685</v>
      </c>
      <c r="C169" s="167">
        <v>245.06</v>
      </c>
      <c r="D169" s="168">
        <v>1.1735</v>
      </c>
      <c r="E169" s="169">
        <v>39.86</v>
      </c>
      <c r="F169" s="169">
        <v>187.86</v>
      </c>
      <c r="G169" s="169">
        <v>20.7</v>
      </c>
      <c r="H169" s="169">
        <v>7.879999999999999</v>
      </c>
      <c r="I169" s="170"/>
      <c r="J169" s="167"/>
      <c r="K169" s="167">
        <v>248.42</v>
      </c>
      <c r="L169" s="171"/>
      <c r="M169" s="172">
        <v>37.74</v>
      </c>
      <c r="N169" s="172">
        <v>286.15999999999997</v>
      </c>
    </row>
    <row r="170" spans="1:14" x14ac:dyDescent="0.25">
      <c r="A170" s="165">
        <v>1285665539</v>
      </c>
      <c r="B170" s="166" t="s">
        <v>686</v>
      </c>
      <c r="C170" s="167">
        <v>263.27</v>
      </c>
      <c r="D170" s="168">
        <v>1.2255</v>
      </c>
      <c r="E170" s="169">
        <v>39.86</v>
      </c>
      <c r="F170" s="169">
        <v>207.3</v>
      </c>
      <c r="G170" s="169">
        <v>18.739999999999998</v>
      </c>
      <c r="H170" s="169">
        <v>24.38</v>
      </c>
      <c r="I170" s="170"/>
      <c r="J170" s="167"/>
      <c r="K170" s="167">
        <v>265.89999999999998</v>
      </c>
      <c r="L170" s="171"/>
      <c r="M170" s="172">
        <v>37.74</v>
      </c>
      <c r="N170" s="172">
        <v>303.64</v>
      </c>
    </row>
    <row r="171" spans="1:14" x14ac:dyDescent="0.25">
      <c r="A171" s="165">
        <v>1104800069</v>
      </c>
      <c r="B171" s="166" t="s">
        <v>210</v>
      </c>
      <c r="C171" s="167">
        <v>290.04000000000002</v>
      </c>
      <c r="D171" s="168">
        <v>1.3873</v>
      </c>
      <c r="E171" s="169">
        <v>39.86</v>
      </c>
      <c r="F171" s="169">
        <v>224.97</v>
      </c>
      <c r="G171" s="169">
        <v>29.99</v>
      </c>
      <c r="H171" s="169">
        <v>24.38</v>
      </c>
      <c r="I171" s="170"/>
      <c r="J171" s="167"/>
      <c r="K171" s="167">
        <v>294.82</v>
      </c>
      <c r="L171" s="171"/>
      <c r="M171" s="172">
        <v>37.74</v>
      </c>
      <c r="N171" s="172">
        <v>332.56</v>
      </c>
    </row>
    <row r="172" spans="1:14" x14ac:dyDescent="0.25">
      <c r="A172" s="165">
        <v>1912027871</v>
      </c>
      <c r="B172" s="166" t="s">
        <v>211</v>
      </c>
      <c r="C172" s="167">
        <v>272.81</v>
      </c>
      <c r="D172" s="168">
        <v>1.1306</v>
      </c>
      <c r="E172" s="169">
        <v>39.86</v>
      </c>
      <c r="F172" s="169">
        <v>201.3</v>
      </c>
      <c r="G172" s="169">
        <v>22.58</v>
      </c>
      <c r="H172" s="169">
        <v>24.38</v>
      </c>
      <c r="I172" s="170"/>
      <c r="J172" s="167"/>
      <c r="K172" s="167">
        <v>272.81</v>
      </c>
      <c r="L172" s="171"/>
      <c r="M172" s="172">
        <v>37.74</v>
      </c>
      <c r="N172" s="172">
        <v>310.55</v>
      </c>
    </row>
    <row r="173" spans="1:14" x14ac:dyDescent="0.25">
      <c r="A173" s="165">
        <v>1326143504</v>
      </c>
      <c r="B173" s="166" t="s">
        <v>212</v>
      </c>
      <c r="C173" s="167">
        <v>263.56</v>
      </c>
      <c r="D173" s="168">
        <v>1.1794</v>
      </c>
      <c r="E173" s="169">
        <v>39.86</v>
      </c>
      <c r="F173" s="169">
        <v>204.65</v>
      </c>
      <c r="G173" s="169">
        <v>12.06</v>
      </c>
      <c r="H173" s="169">
        <v>24.38</v>
      </c>
      <c r="I173" s="170"/>
      <c r="J173" s="167"/>
      <c r="K173" s="167">
        <v>263.56</v>
      </c>
      <c r="L173" s="171"/>
      <c r="M173" s="172">
        <v>37.74</v>
      </c>
      <c r="N173" s="172">
        <v>301.3</v>
      </c>
    </row>
    <row r="174" spans="1:14" x14ac:dyDescent="0.25">
      <c r="A174" s="165">
        <v>1578715504</v>
      </c>
      <c r="B174" s="166" t="s">
        <v>687</v>
      </c>
      <c r="C174" s="167">
        <v>303.08000000000004</v>
      </c>
      <c r="D174" s="168">
        <v>1.5350999999999999</v>
      </c>
      <c r="E174" s="169">
        <v>39.86</v>
      </c>
      <c r="F174" s="169">
        <v>242.99</v>
      </c>
      <c r="G174" s="169">
        <v>20.149999999999999</v>
      </c>
      <c r="H174" s="169">
        <v>24.38</v>
      </c>
      <c r="I174" s="170"/>
      <c r="J174" s="167"/>
      <c r="K174" s="167">
        <v>303.08000000000004</v>
      </c>
      <c r="L174" s="171"/>
      <c r="M174" s="172">
        <v>37.74</v>
      </c>
      <c r="N174" s="172">
        <v>340.82000000000005</v>
      </c>
    </row>
    <row r="175" spans="1:14" x14ac:dyDescent="0.25">
      <c r="A175" s="165">
        <v>1861513715</v>
      </c>
      <c r="B175" s="166" t="s">
        <v>688</v>
      </c>
      <c r="C175" s="167">
        <v>264.24</v>
      </c>
      <c r="D175" s="168">
        <v>1.3208</v>
      </c>
      <c r="E175" s="169">
        <v>39.86</v>
      </c>
      <c r="F175" s="169">
        <v>213.25</v>
      </c>
      <c r="G175" s="169">
        <v>18.899999999999999</v>
      </c>
      <c r="H175" s="169">
        <v>24.38</v>
      </c>
      <c r="I175" s="170"/>
      <c r="J175" s="167"/>
      <c r="K175" s="167">
        <v>272.01</v>
      </c>
      <c r="L175" s="171"/>
      <c r="M175" s="172">
        <v>37.74</v>
      </c>
      <c r="N175" s="172">
        <v>309.75</v>
      </c>
    </row>
    <row r="176" spans="1:14" x14ac:dyDescent="0.25">
      <c r="A176" s="165">
        <v>1376926519</v>
      </c>
      <c r="B176" s="166" t="s">
        <v>689</v>
      </c>
      <c r="C176" s="167">
        <v>267.53000000000003</v>
      </c>
      <c r="D176" s="168">
        <v>1.4034</v>
      </c>
      <c r="E176" s="169">
        <v>39.86</v>
      </c>
      <c r="F176" s="169">
        <v>209.34</v>
      </c>
      <c r="G176" s="169">
        <v>18.89</v>
      </c>
      <c r="H176" s="169">
        <v>7.879999999999999</v>
      </c>
      <c r="I176" s="170"/>
      <c r="J176" s="167"/>
      <c r="K176" s="167">
        <v>268.08999999999997</v>
      </c>
      <c r="L176" s="171"/>
      <c r="M176" s="172">
        <v>37.74</v>
      </c>
      <c r="N176" s="172">
        <v>305.83</v>
      </c>
    </row>
    <row r="177" spans="1:14" x14ac:dyDescent="0.25">
      <c r="A177" s="165">
        <v>1699886085</v>
      </c>
      <c r="B177" s="166" t="s">
        <v>690</v>
      </c>
      <c r="C177" s="167">
        <v>275.81</v>
      </c>
      <c r="D177" s="168">
        <v>1.0987</v>
      </c>
      <c r="E177" s="169">
        <v>39.86</v>
      </c>
      <c r="F177" s="169">
        <v>198.73</v>
      </c>
      <c r="G177" s="169">
        <v>24.69</v>
      </c>
      <c r="H177" s="169">
        <v>24.38</v>
      </c>
      <c r="I177" s="170"/>
      <c r="J177" s="167"/>
      <c r="K177" s="167">
        <v>275.81</v>
      </c>
      <c r="L177" s="171"/>
      <c r="M177" s="172">
        <v>37.74</v>
      </c>
      <c r="N177" s="172">
        <v>313.55</v>
      </c>
    </row>
    <row r="178" spans="1:14" x14ac:dyDescent="0.25">
      <c r="A178" s="165">
        <v>1336142470</v>
      </c>
      <c r="B178" s="166" t="s">
        <v>213</v>
      </c>
      <c r="C178" s="167">
        <v>247.41</v>
      </c>
      <c r="D178" s="168">
        <v>0.94550000000000001</v>
      </c>
      <c r="E178" s="169">
        <v>39.86</v>
      </c>
      <c r="F178" s="169">
        <v>185.27</v>
      </c>
      <c r="G178" s="169">
        <v>21.08</v>
      </c>
      <c r="H178" s="169">
        <v>24.38</v>
      </c>
      <c r="I178" s="170"/>
      <c r="J178" s="167"/>
      <c r="K178" s="167">
        <v>247.41</v>
      </c>
      <c r="L178" s="171"/>
      <c r="M178" s="172">
        <v>37.74</v>
      </c>
      <c r="N178" s="172">
        <v>285.14999999999998</v>
      </c>
    </row>
    <row r="179" spans="1:14" x14ac:dyDescent="0.25">
      <c r="A179" s="165">
        <v>1639556806</v>
      </c>
      <c r="B179" s="166" t="s">
        <v>214</v>
      </c>
      <c r="C179" s="167">
        <v>248.13</v>
      </c>
      <c r="D179" s="168">
        <v>1.0004</v>
      </c>
      <c r="E179" s="169">
        <v>39.86</v>
      </c>
      <c r="F179" s="169">
        <v>189.67</v>
      </c>
      <c r="G179" s="169">
        <v>20.99</v>
      </c>
      <c r="H179" s="169">
        <v>24.38</v>
      </c>
      <c r="I179" s="170"/>
      <c r="J179" s="167"/>
      <c r="K179" s="167">
        <v>250.52</v>
      </c>
      <c r="L179" s="171"/>
      <c r="M179" s="172">
        <v>37.74</v>
      </c>
      <c r="N179" s="172">
        <v>288.26</v>
      </c>
    </row>
    <row r="180" spans="1:14" x14ac:dyDescent="0.25">
      <c r="A180" s="165">
        <v>1811984925</v>
      </c>
      <c r="B180" s="166" t="s">
        <v>215</v>
      </c>
      <c r="C180" s="167">
        <v>258.8</v>
      </c>
      <c r="D180" s="168">
        <v>1.1585000000000001</v>
      </c>
      <c r="E180" s="169">
        <v>39.86</v>
      </c>
      <c r="F180" s="169">
        <v>203.85</v>
      </c>
      <c r="G180" s="169">
        <v>15.8</v>
      </c>
      <c r="H180" s="169">
        <v>24.38</v>
      </c>
      <c r="I180" s="170"/>
      <c r="J180" s="167"/>
      <c r="K180" s="167">
        <v>259.51</v>
      </c>
      <c r="L180" s="171"/>
      <c r="M180" s="172">
        <v>37.74</v>
      </c>
      <c r="N180" s="172">
        <v>297.25</v>
      </c>
    </row>
    <row r="181" spans="1:14" x14ac:dyDescent="0.25">
      <c r="A181" s="165">
        <v>1104950765</v>
      </c>
      <c r="B181" s="166" t="s">
        <v>216</v>
      </c>
      <c r="C181" s="167">
        <v>287.12</v>
      </c>
      <c r="D181" s="168">
        <v>1.3016000000000001</v>
      </c>
      <c r="E181" s="169">
        <v>39.86</v>
      </c>
      <c r="F181" s="169">
        <v>215.23</v>
      </c>
      <c r="G181" s="169">
        <v>30</v>
      </c>
      <c r="H181" s="169">
        <v>24.38</v>
      </c>
      <c r="I181" s="170"/>
      <c r="J181" s="167"/>
      <c r="K181" s="167">
        <v>287.12</v>
      </c>
      <c r="L181" s="171"/>
      <c r="M181" s="172">
        <v>37.74</v>
      </c>
      <c r="N181" s="172">
        <v>324.86</v>
      </c>
    </row>
    <row r="182" spans="1:14" x14ac:dyDescent="0.25">
      <c r="A182" s="165">
        <v>1689621880</v>
      </c>
      <c r="B182" s="166" t="s">
        <v>217</v>
      </c>
      <c r="C182" s="167">
        <v>258.68</v>
      </c>
      <c r="D182" s="168">
        <v>1.1057999999999999</v>
      </c>
      <c r="E182" s="169">
        <v>39.86</v>
      </c>
      <c r="F182" s="169">
        <v>199.17</v>
      </c>
      <c r="G182" s="169">
        <v>13.21</v>
      </c>
      <c r="H182" s="169">
        <v>24.38</v>
      </c>
      <c r="I182" s="170"/>
      <c r="J182" s="167"/>
      <c r="K182" s="167">
        <v>258.68</v>
      </c>
      <c r="L182" s="171"/>
      <c r="M182" s="172">
        <v>37.74</v>
      </c>
      <c r="N182" s="172">
        <v>296.42</v>
      </c>
    </row>
    <row r="183" spans="1:14" x14ac:dyDescent="0.25">
      <c r="A183" s="165">
        <v>1477137628</v>
      </c>
      <c r="B183" s="166" t="s">
        <v>218</v>
      </c>
      <c r="C183" s="167">
        <v>282.17999999999995</v>
      </c>
      <c r="D183" s="168">
        <v>1.2118</v>
      </c>
      <c r="E183" s="169">
        <v>39.86</v>
      </c>
      <c r="F183" s="169">
        <v>207.63</v>
      </c>
      <c r="G183" s="169">
        <v>35.229999999999997</v>
      </c>
      <c r="H183" s="169">
        <v>24.38</v>
      </c>
      <c r="I183" s="170"/>
      <c r="J183" s="167"/>
      <c r="K183" s="167">
        <v>282.72000000000003</v>
      </c>
      <c r="L183" s="171"/>
      <c r="M183" s="172">
        <v>37.74</v>
      </c>
      <c r="N183" s="172">
        <v>320.46000000000004</v>
      </c>
    </row>
    <row r="184" spans="1:14" x14ac:dyDescent="0.25">
      <c r="A184" s="165">
        <v>1932750841</v>
      </c>
      <c r="B184" s="166" t="s">
        <v>219</v>
      </c>
      <c r="C184" s="167">
        <v>273.77999999999997</v>
      </c>
      <c r="D184" s="168">
        <v>1.1154999999999999</v>
      </c>
      <c r="E184" s="169">
        <v>39.86</v>
      </c>
      <c r="F184" s="169">
        <v>200.74</v>
      </c>
      <c r="G184" s="169">
        <v>26.97</v>
      </c>
      <c r="H184" s="169">
        <v>24.38</v>
      </c>
      <c r="I184" s="170"/>
      <c r="J184" s="167"/>
      <c r="K184" s="167">
        <v>273.77999999999997</v>
      </c>
      <c r="L184" s="171"/>
      <c r="M184" s="172">
        <v>37.74</v>
      </c>
      <c r="N184" s="172">
        <v>311.52</v>
      </c>
    </row>
    <row r="185" spans="1:14" x14ac:dyDescent="0.25">
      <c r="A185" s="165">
        <v>1760462196</v>
      </c>
      <c r="B185" s="166" t="s">
        <v>220</v>
      </c>
      <c r="C185" s="167">
        <v>242.59</v>
      </c>
      <c r="D185" s="168">
        <v>1.0296000000000001</v>
      </c>
      <c r="E185" s="169">
        <v>39.86</v>
      </c>
      <c r="F185" s="169">
        <v>192.21</v>
      </c>
      <c r="G185" s="169">
        <v>10.66</v>
      </c>
      <c r="H185" s="169">
        <v>24.38</v>
      </c>
      <c r="I185" s="170"/>
      <c r="J185" s="167"/>
      <c r="K185" s="167">
        <v>242.73</v>
      </c>
      <c r="L185" s="171"/>
      <c r="M185" s="172">
        <v>37.74</v>
      </c>
      <c r="N185" s="172">
        <v>280.46999999999997</v>
      </c>
    </row>
    <row r="186" spans="1:14" x14ac:dyDescent="0.25">
      <c r="A186" s="165">
        <v>1255367447</v>
      </c>
      <c r="B186" s="166" t="s">
        <v>691</v>
      </c>
      <c r="C186" s="167">
        <v>245.37</v>
      </c>
      <c r="D186" s="168">
        <v>1.2734000000000001</v>
      </c>
      <c r="E186" s="169">
        <v>39.86</v>
      </c>
      <c r="F186" s="169">
        <v>195.58</v>
      </c>
      <c r="G186" s="169">
        <v>13.88</v>
      </c>
      <c r="H186" s="169">
        <v>7.879999999999999</v>
      </c>
      <c r="I186" s="170"/>
      <c r="J186" s="167"/>
      <c r="K186" s="167">
        <v>249.32</v>
      </c>
      <c r="L186" s="171"/>
      <c r="M186" s="172">
        <v>37.74</v>
      </c>
      <c r="N186" s="172">
        <v>287.06</v>
      </c>
    </row>
    <row r="187" spans="1:14" x14ac:dyDescent="0.25">
      <c r="A187" s="165">
        <v>1053953844</v>
      </c>
      <c r="B187" s="166" t="s">
        <v>221</v>
      </c>
      <c r="C187" s="167">
        <v>263.46000000000004</v>
      </c>
      <c r="D187" s="168">
        <v>1.1354</v>
      </c>
      <c r="E187" s="169">
        <v>39.86</v>
      </c>
      <c r="F187" s="169">
        <v>202.06</v>
      </c>
      <c r="G187" s="169">
        <v>19.64</v>
      </c>
      <c r="H187" s="169">
        <v>24.38</v>
      </c>
      <c r="I187" s="170"/>
      <c r="J187" s="167"/>
      <c r="K187" s="167">
        <v>263.46000000000004</v>
      </c>
      <c r="L187" s="171"/>
      <c r="M187" s="172">
        <v>37.74</v>
      </c>
      <c r="N187" s="172">
        <v>301.20000000000005</v>
      </c>
    </row>
    <row r="188" spans="1:14" x14ac:dyDescent="0.25">
      <c r="A188" s="165">
        <v>1689777971</v>
      </c>
      <c r="B188" s="166" t="s">
        <v>222</v>
      </c>
      <c r="C188" s="167">
        <v>266.79000000000002</v>
      </c>
      <c r="D188" s="168">
        <v>1.327</v>
      </c>
      <c r="E188" s="169">
        <v>39.86</v>
      </c>
      <c r="F188" s="169">
        <v>214.23</v>
      </c>
      <c r="G188" s="169">
        <v>9.0500000000000007</v>
      </c>
      <c r="H188" s="169">
        <v>24.38</v>
      </c>
      <c r="I188" s="170"/>
      <c r="J188" s="167"/>
      <c r="K188" s="167">
        <v>266.79000000000002</v>
      </c>
      <c r="L188" s="171"/>
      <c r="M188" s="172">
        <v>37.74</v>
      </c>
      <c r="N188" s="172">
        <v>304.53000000000003</v>
      </c>
    </row>
    <row r="189" spans="1:14" x14ac:dyDescent="0.25">
      <c r="A189" s="165">
        <v>1972547321</v>
      </c>
      <c r="B189" s="166" t="s">
        <v>692</v>
      </c>
      <c r="C189" s="167">
        <v>279.75</v>
      </c>
      <c r="D189" s="168">
        <v>1.3973</v>
      </c>
      <c r="E189" s="169">
        <v>39.86</v>
      </c>
      <c r="F189" s="169">
        <v>222.31</v>
      </c>
      <c r="G189" s="169">
        <v>17.38</v>
      </c>
      <c r="H189" s="169">
        <v>24.38</v>
      </c>
      <c r="I189" s="170"/>
      <c r="J189" s="167"/>
      <c r="K189" s="167">
        <v>279.75</v>
      </c>
      <c r="L189" s="171"/>
      <c r="M189" s="172">
        <v>37.74</v>
      </c>
      <c r="N189" s="172">
        <v>317.49</v>
      </c>
    </row>
    <row r="190" spans="1:14" x14ac:dyDescent="0.25">
      <c r="A190" s="165">
        <v>1134298615</v>
      </c>
      <c r="B190" s="166" t="s">
        <v>223</v>
      </c>
      <c r="C190" s="167">
        <v>296.38</v>
      </c>
      <c r="D190" s="168">
        <v>1.5327</v>
      </c>
      <c r="E190" s="169">
        <v>39.86</v>
      </c>
      <c r="F190" s="169">
        <v>220.86</v>
      </c>
      <c r="G190" s="169">
        <v>20.98</v>
      </c>
      <c r="H190" s="169">
        <v>24.38</v>
      </c>
      <c r="I190" s="170"/>
      <c r="J190" s="167"/>
      <c r="K190" s="167">
        <v>296.38</v>
      </c>
      <c r="L190" s="171"/>
      <c r="M190" s="172">
        <v>37.74</v>
      </c>
      <c r="N190" s="172">
        <v>334.12</v>
      </c>
    </row>
    <row r="191" spans="1:14" x14ac:dyDescent="0.25">
      <c r="A191" s="165">
        <v>1548206907</v>
      </c>
      <c r="B191" s="166" t="s">
        <v>224</v>
      </c>
      <c r="C191" s="167">
        <v>269.38</v>
      </c>
      <c r="D191" s="168">
        <v>1.1869000000000001</v>
      </c>
      <c r="E191" s="169">
        <v>39.86</v>
      </c>
      <c r="F191" s="169">
        <v>204.65</v>
      </c>
      <c r="G191" s="169">
        <v>26.61</v>
      </c>
      <c r="H191" s="169">
        <v>24.38</v>
      </c>
      <c r="I191" s="170"/>
      <c r="J191" s="167"/>
      <c r="K191" s="167">
        <v>271.12</v>
      </c>
      <c r="L191" s="171"/>
      <c r="M191" s="172">
        <v>37.74</v>
      </c>
      <c r="N191" s="172">
        <v>308.86</v>
      </c>
    </row>
    <row r="192" spans="1:14" x14ac:dyDescent="0.25">
      <c r="A192" s="165">
        <v>1295704849</v>
      </c>
      <c r="B192" s="166" t="s">
        <v>225</v>
      </c>
      <c r="C192" s="167">
        <v>278.14</v>
      </c>
      <c r="D192" s="168">
        <v>1.4079999999999999</v>
      </c>
      <c r="E192" s="169">
        <v>39.86</v>
      </c>
      <c r="F192" s="169">
        <v>225.14</v>
      </c>
      <c r="G192" s="169">
        <v>8.52</v>
      </c>
      <c r="H192" s="169">
        <v>24.38</v>
      </c>
      <c r="I192" s="170"/>
      <c r="J192" s="167"/>
      <c r="K192" s="167">
        <v>278.14</v>
      </c>
      <c r="L192" s="171"/>
      <c r="M192" s="172">
        <v>37.74</v>
      </c>
      <c r="N192" s="172">
        <v>315.88</v>
      </c>
    </row>
    <row r="193" spans="1:14" x14ac:dyDescent="0.25">
      <c r="A193" s="165">
        <v>1083298236</v>
      </c>
      <c r="B193" s="166" t="s">
        <v>226</v>
      </c>
      <c r="C193" s="167">
        <v>269.05</v>
      </c>
      <c r="D193" s="168">
        <v>1.1889000000000001</v>
      </c>
      <c r="E193" s="169">
        <v>39.86</v>
      </c>
      <c r="F193" s="169">
        <v>207.04</v>
      </c>
      <c r="G193" s="169">
        <v>24.19</v>
      </c>
      <c r="H193" s="169">
        <v>24.38</v>
      </c>
      <c r="I193" s="170"/>
      <c r="J193" s="167"/>
      <c r="K193" s="167">
        <v>271.08999999999997</v>
      </c>
      <c r="L193" s="171"/>
      <c r="M193" s="172">
        <v>37.74</v>
      </c>
      <c r="N193" s="172">
        <v>308.83</v>
      </c>
    </row>
    <row r="194" spans="1:14" x14ac:dyDescent="0.25">
      <c r="A194" s="165">
        <v>1538113014</v>
      </c>
      <c r="B194" s="166" t="s">
        <v>227</v>
      </c>
      <c r="C194" s="167">
        <v>267.05</v>
      </c>
      <c r="D194" s="168">
        <v>1.0662</v>
      </c>
      <c r="E194" s="169">
        <v>39.86</v>
      </c>
      <c r="F194" s="169">
        <v>195.55</v>
      </c>
      <c r="G194" s="169">
        <v>23.57</v>
      </c>
      <c r="H194" s="169">
        <v>24.38</v>
      </c>
      <c r="I194" s="170"/>
      <c r="J194" s="167"/>
      <c r="K194" s="167">
        <v>267.05</v>
      </c>
      <c r="L194" s="171"/>
      <c r="M194" s="172">
        <v>37.74</v>
      </c>
      <c r="N194" s="172">
        <v>304.79000000000002</v>
      </c>
    </row>
    <row r="195" spans="1:14" x14ac:dyDescent="0.25">
      <c r="A195" s="165">
        <v>1164476636</v>
      </c>
      <c r="B195" s="166" t="s">
        <v>228</v>
      </c>
      <c r="C195" s="167">
        <v>253.85</v>
      </c>
      <c r="D195" s="168">
        <v>1.0498000000000001</v>
      </c>
      <c r="E195" s="169">
        <v>39.86</v>
      </c>
      <c r="F195" s="169">
        <v>193.19</v>
      </c>
      <c r="G195" s="169">
        <v>20.64</v>
      </c>
      <c r="H195" s="169">
        <v>24.38</v>
      </c>
      <c r="I195" s="170"/>
      <c r="J195" s="167"/>
      <c r="K195" s="167">
        <v>253.85</v>
      </c>
      <c r="L195" s="171"/>
      <c r="M195" s="172">
        <v>37.74</v>
      </c>
      <c r="N195" s="172">
        <v>291.58999999999997</v>
      </c>
    </row>
    <row r="196" spans="1:14" x14ac:dyDescent="0.25">
      <c r="A196" s="165">
        <v>1669425401</v>
      </c>
      <c r="B196" s="166" t="s">
        <v>229</v>
      </c>
      <c r="C196" s="167">
        <v>261.88</v>
      </c>
      <c r="D196" s="168">
        <v>1.042</v>
      </c>
      <c r="E196" s="169">
        <v>39.86</v>
      </c>
      <c r="F196" s="169">
        <v>193.12</v>
      </c>
      <c r="G196" s="169">
        <v>24.36</v>
      </c>
      <c r="H196" s="169">
        <v>24.38</v>
      </c>
      <c r="I196" s="170"/>
      <c r="J196" s="167"/>
      <c r="K196" s="167">
        <v>261.88</v>
      </c>
      <c r="L196" s="171"/>
      <c r="M196" s="172">
        <v>37.74</v>
      </c>
      <c r="N196" s="172">
        <v>299.62</v>
      </c>
    </row>
    <row r="197" spans="1:14" x14ac:dyDescent="0.25">
      <c r="A197" s="165">
        <v>1861446338</v>
      </c>
      <c r="B197" s="166" t="s">
        <v>230</v>
      </c>
      <c r="C197" s="167">
        <v>258.42</v>
      </c>
      <c r="D197" s="168">
        <v>1.105</v>
      </c>
      <c r="E197" s="169">
        <v>39.86</v>
      </c>
      <c r="F197" s="169">
        <v>195.98</v>
      </c>
      <c r="G197" s="169">
        <v>21.13</v>
      </c>
      <c r="H197" s="169">
        <v>24.38</v>
      </c>
      <c r="I197" s="170"/>
      <c r="J197" s="167"/>
      <c r="K197" s="167">
        <v>258.42</v>
      </c>
      <c r="L197" s="171"/>
      <c r="M197" s="172">
        <v>37.74</v>
      </c>
      <c r="N197" s="172">
        <v>296.16000000000003</v>
      </c>
    </row>
    <row r="198" spans="1:14" x14ac:dyDescent="0.25">
      <c r="A198" s="165">
        <v>1407800972</v>
      </c>
      <c r="B198" s="166" t="s">
        <v>231</v>
      </c>
      <c r="C198" s="167">
        <v>267.38</v>
      </c>
      <c r="D198" s="168">
        <v>1.119</v>
      </c>
      <c r="E198" s="169">
        <v>39.86</v>
      </c>
      <c r="F198" s="169">
        <v>200.46</v>
      </c>
      <c r="G198" s="169">
        <v>20.16</v>
      </c>
      <c r="H198" s="169">
        <v>24.38</v>
      </c>
      <c r="I198" s="170"/>
      <c r="J198" s="167"/>
      <c r="K198" s="167">
        <v>267.38</v>
      </c>
      <c r="L198" s="171"/>
      <c r="M198" s="172">
        <v>37.74</v>
      </c>
      <c r="N198" s="172">
        <v>305.12</v>
      </c>
    </row>
    <row r="199" spans="1:14" x14ac:dyDescent="0.25">
      <c r="A199" s="165">
        <v>1326089616</v>
      </c>
      <c r="B199" s="166" t="s">
        <v>232</v>
      </c>
      <c r="C199" s="167">
        <v>261.45</v>
      </c>
      <c r="D199" s="168">
        <v>1.1060000000000001</v>
      </c>
      <c r="E199" s="169">
        <v>39.86</v>
      </c>
      <c r="F199" s="169">
        <v>199.87</v>
      </c>
      <c r="G199" s="169">
        <v>21.61</v>
      </c>
      <c r="H199" s="169">
        <v>24.38</v>
      </c>
      <c r="I199" s="170"/>
      <c r="J199" s="167"/>
      <c r="K199" s="167">
        <v>261.45</v>
      </c>
      <c r="L199" s="171"/>
      <c r="M199" s="172">
        <v>37.74</v>
      </c>
      <c r="N199" s="172">
        <v>299.19</v>
      </c>
    </row>
    <row r="200" spans="1:14" x14ac:dyDescent="0.25">
      <c r="A200" s="165">
        <v>1548770423</v>
      </c>
      <c r="B200" s="166" t="s">
        <v>233</v>
      </c>
      <c r="C200" s="167">
        <v>253.25</v>
      </c>
      <c r="D200" s="168">
        <v>1.0585</v>
      </c>
      <c r="E200" s="169">
        <v>39.86</v>
      </c>
      <c r="F200" s="169">
        <v>193.96</v>
      </c>
      <c r="G200" s="169">
        <v>14.99</v>
      </c>
      <c r="H200" s="169">
        <v>24.38</v>
      </c>
      <c r="I200" s="170"/>
      <c r="J200" s="167"/>
      <c r="K200" s="167">
        <v>253.25</v>
      </c>
      <c r="L200" s="171"/>
      <c r="M200" s="172">
        <v>37.74</v>
      </c>
      <c r="N200" s="172">
        <v>290.99</v>
      </c>
    </row>
    <row r="201" spans="1:14" x14ac:dyDescent="0.25">
      <c r="A201" s="165">
        <v>1629535455</v>
      </c>
      <c r="B201" s="166" t="s">
        <v>234</v>
      </c>
      <c r="C201" s="167">
        <v>283.78000000000003</v>
      </c>
      <c r="D201" s="168">
        <v>1.2067000000000001</v>
      </c>
      <c r="E201" s="169">
        <v>39.86</v>
      </c>
      <c r="F201" s="169">
        <v>207.33</v>
      </c>
      <c r="G201" s="169">
        <v>40.799999999999997</v>
      </c>
      <c r="H201" s="169">
        <v>24.38</v>
      </c>
      <c r="I201" s="170"/>
      <c r="J201" s="167"/>
      <c r="K201" s="167">
        <v>287.99</v>
      </c>
      <c r="L201" s="171"/>
      <c r="M201" s="172">
        <v>37.74</v>
      </c>
      <c r="N201" s="172">
        <v>325.73</v>
      </c>
    </row>
    <row r="202" spans="1:14" x14ac:dyDescent="0.25">
      <c r="A202" s="165">
        <v>1104471531</v>
      </c>
      <c r="B202" s="166" t="s">
        <v>235</v>
      </c>
      <c r="C202" s="167">
        <v>256.76</v>
      </c>
      <c r="D202" s="168">
        <v>1.2549999999999999</v>
      </c>
      <c r="E202" s="169">
        <v>39.86</v>
      </c>
      <c r="F202" s="169">
        <v>212.38</v>
      </c>
      <c r="G202" s="169">
        <v>8.67</v>
      </c>
      <c r="H202" s="169">
        <v>24.38</v>
      </c>
      <c r="I202" s="170"/>
      <c r="J202" s="167"/>
      <c r="K202" s="167">
        <v>260.91000000000003</v>
      </c>
      <c r="L202" s="171"/>
      <c r="M202" s="172">
        <v>37.74</v>
      </c>
      <c r="N202" s="172">
        <v>298.65000000000003</v>
      </c>
    </row>
    <row r="203" spans="1:14" x14ac:dyDescent="0.25">
      <c r="A203" s="165">
        <v>1588219828</v>
      </c>
      <c r="B203" s="166" t="s">
        <v>236</v>
      </c>
      <c r="C203" s="167">
        <v>256.45</v>
      </c>
      <c r="D203" s="168">
        <v>1.1687000000000001</v>
      </c>
      <c r="E203" s="169">
        <v>39.86</v>
      </c>
      <c r="F203" s="169">
        <v>204.23</v>
      </c>
      <c r="G203" s="169">
        <v>10.89</v>
      </c>
      <c r="H203" s="169">
        <v>24.38</v>
      </c>
      <c r="I203" s="170"/>
      <c r="J203" s="167"/>
      <c r="K203" s="167">
        <v>256.45</v>
      </c>
      <c r="L203" s="171"/>
      <c r="M203" s="172">
        <v>37.74</v>
      </c>
      <c r="N203" s="172">
        <v>294.19</v>
      </c>
    </row>
    <row r="204" spans="1:14" x14ac:dyDescent="0.25">
      <c r="A204" s="165">
        <v>1043865538</v>
      </c>
      <c r="B204" s="166" t="s">
        <v>237</v>
      </c>
      <c r="C204" s="167">
        <v>246.48</v>
      </c>
      <c r="D204" s="168">
        <v>1.0891</v>
      </c>
      <c r="E204" s="169">
        <v>39.86</v>
      </c>
      <c r="F204" s="169">
        <v>196.46</v>
      </c>
      <c r="G204" s="169">
        <v>11.83</v>
      </c>
      <c r="H204" s="169">
        <v>24.38</v>
      </c>
      <c r="I204" s="170"/>
      <c r="J204" s="167"/>
      <c r="K204" s="167">
        <v>248.15</v>
      </c>
      <c r="L204" s="171"/>
      <c r="M204" s="172">
        <v>37.74</v>
      </c>
      <c r="N204" s="172">
        <v>285.89</v>
      </c>
    </row>
    <row r="205" spans="1:14" x14ac:dyDescent="0.25">
      <c r="A205" s="165">
        <v>1467007856</v>
      </c>
      <c r="B205" s="166" t="s">
        <v>238</v>
      </c>
      <c r="C205" s="167">
        <v>254.03999999999996</v>
      </c>
      <c r="D205" s="168">
        <v>1.1302000000000001</v>
      </c>
      <c r="E205" s="169">
        <v>39.86</v>
      </c>
      <c r="F205" s="169">
        <v>200.1</v>
      </c>
      <c r="G205" s="169">
        <v>11.61</v>
      </c>
      <c r="H205" s="169">
        <v>24.38</v>
      </c>
      <c r="I205" s="170"/>
      <c r="J205" s="167"/>
      <c r="K205" s="167">
        <v>254.03999999999996</v>
      </c>
      <c r="L205" s="171"/>
      <c r="M205" s="172">
        <v>37.74</v>
      </c>
      <c r="N205" s="172">
        <v>291.77999999999997</v>
      </c>
    </row>
    <row r="206" spans="1:14" x14ac:dyDescent="0.25">
      <c r="A206" s="165">
        <v>1861446270</v>
      </c>
      <c r="B206" s="166" t="s">
        <v>239</v>
      </c>
      <c r="C206" s="167">
        <v>265.61</v>
      </c>
      <c r="D206" s="168">
        <v>1.1891</v>
      </c>
      <c r="E206" s="169">
        <v>39.86</v>
      </c>
      <c r="F206" s="169">
        <v>205.76</v>
      </c>
      <c r="G206" s="169">
        <v>25.17</v>
      </c>
      <c r="H206" s="169">
        <v>24.38</v>
      </c>
      <c r="I206" s="170"/>
      <c r="J206" s="167"/>
      <c r="K206" s="167">
        <v>270.79000000000002</v>
      </c>
      <c r="L206" s="171"/>
      <c r="M206" s="172">
        <v>37.74</v>
      </c>
      <c r="N206" s="172">
        <v>308.53000000000003</v>
      </c>
    </row>
    <row r="207" spans="1:14" x14ac:dyDescent="0.25">
      <c r="A207" s="165">
        <v>1295101673</v>
      </c>
      <c r="B207" s="166" t="s">
        <v>240</v>
      </c>
      <c r="C207" s="167">
        <v>242.69</v>
      </c>
      <c r="D207" s="168">
        <v>1.0298</v>
      </c>
      <c r="E207" s="169">
        <v>39.86</v>
      </c>
      <c r="F207" s="169">
        <v>191.86</v>
      </c>
      <c r="G207" s="169">
        <v>8.52</v>
      </c>
      <c r="H207" s="169">
        <v>24.38</v>
      </c>
      <c r="I207" s="170"/>
      <c r="J207" s="167"/>
      <c r="K207" s="167">
        <v>242.69</v>
      </c>
      <c r="L207" s="171"/>
      <c r="M207" s="172">
        <v>37.74</v>
      </c>
      <c r="N207" s="172">
        <v>280.43</v>
      </c>
    </row>
    <row r="208" spans="1:14" x14ac:dyDescent="0.25">
      <c r="A208" s="165">
        <v>1760415434</v>
      </c>
      <c r="B208" s="166" t="s">
        <v>241</v>
      </c>
      <c r="C208" s="167">
        <v>253.59</v>
      </c>
      <c r="D208" s="168">
        <v>1.0717000000000001</v>
      </c>
      <c r="E208" s="169">
        <v>39.86</v>
      </c>
      <c r="F208" s="169">
        <v>194.78</v>
      </c>
      <c r="G208" s="169">
        <v>14.96</v>
      </c>
      <c r="H208" s="169">
        <v>24.38</v>
      </c>
      <c r="I208" s="170"/>
      <c r="J208" s="167"/>
      <c r="K208" s="167">
        <v>253.59</v>
      </c>
      <c r="L208" s="171"/>
      <c r="M208" s="172">
        <v>37.74</v>
      </c>
      <c r="N208" s="172">
        <v>291.33</v>
      </c>
    </row>
    <row r="209" spans="1:14" x14ac:dyDescent="0.25">
      <c r="A209" s="165">
        <v>1629494059</v>
      </c>
      <c r="B209" s="166" t="s">
        <v>242</v>
      </c>
      <c r="C209" s="167">
        <v>269.22999999999996</v>
      </c>
      <c r="D209" s="168">
        <v>1.365</v>
      </c>
      <c r="E209" s="169">
        <v>39.86</v>
      </c>
      <c r="F209" s="169">
        <v>218.03</v>
      </c>
      <c r="G209" s="169">
        <v>12.55</v>
      </c>
      <c r="H209" s="169">
        <v>24.38</v>
      </c>
      <c r="I209" s="170"/>
      <c r="J209" s="167"/>
      <c r="K209" s="167">
        <v>270.44</v>
      </c>
      <c r="L209" s="171"/>
      <c r="M209" s="172">
        <v>37.74</v>
      </c>
      <c r="N209" s="172">
        <v>308.18</v>
      </c>
    </row>
    <row r="210" spans="1:14" x14ac:dyDescent="0.25">
      <c r="A210" s="165">
        <v>1467421024</v>
      </c>
      <c r="B210" s="166" t="s">
        <v>243</v>
      </c>
      <c r="C210" s="167">
        <v>280.67</v>
      </c>
      <c r="D210" s="168">
        <v>1.3916999999999999</v>
      </c>
      <c r="E210" s="169">
        <v>39.86</v>
      </c>
      <c r="F210" s="169">
        <v>219.8</v>
      </c>
      <c r="G210" s="169">
        <v>18.690000000000001</v>
      </c>
      <c r="H210" s="169">
        <v>24.38</v>
      </c>
      <c r="I210" s="170"/>
      <c r="J210" s="167"/>
      <c r="K210" s="167">
        <v>280.67</v>
      </c>
      <c r="L210" s="171"/>
      <c r="M210" s="172">
        <v>37.74</v>
      </c>
      <c r="N210" s="172">
        <v>318.41000000000003</v>
      </c>
    </row>
    <row r="211" spans="1:14" x14ac:dyDescent="0.25">
      <c r="A211" s="165">
        <v>1447254149</v>
      </c>
      <c r="B211" s="166" t="s">
        <v>244</v>
      </c>
      <c r="C211" s="167">
        <v>259.45</v>
      </c>
      <c r="D211" s="168">
        <v>1.3192999999999999</v>
      </c>
      <c r="E211" s="169">
        <v>39.86</v>
      </c>
      <c r="F211" s="169">
        <v>194.07</v>
      </c>
      <c r="G211" s="169">
        <v>32.26</v>
      </c>
      <c r="H211" s="169">
        <v>0</v>
      </c>
      <c r="I211" s="170"/>
      <c r="J211" s="167"/>
      <c r="K211" s="167">
        <v>266.19</v>
      </c>
      <c r="L211" s="171"/>
      <c r="M211" s="172">
        <v>37.74</v>
      </c>
      <c r="N211" s="172">
        <v>303.93</v>
      </c>
    </row>
    <row r="212" spans="1:14" x14ac:dyDescent="0.25">
      <c r="A212" s="165">
        <v>1184174484</v>
      </c>
      <c r="B212" s="166" t="s">
        <v>463</v>
      </c>
      <c r="C212" s="167">
        <v>263.22000000000003</v>
      </c>
      <c r="D212" s="168">
        <v>1.2521</v>
      </c>
      <c r="E212" s="169">
        <v>39.86</v>
      </c>
      <c r="F212" s="169">
        <v>193.3</v>
      </c>
      <c r="G212" s="169">
        <v>25.07</v>
      </c>
      <c r="H212" s="169">
        <v>7.879999999999999</v>
      </c>
      <c r="I212" s="170"/>
      <c r="J212" s="167"/>
      <c r="K212" s="167">
        <v>263.22000000000003</v>
      </c>
      <c r="L212" s="171"/>
      <c r="M212" s="172">
        <v>37.74</v>
      </c>
      <c r="N212" s="172">
        <v>300.96000000000004</v>
      </c>
    </row>
    <row r="213" spans="1:14" x14ac:dyDescent="0.25">
      <c r="A213" s="165">
        <v>1457397952</v>
      </c>
      <c r="B213" s="166" t="s">
        <v>693</v>
      </c>
      <c r="C213" s="167">
        <v>262.44</v>
      </c>
      <c r="D213" s="168">
        <v>1.2403999999999999</v>
      </c>
      <c r="E213" s="169">
        <v>39.86</v>
      </c>
      <c r="F213" s="169">
        <v>208.8</v>
      </c>
      <c r="G213" s="169">
        <v>11.46</v>
      </c>
      <c r="H213" s="169">
        <v>24.38</v>
      </c>
      <c r="I213" s="170"/>
      <c r="J213" s="167"/>
      <c r="K213" s="167">
        <v>262.44</v>
      </c>
      <c r="L213" s="171"/>
      <c r="M213" s="172">
        <v>37.74</v>
      </c>
      <c r="N213" s="172">
        <v>300.18</v>
      </c>
    </row>
    <row r="214" spans="1:14" x14ac:dyDescent="0.25">
      <c r="A214" s="165">
        <v>1497058416</v>
      </c>
      <c r="B214" s="166" t="s">
        <v>694</v>
      </c>
      <c r="C214" s="167">
        <v>284.75</v>
      </c>
      <c r="D214" s="168">
        <v>1.4991000000000001</v>
      </c>
      <c r="E214" s="169">
        <v>39.86</v>
      </c>
      <c r="F214" s="169">
        <v>231.67</v>
      </c>
      <c r="G214" s="169">
        <v>15.07</v>
      </c>
      <c r="H214" s="169">
        <v>24.38</v>
      </c>
      <c r="I214" s="170"/>
      <c r="J214" s="167"/>
      <c r="K214" s="167">
        <v>286.60000000000002</v>
      </c>
      <c r="L214" s="171"/>
      <c r="M214" s="172">
        <v>37.74</v>
      </c>
      <c r="N214" s="172">
        <v>324.34000000000003</v>
      </c>
    </row>
    <row r="215" spans="1:14" x14ac:dyDescent="0.25">
      <c r="A215" s="165">
        <v>1235591918</v>
      </c>
      <c r="B215" s="166" t="s">
        <v>695</v>
      </c>
      <c r="C215" s="167">
        <v>279.14</v>
      </c>
      <c r="D215" s="168">
        <v>1.2689999999999999</v>
      </c>
      <c r="E215" s="169">
        <v>39.86</v>
      </c>
      <c r="F215" s="169">
        <v>214.3</v>
      </c>
      <c r="G215" s="169">
        <v>20.93</v>
      </c>
      <c r="H215" s="169">
        <v>24.38</v>
      </c>
      <c r="I215" s="170"/>
      <c r="J215" s="167"/>
      <c r="K215" s="167">
        <v>279.14</v>
      </c>
      <c r="L215" s="171"/>
      <c r="M215" s="172">
        <v>37.74</v>
      </c>
      <c r="N215" s="172">
        <v>316.88</v>
      </c>
    </row>
    <row r="216" spans="1:14" x14ac:dyDescent="0.25">
      <c r="A216" s="165">
        <v>1952337073</v>
      </c>
      <c r="B216" s="166" t="s">
        <v>696</v>
      </c>
      <c r="C216" s="167">
        <v>265.68</v>
      </c>
      <c r="D216" s="168">
        <v>1.2881</v>
      </c>
      <c r="E216" s="169">
        <v>39.86</v>
      </c>
      <c r="F216" s="169">
        <v>212.46</v>
      </c>
      <c r="G216" s="169">
        <v>8.52</v>
      </c>
      <c r="H216" s="169">
        <v>24.38</v>
      </c>
      <c r="I216" s="170"/>
      <c r="J216" s="167"/>
      <c r="K216" s="167">
        <v>265.68</v>
      </c>
      <c r="L216" s="171"/>
      <c r="M216" s="172">
        <v>37.74</v>
      </c>
      <c r="N216" s="172">
        <v>303.42</v>
      </c>
    </row>
    <row r="217" spans="1:14" x14ac:dyDescent="0.25">
      <c r="A217" s="165">
        <v>1326074048</v>
      </c>
      <c r="B217" s="166" t="s">
        <v>697</v>
      </c>
      <c r="C217" s="167">
        <v>250.55</v>
      </c>
      <c r="D217" s="168">
        <v>1.2154</v>
      </c>
      <c r="E217" s="169">
        <v>39.86</v>
      </c>
      <c r="F217" s="169">
        <v>190.86</v>
      </c>
      <c r="G217" s="169">
        <v>17.68</v>
      </c>
      <c r="H217" s="169">
        <v>7.879999999999999</v>
      </c>
      <c r="I217" s="170"/>
      <c r="J217" s="167"/>
      <c r="K217" s="167">
        <v>250.55</v>
      </c>
      <c r="L217" s="171"/>
      <c r="M217" s="172">
        <v>37.74</v>
      </c>
      <c r="N217" s="172">
        <v>288.29000000000002</v>
      </c>
    </row>
    <row r="218" spans="1:14" x14ac:dyDescent="0.25">
      <c r="A218" s="165">
        <v>1720033475</v>
      </c>
      <c r="B218" s="166" t="s">
        <v>245</v>
      </c>
      <c r="C218" s="167">
        <v>261.77999999999997</v>
      </c>
      <c r="D218" s="168">
        <v>1.2222</v>
      </c>
      <c r="E218" s="169">
        <v>39.86</v>
      </c>
      <c r="F218" s="169">
        <v>209.91</v>
      </c>
      <c r="G218" s="169">
        <v>8.61</v>
      </c>
      <c r="H218" s="169">
        <v>24.38</v>
      </c>
      <c r="I218" s="170"/>
      <c r="J218" s="167"/>
      <c r="K218" s="167">
        <v>261.77999999999997</v>
      </c>
      <c r="L218" s="171"/>
      <c r="M218" s="172">
        <v>37.74</v>
      </c>
      <c r="N218" s="172">
        <v>299.52</v>
      </c>
    </row>
    <row r="219" spans="1:14" x14ac:dyDescent="0.25">
      <c r="A219" s="165">
        <v>1477641694</v>
      </c>
      <c r="B219" s="166" t="s">
        <v>246</v>
      </c>
      <c r="C219" s="167">
        <v>215.27999999999997</v>
      </c>
      <c r="D219" s="168">
        <v>0.91220000000000001</v>
      </c>
      <c r="E219" s="169">
        <v>39.86</v>
      </c>
      <c r="F219" s="169">
        <v>157.61000000000001</v>
      </c>
      <c r="G219" s="169">
        <v>20.03</v>
      </c>
      <c r="H219" s="169">
        <v>0</v>
      </c>
      <c r="I219" s="170"/>
      <c r="J219" s="167"/>
      <c r="K219" s="167">
        <v>217.5</v>
      </c>
      <c r="L219" s="171"/>
      <c r="M219" s="172">
        <v>37.74</v>
      </c>
      <c r="N219" s="172">
        <v>255.24</v>
      </c>
    </row>
    <row r="220" spans="1:14" x14ac:dyDescent="0.25">
      <c r="A220" s="165">
        <v>1790317840</v>
      </c>
      <c r="B220" s="166" t="s">
        <v>698</v>
      </c>
      <c r="C220" s="167">
        <v>286.06</v>
      </c>
      <c r="D220" s="168">
        <v>1.3845000000000001</v>
      </c>
      <c r="E220" s="169">
        <v>39.86</v>
      </c>
      <c r="F220" s="169">
        <v>224</v>
      </c>
      <c r="G220" s="169">
        <v>25.18</v>
      </c>
      <c r="H220" s="169">
        <v>24.38</v>
      </c>
      <c r="I220" s="170"/>
      <c r="J220" s="167"/>
      <c r="K220" s="167">
        <v>289.04000000000002</v>
      </c>
      <c r="L220" s="171"/>
      <c r="M220" s="172">
        <v>37.74</v>
      </c>
      <c r="N220" s="172">
        <v>326.78000000000003</v>
      </c>
    </row>
    <row r="221" spans="1:14" x14ac:dyDescent="0.25">
      <c r="A221" s="165">
        <v>1336565779</v>
      </c>
      <c r="B221" s="166" t="s">
        <v>699</v>
      </c>
      <c r="C221" s="167">
        <v>256.13</v>
      </c>
      <c r="D221" s="168">
        <v>1.1113</v>
      </c>
      <c r="E221" s="169">
        <v>39.86</v>
      </c>
      <c r="F221" s="169">
        <v>199.03</v>
      </c>
      <c r="G221" s="169">
        <v>15.76</v>
      </c>
      <c r="H221" s="169">
        <v>24.38</v>
      </c>
      <c r="I221" s="170"/>
      <c r="J221" s="167"/>
      <c r="K221" s="167">
        <v>256.13</v>
      </c>
      <c r="L221" s="171"/>
      <c r="M221" s="172">
        <v>37.74</v>
      </c>
      <c r="N221" s="172">
        <v>293.87</v>
      </c>
    </row>
    <row r="222" spans="1:14" x14ac:dyDescent="0.25">
      <c r="A222" s="165">
        <v>1649224056</v>
      </c>
      <c r="B222" s="166" t="s">
        <v>700</v>
      </c>
      <c r="C222" s="167">
        <v>250.44000000000003</v>
      </c>
      <c r="D222" s="168">
        <v>1.1724000000000001</v>
      </c>
      <c r="E222" s="169">
        <v>39.86</v>
      </c>
      <c r="F222" s="169">
        <v>203.71</v>
      </c>
      <c r="G222" s="169">
        <v>8.61</v>
      </c>
      <c r="H222" s="169">
        <v>24.38</v>
      </c>
      <c r="I222" s="170"/>
      <c r="J222" s="167"/>
      <c r="K222" s="167">
        <v>252.18</v>
      </c>
      <c r="L222" s="171"/>
      <c r="M222" s="172">
        <v>37.74</v>
      </c>
      <c r="N222" s="172">
        <v>289.92</v>
      </c>
    </row>
    <row r="223" spans="1:14" x14ac:dyDescent="0.25">
      <c r="A223" s="165">
        <v>1831197714</v>
      </c>
      <c r="B223" s="166" t="s">
        <v>247</v>
      </c>
      <c r="C223" s="167">
        <v>271.29000000000002</v>
      </c>
      <c r="D223" s="168">
        <v>1.2747999999999999</v>
      </c>
      <c r="E223" s="169">
        <v>39.86</v>
      </c>
      <c r="F223" s="169">
        <v>213.48</v>
      </c>
      <c r="G223" s="169">
        <v>17.2</v>
      </c>
      <c r="H223" s="169">
        <v>24.38</v>
      </c>
      <c r="I223" s="170"/>
      <c r="J223" s="167"/>
      <c r="K223" s="167">
        <v>271.29000000000002</v>
      </c>
      <c r="L223" s="171"/>
      <c r="M223" s="172">
        <v>37.74</v>
      </c>
      <c r="N223" s="172">
        <v>309.03000000000003</v>
      </c>
    </row>
    <row r="224" spans="1:14" x14ac:dyDescent="0.25">
      <c r="A224" s="165">
        <v>1952396509</v>
      </c>
      <c r="B224" s="166" t="s">
        <v>248</v>
      </c>
      <c r="C224" s="167">
        <v>254.43</v>
      </c>
      <c r="D224" s="168">
        <v>1.1312</v>
      </c>
      <c r="E224" s="169">
        <v>39.86</v>
      </c>
      <c r="F224" s="169">
        <v>201.13</v>
      </c>
      <c r="G224" s="169">
        <v>8.43</v>
      </c>
      <c r="H224" s="169">
        <v>24.38</v>
      </c>
      <c r="I224" s="170"/>
      <c r="J224" s="167"/>
      <c r="K224" s="167">
        <v>254.43</v>
      </c>
      <c r="L224" s="171"/>
      <c r="M224" s="172">
        <v>37.74</v>
      </c>
      <c r="N224" s="172">
        <v>292.17</v>
      </c>
    </row>
    <row r="225" spans="1:14" x14ac:dyDescent="0.25">
      <c r="A225" s="165">
        <v>1396754875</v>
      </c>
      <c r="B225" s="166" t="s">
        <v>249</v>
      </c>
      <c r="C225" s="167">
        <v>271.82</v>
      </c>
      <c r="D225" s="168">
        <v>1.1198999999999999</v>
      </c>
      <c r="E225" s="169">
        <v>39.86</v>
      </c>
      <c r="F225" s="169">
        <v>201.43</v>
      </c>
      <c r="G225" s="169">
        <v>26.44</v>
      </c>
      <c r="H225" s="169">
        <v>24.38</v>
      </c>
      <c r="I225" s="170"/>
      <c r="J225" s="167"/>
      <c r="K225" s="167">
        <v>271.82</v>
      </c>
      <c r="L225" s="171"/>
      <c r="M225" s="172">
        <v>37.74</v>
      </c>
      <c r="N225" s="172">
        <v>309.56</v>
      </c>
    </row>
    <row r="226" spans="1:14" x14ac:dyDescent="0.25">
      <c r="A226" s="165">
        <v>1952486771</v>
      </c>
      <c r="B226" s="166" t="s">
        <v>701</v>
      </c>
      <c r="C226" s="167">
        <v>286.21000000000004</v>
      </c>
      <c r="D226" s="168">
        <v>1.2445999999999999</v>
      </c>
      <c r="E226" s="169">
        <v>39.86</v>
      </c>
      <c r="F226" s="169">
        <v>210.47</v>
      </c>
      <c r="G226" s="169">
        <v>32.93</v>
      </c>
      <c r="H226" s="169">
        <v>24.38</v>
      </c>
      <c r="I226" s="170"/>
      <c r="J226" s="167"/>
      <c r="K226" s="167">
        <v>286.21000000000004</v>
      </c>
      <c r="L226" s="171"/>
      <c r="M226" s="172">
        <v>37.74</v>
      </c>
      <c r="N226" s="172">
        <v>323.95000000000005</v>
      </c>
    </row>
    <row r="227" spans="1:14" x14ac:dyDescent="0.25">
      <c r="A227" s="165">
        <v>1396771515</v>
      </c>
      <c r="B227" s="166" t="s">
        <v>702</v>
      </c>
      <c r="C227" s="167">
        <v>261.18</v>
      </c>
      <c r="D227" s="168">
        <v>1.1882999999999999</v>
      </c>
      <c r="E227" s="169">
        <v>39.86</v>
      </c>
      <c r="F227" s="169">
        <v>188.36</v>
      </c>
      <c r="G227" s="169">
        <v>35.67</v>
      </c>
      <c r="H227" s="169">
        <v>7.879999999999999</v>
      </c>
      <c r="I227" s="170"/>
      <c r="J227" s="167"/>
      <c r="K227" s="167">
        <v>263.89</v>
      </c>
      <c r="L227" s="171"/>
      <c r="M227" s="172">
        <v>37.74</v>
      </c>
      <c r="N227" s="172">
        <v>301.63</v>
      </c>
    </row>
    <row r="228" spans="1:14" x14ac:dyDescent="0.25">
      <c r="A228" s="165">
        <v>1932107547</v>
      </c>
      <c r="B228" s="166" t="s">
        <v>250</v>
      </c>
      <c r="C228" s="167">
        <v>244.69000000000003</v>
      </c>
      <c r="D228" s="168">
        <v>1.0054000000000001</v>
      </c>
      <c r="E228" s="169">
        <v>39.86</v>
      </c>
      <c r="F228" s="169">
        <v>190.14</v>
      </c>
      <c r="G228" s="169">
        <v>16.5</v>
      </c>
      <c r="H228" s="169">
        <v>24.38</v>
      </c>
      <c r="I228" s="170"/>
      <c r="J228" s="167"/>
      <c r="K228" s="167">
        <v>246.5</v>
      </c>
      <c r="L228" s="171"/>
      <c r="M228" s="172">
        <v>37.74</v>
      </c>
      <c r="N228" s="172">
        <v>284.24</v>
      </c>
    </row>
    <row r="229" spans="1:14" x14ac:dyDescent="0.25">
      <c r="A229" s="165">
        <v>1013951896</v>
      </c>
      <c r="B229" s="166" t="s">
        <v>703</v>
      </c>
      <c r="C229" s="167">
        <v>253.08999999999997</v>
      </c>
      <c r="D229" s="168">
        <v>1.1859999999999999</v>
      </c>
      <c r="E229" s="169">
        <v>39.86</v>
      </c>
      <c r="F229" s="169">
        <v>202.56</v>
      </c>
      <c r="G229" s="169">
        <v>12.22</v>
      </c>
      <c r="H229" s="169">
        <v>24.38</v>
      </c>
      <c r="I229" s="170"/>
      <c r="J229" s="167"/>
      <c r="K229" s="167">
        <v>254.64</v>
      </c>
      <c r="L229" s="171"/>
      <c r="M229" s="172">
        <v>37.74</v>
      </c>
      <c r="N229" s="172">
        <v>292.38</v>
      </c>
    </row>
    <row r="230" spans="1:14" x14ac:dyDescent="0.25">
      <c r="A230" s="165">
        <v>1477146959</v>
      </c>
      <c r="B230" s="166" t="s">
        <v>704</v>
      </c>
      <c r="C230" s="167">
        <v>262.52</v>
      </c>
      <c r="D230" s="168">
        <v>1.4263999999999999</v>
      </c>
      <c r="E230" s="169">
        <v>39.86</v>
      </c>
      <c r="F230" s="169">
        <v>208.41</v>
      </c>
      <c r="G230" s="169">
        <v>17.93</v>
      </c>
      <c r="H230" s="169">
        <v>7.879999999999999</v>
      </c>
      <c r="I230" s="170"/>
      <c r="J230" s="167"/>
      <c r="K230" s="167">
        <v>266.2</v>
      </c>
      <c r="L230" s="171"/>
      <c r="M230" s="172">
        <v>37.74</v>
      </c>
      <c r="N230" s="172">
        <v>303.94</v>
      </c>
    </row>
    <row r="231" spans="1:14" x14ac:dyDescent="0.25">
      <c r="A231" s="165">
        <v>1093754459</v>
      </c>
      <c r="B231" s="166" t="s">
        <v>251</v>
      </c>
      <c r="C231" s="167">
        <v>267.67</v>
      </c>
      <c r="D231" s="168">
        <v>1.2170000000000001</v>
      </c>
      <c r="E231" s="169">
        <v>39.86</v>
      </c>
      <c r="F231" s="169">
        <v>207.86</v>
      </c>
      <c r="G231" s="169">
        <v>15.87</v>
      </c>
      <c r="H231" s="169">
        <v>24.38</v>
      </c>
      <c r="I231" s="170"/>
      <c r="J231" s="167"/>
      <c r="K231" s="167">
        <v>267.67</v>
      </c>
      <c r="L231" s="171"/>
      <c r="M231" s="172">
        <v>37.74</v>
      </c>
      <c r="N231" s="172">
        <v>305.41000000000003</v>
      </c>
    </row>
    <row r="232" spans="1:14" x14ac:dyDescent="0.25">
      <c r="A232" s="165">
        <v>1861521635</v>
      </c>
      <c r="B232" s="166" t="s">
        <v>252</v>
      </c>
      <c r="C232" s="167">
        <v>282.83999999999997</v>
      </c>
      <c r="D232" s="168">
        <v>1.355</v>
      </c>
      <c r="E232" s="169">
        <v>39.86</v>
      </c>
      <c r="F232" s="169">
        <v>219.3</v>
      </c>
      <c r="G232" s="169">
        <v>20.68</v>
      </c>
      <c r="H232" s="169">
        <v>24.38</v>
      </c>
      <c r="I232" s="170"/>
      <c r="J232" s="167"/>
      <c r="K232" s="167">
        <v>282.83999999999997</v>
      </c>
      <c r="L232" s="171"/>
      <c r="M232" s="172">
        <v>37.74</v>
      </c>
      <c r="N232" s="172">
        <v>320.58</v>
      </c>
    </row>
    <row r="233" spans="1:14" x14ac:dyDescent="0.25">
      <c r="A233" s="165">
        <v>1558391250</v>
      </c>
      <c r="B233" s="166" t="s">
        <v>253</v>
      </c>
      <c r="C233" s="167">
        <v>263.64</v>
      </c>
      <c r="D233" s="168">
        <v>1.2323999999999999</v>
      </c>
      <c r="E233" s="169">
        <v>39.86</v>
      </c>
      <c r="F233" s="169">
        <v>207.41</v>
      </c>
      <c r="G233" s="169">
        <v>16.510000000000002</v>
      </c>
      <c r="H233" s="169">
        <v>24.38</v>
      </c>
      <c r="I233" s="170"/>
      <c r="J233" s="167"/>
      <c r="K233" s="167">
        <v>263.77999999999997</v>
      </c>
      <c r="L233" s="171"/>
      <c r="M233" s="172">
        <v>37.74</v>
      </c>
      <c r="N233" s="172">
        <v>301.52</v>
      </c>
    </row>
    <row r="234" spans="1:14" x14ac:dyDescent="0.25">
      <c r="A234" s="165">
        <v>1033611959</v>
      </c>
      <c r="B234" s="166" t="s">
        <v>705</v>
      </c>
      <c r="C234" s="167">
        <v>263.52</v>
      </c>
      <c r="D234" s="168">
        <v>1.1435999999999999</v>
      </c>
      <c r="E234" s="169">
        <v>39.86</v>
      </c>
      <c r="F234" s="169">
        <v>202.07</v>
      </c>
      <c r="G234" s="169">
        <v>26.55</v>
      </c>
      <c r="H234" s="169">
        <v>24.38</v>
      </c>
      <c r="I234" s="170"/>
      <c r="J234" s="167"/>
      <c r="K234" s="167">
        <v>268.48</v>
      </c>
      <c r="L234" s="171"/>
      <c r="M234" s="172">
        <v>37.74</v>
      </c>
      <c r="N234" s="172">
        <v>306.22000000000003</v>
      </c>
    </row>
    <row r="235" spans="1:14" x14ac:dyDescent="0.25">
      <c r="A235" s="165">
        <v>1962832899</v>
      </c>
      <c r="B235" s="166" t="s">
        <v>706</v>
      </c>
      <c r="C235" s="167">
        <v>284.04000000000002</v>
      </c>
      <c r="D235" s="168">
        <v>1.18</v>
      </c>
      <c r="E235" s="169">
        <v>39.86</v>
      </c>
      <c r="F235" s="169">
        <v>205.03</v>
      </c>
      <c r="G235" s="169">
        <v>35.72</v>
      </c>
      <c r="H235" s="169">
        <v>24.38</v>
      </c>
      <c r="I235" s="170"/>
      <c r="J235" s="167"/>
      <c r="K235" s="167">
        <v>284.04000000000002</v>
      </c>
      <c r="L235" s="171"/>
      <c r="M235" s="172">
        <v>37.74</v>
      </c>
      <c r="N235" s="172">
        <v>321.78000000000003</v>
      </c>
    </row>
    <row r="236" spans="1:14" x14ac:dyDescent="0.25">
      <c r="A236" s="165">
        <v>1336612530</v>
      </c>
      <c r="B236" s="166" t="s">
        <v>254</v>
      </c>
      <c r="C236" s="167">
        <v>285.3</v>
      </c>
      <c r="D236" s="168">
        <v>1.3531</v>
      </c>
      <c r="E236" s="169">
        <v>39.86</v>
      </c>
      <c r="F236" s="169">
        <v>217.35</v>
      </c>
      <c r="G236" s="169">
        <v>31.06</v>
      </c>
      <c r="H236" s="169">
        <v>24.38</v>
      </c>
      <c r="I236" s="170"/>
      <c r="J236" s="167"/>
      <c r="K236" s="167">
        <v>288.27</v>
      </c>
      <c r="L236" s="171"/>
      <c r="M236" s="172">
        <v>37.74</v>
      </c>
      <c r="N236" s="172">
        <v>326.01</v>
      </c>
    </row>
    <row r="237" spans="1:14" x14ac:dyDescent="0.25">
      <c r="A237" s="165">
        <v>1427248905</v>
      </c>
      <c r="B237" s="166" t="s">
        <v>255</v>
      </c>
      <c r="C237" s="167">
        <v>265.89</v>
      </c>
      <c r="D237" s="168">
        <v>1.2266999999999999</v>
      </c>
      <c r="E237" s="169">
        <v>39.86</v>
      </c>
      <c r="F237" s="169">
        <v>192.63</v>
      </c>
      <c r="G237" s="169">
        <v>26.04</v>
      </c>
      <c r="H237" s="169">
        <v>7.879999999999999</v>
      </c>
      <c r="I237" s="170"/>
      <c r="J237" s="167"/>
      <c r="K237" s="167">
        <v>265.89</v>
      </c>
      <c r="L237" s="171"/>
      <c r="M237" s="172">
        <v>37.74</v>
      </c>
      <c r="N237" s="172">
        <v>303.63</v>
      </c>
    </row>
    <row r="238" spans="1:14" x14ac:dyDescent="0.25">
      <c r="A238" s="165">
        <v>1609976901</v>
      </c>
      <c r="B238" s="166" t="s">
        <v>256</v>
      </c>
      <c r="C238" s="167">
        <v>281.38</v>
      </c>
      <c r="D238" s="168">
        <v>1.194</v>
      </c>
      <c r="E238" s="169">
        <v>39.86</v>
      </c>
      <c r="F238" s="169">
        <v>203.8</v>
      </c>
      <c r="G238" s="169">
        <v>24.85</v>
      </c>
      <c r="H238" s="169">
        <v>24.38</v>
      </c>
      <c r="I238" s="170"/>
      <c r="J238" s="167"/>
      <c r="K238" s="167">
        <v>281.38</v>
      </c>
      <c r="L238" s="171"/>
      <c r="M238" s="172">
        <v>37.74</v>
      </c>
      <c r="N238" s="172">
        <v>319.12</v>
      </c>
    </row>
    <row r="239" spans="1:14" x14ac:dyDescent="0.25">
      <c r="A239" s="165">
        <v>1235239567</v>
      </c>
      <c r="B239" s="166" t="s">
        <v>257</v>
      </c>
      <c r="C239" s="167">
        <v>271.73</v>
      </c>
      <c r="D239" s="168">
        <v>1.3338000000000001</v>
      </c>
      <c r="E239" s="169">
        <v>39.86</v>
      </c>
      <c r="F239" s="169">
        <v>217.34</v>
      </c>
      <c r="G239" s="169">
        <v>8.61</v>
      </c>
      <c r="H239" s="169">
        <v>24.38</v>
      </c>
      <c r="I239" s="170"/>
      <c r="J239" s="167"/>
      <c r="K239" s="167">
        <v>271.73</v>
      </c>
      <c r="L239" s="171"/>
      <c r="M239" s="172">
        <v>37.74</v>
      </c>
      <c r="N239" s="172">
        <v>309.47000000000003</v>
      </c>
    </row>
    <row r="240" spans="1:14" x14ac:dyDescent="0.25">
      <c r="A240" s="165">
        <v>1841390002</v>
      </c>
      <c r="B240" s="166" t="s">
        <v>258</v>
      </c>
      <c r="C240" s="167">
        <v>273.33000000000004</v>
      </c>
      <c r="D240" s="168">
        <v>1.3255999999999999</v>
      </c>
      <c r="E240" s="169">
        <v>39.86</v>
      </c>
      <c r="F240" s="169">
        <v>219.25</v>
      </c>
      <c r="G240" s="169">
        <v>12.13</v>
      </c>
      <c r="H240" s="169">
        <v>24.38</v>
      </c>
      <c r="I240" s="170"/>
      <c r="J240" s="167"/>
      <c r="K240" s="167">
        <v>273.33000000000004</v>
      </c>
      <c r="L240" s="171"/>
      <c r="M240" s="172">
        <v>37.74</v>
      </c>
      <c r="N240" s="172">
        <v>311.07000000000005</v>
      </c>
    </row>
    <row r="241" spans="1:14" x14ac:dyDescent="0.25">
      <c r="A241" s="165">
        <v>1194825448</v>
      </c>
      <c r="B241" s="166" t="s">
        <v>259</v>
      </c>
      <c r="C241" s="167">
        <v>271.60999999999996</v>
      </c>
      <c r="D241" s="168">
        <v>1.3008999999999999</v>
      </c>
      <c r="E241" s="169">
        <v>39.86</v>
      </c>
      <c r="F241" s="169">
        <v>214.13</v>
      </c>
      <c r="G241" s="169">
        <v>8.6999999999999993</v>
      </c>
      <c r="H241" s="169">
        <v>24.38</v>
      </c>
      <c r="I241" s="170"/>
      <c r="J241" s="167"/>
      <c r="K241" s="167">
        <v>271.60999999999996</v>
      </c>
      <c r="L241" s="171"/>
      <c r="M241" s="172">
        <v>37.74</v>
      </c>
      <c r="N241" s="172">
        <v>309.34999999999997</v>
      </c>
    </row>
    <row r="242" spans="1:14" x14ac:dyDescent="0.25">
      <c r="A242" s="165">
        <v>1275823155</v>
      </c>
      <c r="B242" s="166" t="s">
        <v>260</v>
      </c>
      <c r="C242" s="167">
        <v>287.20000000000005</v>
      </c>
      <c r="D242" s="168">
        <v>1.363</v>
      </c>
      <c r="E242" s="169">
        <v>39.86</v>
      </c>
      <c r="F242" s="169">
        <v>219.59</v>
      </c>
      <c r="G242" s="169">
        <v>28.41</v>
      </c>
      <c r="H242" s="169">
        <v>24.38</v>
      </c>
      <c r="I242" s="170"/>
      <c r="J242" s="167"/>
      <c r="K242" s="167">
        <v>287.86</v>
      </c>
      <c r="L242" s="171"/>
      <c r="M242" s="172">
        <v>37.74</v>
      </c>
      <c r="N242" s="172">
        <v>325.60000000000002</v>
      </c>
    </row>
    <row r="243" spans="1:14" x14ac:dyDescent="0.25">
      <c r="A243" s="165">
        <v>1265816185</v>
      </c>
      <c r="B243" s="166" t="s">
        <v>261</v>
      </c>
      <c r="C243" s="167">
        <v>274.73</v>
      </c>
      <c r="D243" s="168">
        <v>1.3075000000000001</v>
      </c>
      <c r="E243" s="169">
        <v>39.86</v>
      </c>
      <c r="F243" s="169">
        <v>216.84</v>
      </c>
      <c r="G243" s="169">
        <v>14.46</v>
      </c>
      <c r="H243" s="169">
        <v>24.38</v>
      </c>
      <c r="I243" s="170"/>
      <c r="J243" s="167"/>
      <c r="K243" s="167">
        <v>274.73</v>
      </c>
      <c r="L243" s="171"/>
      <c r="M243" s="172">
        <v>37.74</v>
      </c>
      <c r="N243" s="172">
        <v>312.47000000000003</v>
      </c>
    </row>
    <row r="244" spans="1:14" x14ac:dyDescent="0.25">
      <c r="A244" s="165">
        <v>1326519844</v>
      </c>
      <c r="B244" s="166" t="s">
        <v>262</v>
      </c>
      <c r="C244" s="167">
        <v>285.12</v>
      </c>
      <c r="D244" s="168">
        <v>1.3085</v>
      </c>
      <c r="E244" s="169">
        <v>39.86</v>
      </c>
      <c r="F244" s="169">
        <v>215.51</v>
      </c>
      <c r="G244" s="169">
        <v>25.58</v>
      </c>
      <c r="H244" s="169">
        <v>24.38</v>
      </c>
      <c r="I244" s="170"/>
      <c r="J244" s="167"/>
      <c r="K244" s="167">
        <v>285.12</v>
      </c>
      <c r="L244" s="171"/>
      <c r="M244" s="172">
        <v>37.74</v>
      </c>
      <c r="N244" s="172">
        <v>322.86</v>
      </c>
    </row>
    <row r="245" spans="1:14" x14ac:dyDescent="0.25">
      <c r="A245" s="165">
        <v>1396202024</v>
      </c>
      <c r="B245" s="166" t="s">
        <v>263</v>
      </c>
      <c r="C245" s="167">
        <v>263.01</v>
      </c>
      <c r="D245" s="168">
        <v>0.98670000000000002</v>
      </c>
      <c r="E245" s="169">
        <v>39.86</v>
      </c>
      <c r="F245" s="169">
        <v>188.56</v>
      </c>
      <c r="G245" s="169">
        <v>19.03</v>
      </c>
      <c r="H245" s="169">
        <v>24.38</v>
      </c>
      <c r="I245" s="170"/>
      <c r="J245" s="167"/>
      <c r="K245" s="167">
        <v>263.01</v>
      </c>
      <c r="L245" s="171"/>
      <c r="M245" s="172">
        <v>37.74</v>
      </c>
      <c r="N245" s="172">
        <v>300.75</v>
      </c>
    </row>
    <row r="246" spans="1:14" x14ac:dyDescent="0.25">
      <c r="A246" s="165">
        <v>1114480233</v>
      </c>
      <c r="B246" s="166" t="s">
        <v>264</v>
      </c>
      <c r="C246" s="167">
        <v>262.64999999999998</v>
      </c>
      <c r="D246" s="168">
        <v>1.1653</v>
      </c>
      <c r="E246" s="169">
        <v>39.86</v>
      </c>
      <c r="F246" s="169">
        <v>203.74</v>
      </c>
      <c r="G246" s="169">
        <v>17.86</v>
      </c>
      <c r="H246" s="169">
        <v>24.38</v>
      </c>
      <c r="I246" s="170"/>
      <c r="J246" s="167"/>
      <c r="K246" s="167">
        <v>262.64999999999998</v>
      </c>
      <c r="L246" s="171"/>
      <c r="M246" s="172">
        <v>37.74</v>
      </c>
      <c r="N246" s="172">
        <v>300.39</v>
      </c>
    </row>
    <row r="247" spans="1:14" x14ac:dyDescent="0.25">
      <c r="A247" s="165">
        <v>1902462401</v>
      </c>
      <c r="B247" s="166" t="s">
        <v>265</v>
      </c>
      <c r="C247" s="167">
        <v>264.14999999999998</v>
      </c>
      <c r="D247" s="168">
        <v>1.0685</v>
      </c>
      <c r="E247" s="169">
        <v>39.86</v>
      </c>
      <c r="F247" s="169">
        <v>194.34</v>
      </c>
      <c r="G247" s="169">
        <v>19.690000000000001</v>
      </c>
      <c r="H247" s="169">
        <v>24.38</v>
      </c>
      <c r="I247" s="170"/>
      <c r="J247" s="167"/>
      <c r="K247" s="167">
        <v>264.14999999999998</v>
      </c>
      <c r="L247" s="171"/>
      <c r="M247" s="172">
        <v>37.74</v>
      </c>
      <c r="N247" s="172">
        <v>301.89</v>
      </c>
    </row>
    <row r="248" spans="1:14" x14ac:dyDescent="0.25">
      <c r="A248" s="165">
        <v>1962052498</v>
      </c>
      <c r="B248" s="166" t="s">
        <v>266</v>
      </c>
      <c r="C248" s="167">
        <v>243.95000000000005</v>
      </c>
      <c r="D248" s="168">
        <v>1.0847</v>
      </c>
      <c r="E248" s="169">
        <v>39.86</v>
      </c>
      <c r="F248" s="169">
        <v>196.56</v>
      </c>
      <c r="G248" s="169">
        <v>9.0500000000000007</v>
      </c>
      <c r="H248" s="169">
        <v>24.38</v>
      </c>
      <c r="I248" s="170"/>
      <c r="J248" s="167"/>
      <c r="K248" s="167">
        <v>245.47</v>
      </c>
      <c r="L248" s="171"/>
      <c r="M248" s="172">
        <v>37.74</v>
      </c>
      <c r="N248" s="172">
        <v>283.20999999999998</v>
      </c>
    </row>
    <row r="249" spans="1:14" x14ac:dyDescent="0.25">
      <c r="A249" s="165">
        <v>1225688757</v>
      </c>
      <c r="B249" s="166" t="s">
        <v>267</v>
      </c>
      <c r="C249" s="167">
        <v>255.89</v>
      </c>
      <c r="D249" s="168">
        <v>1.1477999999999999</v>
      </c>
      <c r="E249" s="169">
        <v>39.86</v>
      </c>
      <c r="F249" s="169">
        <v>201.31</v>
      </c>
      <c r="G249" s="169">
        <v>8.19</v>
      </c>
      <c r="H249" s="169">
        <v>24.38</v>
      </c>
      <c r="I249" s="170"/>
      <c r="J249" s="167"/>
      <c r="K249" s="167">
        <v>255.89</v>
      </c>
      <c r="L249" s="171"/>
      <c r="M249" s="172">
        <v>37.74</v>
      </c>
      <c r="N249" s="172">
        <v>293.63</v>
      </c>
    </row>
    <row r="250" spans="1:14" x14ac:dyDescent="0.25">
      <c r="A250" s="165">
        <v>1851941389</v>
      </c>
      <c r="B250" s="166" t="s">
        <v>268</v>
      </c>
      <c r="C250" s="167">
        <v>242.96</v>
      </c>
      <c r="D250" s="168">
        <v>1.0664</v>
      </c>
      <c r="E250" s="169">
        <v>39.86</v>
      </c>
      <c r="F250" s="169">
        <v>195.1</v>
      </c>
      <c r="G250" s="169">
        <v>8.61</v>
      </c>
      <c r="H250" s="169">
        <v>24.38</v>
      </c>
      <c r="I250" s="170"/>
      <c r="J250" s="167"/>
      <c r="K250" s="167">
        <v>243.57</v>
      </c>
      <c r="L250" s="171"/>
      <c r="M250" s="172">
        <v>37.74</v>
      </c>
      <c r="N250" s="172">
        <v>281.31</v>
      </c>
    </row>
    <row r="251" spans="1:14" x14ac:dyDescent="0.25">
      <c r="A251" s="165">
        <v>1194779504</v>
      </c>
      <c r="B251" s="166" t="s">
        <v>707</v>
      </c>
      <c r="C251" s="167">
        <v>263.51</v>
      </c>
      <c r="D251" s="168">
        <v>1.2363999999999999</v>
      </c>
      <c r="E251" s="169">
        <v>39.86</v>
      </c>
      <c r="F251" s="169">
        <v>209.07</v>
      </c>
      <c r="G251" s="169">
        <v>13.1</v>
      </c>
      <c r="H251" s="169">
        <v>24.38</v>
      </c>
      <c r="I251" s="170"/>
      <c r="J251" s="167"/>
      <c r="K251" s="167">
        <v>263.51</v>
      </c>
      <c r="L251" s="171"/>
      <c r="M251" s="172">
        <v>37.74</v>
      </c>
      <c r="N251" s="172">
        <v>301.25</v>
      </c>
    </row>
    <row r="252" spans="1:14" x14ac:dyDescent="0.25">
      <c r="A252" s="165">
        <v>1538137468</v>
      </c>
      <c r="B252" s="166" t="s">
        <v>269</v>
      </c>
      <c r="C252" s="167">
        <v>244.41000000000003</v>
      </c>
      <c r="D252" s="168">
        <v>0.94769999999999999</v>
      </c>
      <c r="E252" s="169">
        <v>39.86</v>
      </c>
      <c r="F252" s="169">
        <v>187.83</v>
      </c>
      <c r="G252" s="169">
        <v>12.15</v>
      </c>
      <c r="H252" s="169">
        <v>24.38</v>
      </c>
      <c r="I252" s="170"/>
      <c r="J252" s="167"/>
      <c r="K252" s="167">
        <v>244.41000000000003</v>
      </c>
      <c r="L252" s="171"/>
      <c r="M252" s="172">
        <v>37.74</v>
      </c>
      <c r="N252" s="172">
        <v>282.15000000000003</v>
      </c>
    </row>
    <row r="253" spans="1:14" x14ac:dyDescent="0.25">
      <c r="A253" s="165">
        <v>1780693663</v>
      </c>
      <c r="B253" s="166" t="s">
        <v>270</v>
      </c>
      <c r="C253" s="167">
        <v>220.41999999999996</v>
      </c>
      <c r="D253" s="168">
        <v>0.97909999999999997</v>
      </c>
      <c r="E253" s="169">
        <v>39.86</v>
      </c>
      <c r="F253" s="169">
        <v>163.5</v>
      </c>
      <c r="G253" s="169">
        <v>17.2</v>
      </c>
      <c r="H253" s="169">
        <v>0</v>
      </c>
      <c r="I253" s="170"/>
      <c r="J253" s="167"/>
      <c r="K253" s="167">
        <v>220.56</v>
      </c>
      <c r="L253" s="171"/>
      <c r="M253" s="172">
        <v>37.74</v>
      </c>
      <c r="N253" s="172">
        <v>258.3</v>
      </c>
    </row>
    <row r="254" spans="1:14" x14ac:dyDescent="0.25">
      <c r="A254" s="165">
        <v>1407966864</v>
      </c>
      <c r="B254" s="166" t="s">
        <v>271</v>
      </c>
      <c r="C254" s="167">
        <v>245.5</v>
      </c>
      <c r="D254" s="168">
        <v>1.0404</v>
      </c>
      <c r="E254" s="169">
        <v>39.86</v>
      </c>
      <c r="F254" s="169">
        <v>193.6</v>
      </c>
      <c r="G254" s="169">
        <v>18.28</v>
      </c>
      <c r="H254" s="169">
        <v>24.38</v>
      </c>
      <c r="I254" s="170"/>
      <c r="J254" s="167"/>
      <c r="K254" s="167">
        <v>251.74</v>
      </c>
      <c r="L254" s="171"/>
      <c r="M254" s="172">
        <v>37.74</v>
      </c>
      <c r="N254" s="172">
        <v>289.48</v>
      </c>
    </row>
    <row r="255" spans="1:14" x14ac:dyDescent="0.25">
      <c r="A255" s="165">
        <v>1942583752</v>
      </c>
      <c r="B255" s="166" t="s">
        <v>272</v>
      </c>
      <c r="C255" s="167">
        <v>261.35999999999996</v>
      </c>
      <c r="D255" s="168">
        <v>0.92869999999999997</v>
      </c>
      <c r="E255" s="169">
        <v>39.86</v>
      </c>
      <c r="F255" s="169">
        <v>184.43</v>
      </c>
      <c r="G255" s="169">
        <v>24.6</v>
      </c>
      <c r="H255" s="169">
        <v>24.38</v>
      </c>
      <c r="I255" s="170"/>
      <c r="J255" s="167"/>
      <c r="K255" s="167">
        <v>261.35999999999996</v>
      </c>
      <c r="L255" s="171"/>
      <c r="M255" s="172">
        <v>37.74</v>
      </c>
      <c r="N255" s="172">
        <v>299.09999999999997</v>
      </c>
    </row>
    <row r="256" spans="1:14" x14ac:dyDescent="0.25">
      <c r="A256" s="165">
        <v>1144646274</v>
      </c>
      <c r="B256" s="166" t="s">
        <v>273</v>
      </c>
      <c r="C256" s="167">
        <v>263.20999999999998</v>
      </c>
      <c r="D256" s="168">
        <v>1.1893</v>
      </c>
      <c r="E256" s="169">
        <v>39.86</v>
      </c>
      <c r="F256" s="169">
        <v>203.68</v>
      </c>
      <c r="G256" s="169">
        <v>19.25</v>
      </c>
      <c r="H256" s="169">
        <v>24.38</v>
      </c>
      <c r="I256" s="170"/>
      <c r="J256" s="167"/>
      <c r="K256" s="167">
        <v>263.20999999999998</v>
      </c>
      <c r="L256" s="171"/>
      <c r="M256" s="172">
        <v>37.74</v>
      </c>
      <c r="N256" s="172">
        <v>300.95</v>
      </c>
    </row>
    <row r="257" spans="1:14" x14ac:dyDescent="0.25">
      <c r="A257" s="165">
        <v>1124015458</v>
      </c>
      <c r="B257" s="166" t="s">
        <v>274</v>
      </c>
      <c r="C257" s="167">
        <v>247.86</v>
      </c>
      <c r="D257" s="168">
        <v>1.0269999999999999</v>
      </c>
      <c r="E257" s="169">
        <v>39.86</v>
      </c>
      <c r="F257" s="169">
        <v>167.58</v>
      </c>
      <c r="G257" s="169">
        <v>35.4</v>
      </c>
      <c r="H257" s="169">
        <v>0</v>
      </c>
      <c r="I257" s="170"/>
      <c r="J257" s="167"/>
      <c r="K257" s="167">
        <v>247.86</v>
      </c>
      <c r="L257" s="171"/>
      <c r="M257" s="172">
        <v>37.74</v>
      </c>
      <c r="N257" s="172">
        <v>285.60000000000002</v>
      </c>
    </row>
    <row r="258" spans="1:14" x14ac:dyDescent="0.25">
      <c r="A258" s="165">
        <v>1982640785</v>
      </c>
      <c r="B258" s="166" t="s">
        <v>708</v>
      </c>
      <c r="C258" s="167">
        <v>263.49</v>
      </c>
      <c r="D258" s="168">
        <v>1.2410000000000001</v>
      </c>
      <c r="E258" s="169">
        <v>39.86</v>
      </c>
      <c r="F258" s="169">
        <v>209.13</v>
      </c>
      <c r="G258" s="169">
        <v>9.73</v>
      </c>
      <c r="H258" s="169">
        <v>24.38</v>
      </c>
      <c r="I258" s="170"/>
      <c r="J258" s="167"/>
      <c r="K258" s="167">
        <v>263.49</v>
      </c>
      <c r="L258" s="171"/>
      <c r="M258" s="172">
        <v>37.74</v>
      </c>
      <c r="N258" s="172">
        <v>301.23</v>
      </c>
    </row>
    <row r="259" spans="1:14" x14ac:dyDescent="0.25">
      <c r="A259" s="165">
        <v>1922456664</v>
      </c>
      <c r="B259" s="166" t="s">
        <v>275</v>
      </c>
      <c r="C259" s="167">
        <v>275.52</v>
      </c>
      <c r="D259" s="168">
        <v>1.3308</v>
      </c>
      <c r="E259" s="169">
        <v>39.86</v>
      </c>
      <c r="F259" s="169">
        <v>218.06</v>
      </c>
      <c r="G259" s="169">
        <v>15.02</v>
      </c>
      <c r="H259" s="169">
        <v>24.38</v>
      </c>
      <c r="I259" s="170"/>
      <c r="J259" s="167"/>
      <c r="K259" s="167">
        <v>275.52</v>
      </c>
      <c r="L259" s="171"/>
      <c r="M259" s="172">
        <v>37.74</v>
      </c>
      <c r="N259" s="172">
        <v>313.26</v>
      </c>
    </row>
    <row r="260" spans="1:14" x14ac:dyDescent="0.25">
      <c r="A260" s="165">
        <v>1811923931</v>
      </c>
      <c r="B260" s="166" t="s">
        <v>709</v>
      </c>
      <c r="C260" s="167">
        <v>274.86</v>
      </c>
      <c r="D260" s="168">
        <v>1.3224</v>
      </c>
      <c r="E260" s="169">
        <v>39.86</v>
      </c>
      <c r="F260" s="169">
        <v>214.55</v>
      </c>
      <c r="G260" s="169">
        <v>19.940000000000001</v>
      </c>
      <c r="H260" s="169">
        <v>24.38</v>
      </c>
      <c r="I260" s="170"/>
      <c r="J260" s="167"/>
      <c r="K260" s="167">
        <v>274.86</v>
      </c>
      <c r="L260" s="171"/>
      <c r="M260" s="172">
        <v>37.74</v>
      </c>
      <c r="N260" s="172">
        <v>312.60000000000002</v>
      </c>
    </row>
    <row r="261" spans="1:14" x14ac:dyDescent="0.25">
      <c r="A261" s="165">
        <v>1073034138</v>
      </c>
      <c r="B261" s="166" t="s">
        <v>276</v>
      </c>
      <c r="C261" s="167">
        <v>254.63</v>
      </c>
      <c r="D261" s="168">
        <v>1.2338</v>
      </c>
      <c r="E261" s="169">
        <v>39.86</v>
      </c>
      <c r="F261" s="169">
        <v>184.82</v>
      </c>
      <c r="G261" s="169">
        <v>33.49</v>
      </c>
      <c r="H261" s="169">
        <v>0</v>
      </c>
      <c r="I261" s="170"/>
      <c r="J261" s="167"/>
      <c r="K261" s="167">
        <v>258.17</v>
      </c>
      <c r="L261" s="171"/>
      <c r="M261" s="172">
        <v>37.74</v>
      </c>
      <c r="N261" s="172">
        <v>295.91000000000003</v>
      </c>
    </row>
    <row r="262" spans="1:14" x14ac:dyDescent="0.25">
      <c r="A262" s="165">
        <v>1720085293</v>
      </c>
      <c r="B262" s="166" t="s">
        <v>367</v>
      </c>
      <c r="C262" s="167">
        <v>262.70000000000005</v>
      </c>
      <c r="D262" s="168">
        <v>1.1558999999999999</v>
      </c>
      <c r="E262" s="169">
        <v>39.86</v>
      </c>
      <c r="F262" s="169">
        <v>203.45</v>
      </c>
      <c r="G262" s="169">
        <v>9.61</v>
      </c>
      <c r="H262" s="169">
        <v>24.38</v>
      </c>
      <c r="I262" s="170"/>
      <c r="J262" s="167"/>
      <c r="K262" s="167">
        <v>262.70000000000005</v>
      </c>
      <c r="L262" s="171"/>
      <c r="M262" s="172">
        <v>37.74</v>
      </c>
      <c r="N262" s="172">
        <v>300.44000000000005</v>
      </c>
    </row>
    <row r="263" spans="1:14" x14ac:dyDescent="0.25">
      <c r="A263" s="165">
        <v>1962447565</v>
      </c>
      <c r="B263" s="166" t="s">
        <v>710</v>
      </c>
      <c r="C263" s="167">
        <v>239.37</v>
      </c>
      <c r="D263" s="168">
        <v>1.1769000000000001</v>
      </c>
      <c r="E263" s="169">
        <v>39.86</v>
      </c>
      <c r="F263" s="169">
        <v>186.89</v>
      </c>
      <c r="G263" s="169">
        <v>11.38</v>
      </c>
      <c r="H263" s="169">
        <v>7.879999999999999</v>
      </c>
      <c r="I263" s="170"/>
      <c r="J263" s="167"/>
      <c r="K263" s="167">
        <v>239.37</v>
      </c>
      <c r="L263" s="171"/>
      <c r="M263" s="172">
        <v>37.74</v>
      </c>
      <c r="N263" s="172">
        <v>277.11</v>
      </c>
    </row>
    <row r="264" spans="1:14" x14ac:dyDescent="0.25">
      <c r="A264" s="165">
        <v>1720166838</v>
      </c>
      <c r="B264" s="166" t="s">
        <v>277</v>
      </c>
      <c r="C264" s="167">
        <v>266.83999999999997</v>
      </c>
      <c r="D264" s="168">
        <v>1.1705000000000001</v>
      </c>
      <c r="E264" s="169">
        <v>39.86</v>
      </c>
      <c r="F264" s="169">
        <v>204.1</v>
      </c>
      <c r="G264" s="169">
        <v>14.13</v>
      </c>
      <c r="H264" s="169">
        <v>24.38</v>
      </c>
      <c r="I264" s="170"/>
      <c r="J264" s="167"/>
      <c r="K264" s="167">
        <v>266.83999999999997</v>
      </c>
      <c r="L264" s="171"/>
      <c r="M264" s="172">
        <v>37.74</v>
      </c>
      <c r="N264" s="172">
        <v>304.58</v>
      </c>
    </row>
    <row r="265" spans="1:14" x14ac:dyDescent="0.25">
      <c r="A265" s="165">
        <v>1518112036</v>
      </c>
      <c r="B265" s="166" t="s">
        <v>711</v>
      </c>
      <c r="C265" s="167">
        <v>261.23</v>
      </c>
      <c r="D265" s="168">
        <v>1.0775999999999999</v>
      </c>
      <c r="E265" s="169">
        <v>39.86</v>
      </c>
      <c r="F265" s="169">
        <v>196.69</v>
      </c>
      <c r="G265" s="169">
        <v>25.46</v>
      </c>
      <c r="H265" s="169">
        <v>24.38</v>
      </c>
      <c r="I265" s="170"/>
      <c r="J265" s="167"/>
      <c r="K265" s="167">
        <v>262.01</v>
      </c>
      <c r="L265" s="171"/>
      <c r="M265" s="172">
        <v>37.74</v>
      </c>
      <c r="N265" s="172">
        <v>299.75</v>
      </c>
    </row>
    <row r="266" spans="1:14" x14ac:dyDescent="0.25">
      <c r="A266" s="165">
        <v>1447435722</v>
      </c>
      <c r="B266" s="166" t="s">
        <v>712</v>
      </c>
      <c r="C266" s="167">
        <v>253.8</v>
      </c>
      <c r="D266" s="168">
        <v>1.1281000000000001</v>
      </c>
      <c r="E266" s="169">
        <v>39.86</v>
      </c>
      <c r="F266" s="169">
        <v>184.99</v>
      </c>
      <c r="G266" s="169">
        <v>27.74</v>
      </c>
      <c r="H266" s="169">
        <v>7.879999999999999</v>
      </c>
      <c r="I266" s="170"/>
      <c r="J266" s="167"/>
      <c r="K266" s="167">
        <v>253.8</v>
      </c>
      <c r="L266" s="171"/>
      <c r="M266" s="172">
        <v>37.74</v>
      </c>
      <c r="N266" s="172">
        <v>291.54000000000002</v>
      </c>
    </row>
    <row r="267" spans="1:14" x14ac:dyDescent="0.25">
      <c r="A267" s="165">
        <v>1245287762</v>
      </c>
      <c r="B267" s="166" t="s">
        <v>713</v>
      </c>
      <c r="C267" s="167">
        <v>272.94</v>
      </c>
      <c r="D267" s="168">
        <v>1.2350000000000001</v>
      </c>
      <c r="E267" s="169">
        <v>39.86</v>
      </c>
      <c r="F267" s="169">
        <v>208.18</v>
      </c>
      <c r="G267" s="169">
        <v>23.43</v>
      </c>
      <c r="H267" s="169">
        <v>24.38</v>
      </c>
      <c r="I267" s="170"/>
      <c r="J267" s="167"/>
      <c r="K267" s="167">
        <v>272.94</v>
      </c>
      <c r="L267" s="171"/>
      <c r="M267" s="172">
        <v>37.74</v>
      </c>
      <c r="N267" s="172">
        <v>310.68</v>
      </c>
    </row>
    <row r="268" spans="1:14" x14ac:dyDescent="0.25">
      <c r="A268" s="165">
        <v>1134175524</v>
      </c>
      <c r="B268" s="166" t="s">
        <v>714</v>
      </c>
      <c r="C268" s="167">
        <v>250.78999999999996</v>
      </c>
      <c r="D268" s="168">
        <v>1.2323999999999999</v>
      </c>
      <c r="E268" s="169">
        <v>39.86</v>
      </c>
      <c r="F268" s="169">
        <v>206.78</v>
      </c>
      <c r="G268" s="169">
        <v>9.39</v>
      </c>
      <c r="H268" s="169">
        <v>24.38</v>
      </c>
      <c r="I268" s="170"/>
      <c r="J268" s="167"/>
      <c r="K268" s="167">
        <v>256.02999999999997</v>
      </c>
      <c r="L268" s="171"/>
      <c r="M268" s="172">
        <v>37.74</v>
      </c>
      <c r="N268" s="172">
        <v>293.77</v>
      </c>
    </row>
    <row r="269" spans="1:14" x14ac:dyDescent="0.25">
      <c r="A269" s="165">
        <v>1245285253</v>
      </c>
      <c r="B269" s="166" t="s">
        <v>715</v>
      </c>
      <c r="C269" s="167">
        <v>264.48</v>
      </c>
      <c r="D269" s="168">
        <v>1.1084000000000001</v>
      </c>
      <c r="E269" s="169">
        <v>39.86</v>
      </c>
      <c r="F269" s="169">
        <v>197.59</v>
      </c>
      <c r="G269" s="169">
        <v>25.4</v>
      </c>
      <c r="H269" s="169">
        <v>24.38</v>
      </c>
      <c r="I269" s="170"/>
      <c r="J269" s="167"/>
      <c r="K269" s="167">
        <v>264.48</v>
      </c>
      <c r="L269" s="171"/>
      <c r="M269" s="172">
        <v>37.74</v>
      </c>
      <c r="N269" s="172">
        <v>302.22000000000003</v>
      </c>
    </row>
    <row r="270" spans="1:14" x14ac:dyDescent="0.25">
      <c r="A270" s="165">
        <v>1730136250</v>
      </c>
      <c r="B270" s="166" t="s">
        <v>716</v>
      </c>
      <c r="C270" s="167">
        <v>252.21999999999997</v>
      </c>
      <c r="D270" s="168">
        <v>1.1731</v>
      </c>
      <c r="E270" s="169">
        <v>39.86</v>
      </c>
      <c r="F270" s="169">
        <v>187.97</v>
      </c>
      <c r="G270" s="169">
        <v>24.13</v>
      </c>
      <c r="H270" s="169">
        <v>7.879999999999999</v>
      </c>
      <c r="I270" s="170"/>
      <c r="J270" s="167"/>
      <c r="K270" s="167">
        <v>252.21999999999997</v>
      </c>
      <c r="L270" s="171"/>
      <c r="M270" s="172">
        <v>37.74</v>
      </c>
      <c r="N270" s="172">
        <v>289.95999999999998</v>
      </c>
    </row>
    <row r="271" spans="1:14" x14ac:dyDescent="0.25">
      <c r="A271" s="165">
        <v>1033513320</v>
      </c>
      <c r="B271" s="166" t="s">
        <v>717</v>
      </c>
      <c r="C271" s="167">
        <v>259.46999999999997</v>
      </c>
      <c r="D271" s="168">
        <v>1.1476</v>
      </c>
      <c r="E271" s="169">
        <v>39.86</v>
      </c>
      <c r="F271" s="169">
        <v>201.07</v>
      </c>
      <c r="G271" s="169">
        <v>14.15</v>
      </c>
      <c r="H271" s="169">
        <v>24.38</v>
      </c>
      <c r="I271" s="170"/>
      <c r="J271" s="167"/>
      <c r="K271" s="167">
        <v>259.46999999999997</v>
      </c>
      <c r="L271" s="171"/>
      <c r="M271" s="172">
        <v>37.74</v>
      </c>
      <c r="N271" s="172">
        <v>297.20999999999998</v>
      </c>
    </row>
    <row r="272" spans="1:14" x14ac:dyDescent="0.25">
      <c r="A272" s="165">
        <v>1023358991</v>
      </c>
      <c r="B272" s="166" t="s">
        <v>718</v>
      </c>
      <c r="C272" s="167">
        <v>243.97000000000003</v>
      </c>
      <c r="D272" s="168">
        <v>1.0125999999999999</v>
      </c>
      <c r="E272" s="169">
        <v>39.86</v>
      </c>
      <c r="F272" s="169">
        <v>190.59</v>
      </c>
      <c r="G272" s="169">
        <v>14.03</v>
      </c>
      <c r="H272" s="169">
        <v>24.38</v>
      </c>
      <c r="I272" s="170"/>
      <c r="J272" s="167"/>
      <c r="K272" s="167">
        <v>244.48</v>
      </c>
      <c r="L272" s="171"/>
      <c r="M272" s="172">
        <v>37.74</v>
      </c>
      <c r="N272" s="172">
        <v>282.21999999999997</v>
      </c>
    </row>
    <row r="273" spans="1:14" x14ac:dyDescent="0.25">
      <c r="A273" s="165">
        <v>1700833233</v>
      </c>
      <c r="B273" s="166" t="s">
        <v>719</v>
      </c>
      <c r="C273" s="167">
        <v>267.95</v>
      </c>
      <c r="D273" s="168">
        <v>1.1400999999999999</v>
      </c>
      <c r="E273" s="169">
        <v>39.86</v>
      </c>
      <c r="F273" s="169">
        <v>199.4</v>
      </c>
      <c r="G273" s="169">
        <v>25.23</v>
      </c>
      <c r="H273" s="169">
        <v>24.38</v>
      </c>
      <c r="I273" s="170"/>
      <c r="J273" s="167"/>
      <c r="K273" s="167">
        <v>267.95</v>
      </c>
      <c r="L273" s="171"/>
      <c r="M273" s="172">
        <v>37.74</v>
      </c>
      <c r="N273" s="172">
        <v>305.69</v>
      </c>
    </row>
    <row r="274" spans="1:14" x14ac:dyDescent="0.25">
      <c r="A274" s="165">
        <v>1851348379</v>
      </c>
      <c r="B274" s="166" t="s">
        <v>720</v>
      </c>
      <c r="C274" s="167">
        <v>258.65999999999997</v>
      </c>
      <c r="D274" s="168">
        <v>1.0790999999999999</v>
      </c>
      <c r="E274" s="169">
        <v>39.86</v>
      </c>
      <c r="F274" s="169">
        <v>195.21</v>
      </c>
      <c r="G274" s="169">
        <v>23.6</v>
      </c>
      <c r="H274" s="169">
        <v>24.38</v>
      </c>
      <c r="I274" s="170"/>
      <c r="J274" s="167"/>
      <c r="K274" s="167">
        <v>258.67</v>
      </c>
      <c r="L274" s="171"/>
      <c r="M274" s="172">
        <v>37.74</v>
      </c>
      <c r="N274" s="172">
        <v>296.41000000000003</v>
      </c>
    </row>
    <row r="275" spans="1:14" x14ac:dyDescent="0.25">
      <c r="A275" s="165">
        <v>1992106348</v>
      </c>
      <c r="B275" s="166" t="s">
        <v>721</v>
      </c>
      <c r="C275" s="167">
        <v>292.2</v>
      </c>
      <c r="D275" s="168">
        <v>1.2603</v>
      </c>
      <c r="E275" s="169">
        <v>39.86</v>
      </c>
      <c r="F275" s="169">
        <v>211.58</v>
      </c>
      <c r="G275" s="169">
        <v>37.97</v>
      </c>
      <c r="H275" s="169">
        <v>24.38</v>
      </c>
      <c r="I275" s="170"/>
      <c r="J275" s="167"/>
      <c r="K275" s="167">
        <v>292.2</v>
      </c>
      <c r="L275" s="171"/>
      <c r="M275" s="172">
        <v>37.74</v>
      </c>
      <c r="N275" s="172">
        <v>329.94</v>
      </c>
    </row>
    <row r="276" spans="1:14" x14ac:dyDescent="0.25">
      <c r="A276" s="165">
        <v>1548696834</v>
      </c>
      <c r="B276" s="166" t="s">
        <v>722</v>
      </c>
      <c r="C276" s="167">
        <v>240.46000000000004</v>
      </c>
      <c r="D276" s="168">
        <v>1.1353</v>
      </c>
      <c r="E276" s="169">
        <v>39.86</v>
      </c>
      <c r="F276" s="169">
        <v>176.67</v>
      </c>
      <c r="G276" s="169">
        <v>24.88</v>
      </c>
      <c r="H276" s="169">
        <v>0</v>
      </c>
      <c r="I276" s="170"/>
      <c r="J276" s="167"/>
      <c r="K276" s="167">
        <v>241.41</v>
      </c>
      <c r="L276" s="171"/>
      <c r="M276" s="172">
        <v>37.74</v>
      </c>
      <c r="N276" s="172">
        <v>279.14999999999998</v>
      </c>
    </row>
    <row r="277" spans="1:14" x14ac:dyDescent="0.25">
      <c r="A277" s="165">
        <v>1396161527</v>
      </c>
      <c r="B277" s="166" t="s">
        <v>278</v>
      </c>
      <c r="C277" s="167">
        <v>267.75</v>
      </c>
      <c r="D277" s="168">
        <v>1.2391000000000001</v>
      </c>
      <c r="E277" s="169">
        <v>39.86</v>
      </c>
      <c r="F277" s="169">
        <v>207.98</v>
      </c>
      <c r="G277" s="169">
        <v>21.26</v>
      </c>
      <c r="H277" s="169">
        <v>24.38</v>
      </c>
      <c r="I277" s="170"/>
      <c r="J277" s="167"/>
      <c r="K277" s="167">
        <v>269.10000000000002</v>
      </c>
      <c r="L277" s="171"/>
      <c r="M277" s="172">
        <v>37.74</v>
      </c>
      <c r="N277" s="172">
        <v>306.84000000000003</v>
      </c>
    </row>
    <row r="278" spans="1:14" x14ac:dyDescent="0.25">
      <c r="A278" s="165">
        <v>1770582363</v>
      </c>
      <c r="B278" s="166" t="s">
        <v>279</v>
      </c>
      <c r="C278" s="167">
        <v>249.02</v>
      </c>
      <c r="D278" s="168">
        <v>1.0403</v>
      </c>
      <c r="E278" s="169">
        <v>39.86</v>
      </c>
      <c r="F278" s="169">
        <v>192.9</v>
      </c>
      <c r="G278" s="169">
        <v>24.07</v>
      </c>
      <c r="H278" s="169">
        <v>24.38</v>
      </c>
      <c r="I278" s="170"/>
      <c r="J278" s="167"/>
      <c r="K278" s="167">
        <v>256.83</v>
      </c>
      <c r="L278" s="171"/>
      <c r="M278" s="172">
        <v>37.74</v>
      </c>
      <c r="N278" s="172">
        <v>294.57</v>
      </c>
    </row>
    <row r="279" spans="1:14" x14ac:dyDescent="0.25">
      <c r="A279" s="165">
        <v>1376542878</v>
      </c>
      <c r="B279" s="166" t="s">
        <v>280</v>
      </c>
      <c r="C279" s="167">
        <v>249.64999999999998</v>
      </c>
      <c r="D279" s="168">
        <v>0.94159999999999999</v>
      </c>
      <c r="E279" s="169">
        <v>39.86</v>
      </c>
      <c r="F279" s="169">
        <v>183.35</v>
      </c>
      <c r="G279" s="169">
        <v>21.91</v>
      </c>
      <c r="H279" s="169">
        <v>24.38</v>
      </c>
      <c r="I279" s="170"/>
      <c r="J279" s="167"/>
      <c r="K279" s="167">
        <v>249.64999999999998</v>
      </c>
      <c r="L279" s="171"/>
      <c r="M279" s="172">
        <v>37.74</v>
      </c>
      <c r="N279" s="172">
        <v>287.39</v>
      </c>
    </row>
    <row r="280" spans="1:14" x14ac:dyDescent="0.25">
      <c r="A280" s="165">
        <v>1598127276</v>
      </c>
      <c r="B280" s="166" t="s">
        <v>723</v>
      </c>
      <c r="C280" s="167">
        <v>265.81</v>
      </c>
      <c r="D280" s="168">
        <v>1.2661</v>
      </c>
      <c r="E280" s="169">
        <v>39.86</v>
      </c>
      <c r="F280" s="169">
        <v>207.61</v>
      </c>
      <c r="G280" s="169">
        <v>20.67</v>
      </c>
      <c r="H280" s="169">
        <v>24.38</v>
      </c>
      <c r="I280" s="170"/>
      <c r="J280" s="167"/>
      <c r="K280" s="167">
        <v>268.14</v>
      </c>
      <c r="L280" s="171"/>
      <c r="M280" s="172">
        <v>37.74</v>
      </c>
      <c r="N280" s="172">
        <v>305.88</v>
      </c>
    </row>
    <row r="281" spans="1:14" x14ac:dyDescent="0.25">
      <c r="A281" s="165">
        <v>1689603060</v>
      </c>
      <c r="B281" s="166" t="s">
        <v>724</v>
      </c>
      <c r="C281" s="167">
        <v>267.5</v>
      </c>
      <c r="D281" s="168">
        <v>1.2859</v>
      </c>
      <c r="E281" s="169">
        <v>39.86</v>
      </c>
      <c r="F281" s="169">
        <v>215</v>
      </c>
      <c r="G281" s="169">
        <v>14.62</v>
      </c>
      <c r="H281" s="169">
        <v>24.38</v>
      </c>
      <c r="I281" s="170"/>
      <c r="J281" s="167"/>
      <c r="K281" s="167">
        <v>269.48</v>
      </c>
      <c r="L281" s="171"/>
      <c r="M281" s="172">
        <v>37.74</v>
      </c>
      <c r="N281" s="172">
        <v>307.22000000000003</v>
      </c>
    </row>
    <row r="282" spans="1:14" x14ac:dyDescent="0.25">
      <c r="A282" s="165">
        <v>1700874880</v>
      </c>
      <c r="B282" s="166" t="s">
        <v>281</v>
      </c>
      <c r="C282" s="167">
        <v>264.64999999999998</v>
      </c>
      <c r="D282" s="168">
        <v>1.1552</v>
      </c>
      <c r="E282" s="169">
        <v>39.86</v>
      </c>
      <c r="F282" s="169">
        <v>203.09</v>
      </c>
      <c r="G282" s="169">
        <v>24.45</v>
      </c>
      <c r="H282" s="169">
        <v>24.38</v>
      </c>
      <c r="I282" s="170"/>
      <c r="J282" s="167"/>
      <c r="K282" s="167">
        <v>267.39999999999998</v>
      </c>
      <c r="L282" s="171"/>
      <c r="M282" s="172">
        <v>37.74</v>
      </c>
      <c r="N282" s="172">
        <v>305.14</v>
      </c>
    </row>
    <row r="283" spans="1:14" x14ac:dyDescent="0.25">
      <c r="A283" s="165">
        <v>1306293170</v>
      </c>
      <c r="B283" s="166" t="s">
        <v>282</v>
      </c>
      <c r="C283" s="167">
        <v>263.38</v>
      </c>
      <c r="D283" s="168">
        <v>1.2746</v>
      </c>
      <c r="E283" s="169">
        <v>39.86</v>
      </c>
      <c r="F283" s="169">
        <v>211.92</v>
      </c>
      <c r="G283" s="169">
        <v>8.35</v>
      </c>
      <c r="H283" s="169">
        <v>24.38</v>
      </c>
      <c r="I283" s="170"/>
      <c r="J283" s="167"/>
      <c r="K283" s="167">
        <v>263.38</v>
      </c>
      <c r="L283" s="171"/>
      <c r="M283" s="172">
        <v>37.74</v>
      </c>
      <c r="N283" s="172">
        <v>301.12</v>
      </c>
    </row>
    <row r="284" spans="1:14" x14ac:dyDescent="0.25">
      <c r="A284" s="165">
        <v>1518968890</v>
      </c>
      <c r="B284" s="166" t="s">
        <v>283</v>
      </c>
      <c r="C284" s="167">
        <v>229.51000000000002</v>
      </c>
      <c r="D284" s="168">
        <v>0.99880000000000002</v>
      </c>
      <c r="E284" s="169">
        <v>39.86</v>
      </c>
      <c r="F284" s="169">
        <v>165.15</v>
      </c>
      <c r="G284" s="169">
        <v>20.53</v>
      </c>
      <c r="H284" s="169">
        <v>0</v>
      </c>
      <c r="I284" s="170"/>
      <c r="J284" s="167"/>
      <c r="K284" s="167">
        <v>229.51000000000002</v>
      </c>
      <c r="L284" s="171"/>
      <c r="M284" s="172">
        <v>37.74</v>
      </c>
      <c r="N284" s="172">
        <v>267.25</v>
      </c>
    </row>
    <row r="285" spans="1:14" x14ac:dyDescent="0.25">
      <c r="A285" s="165">
        <v>1750317897</v>
      </c>
      <c r="B285" s="166" t="s">
        <v>725</v>
      </c>
      <c r="C285" s="167">
        <v>243.47000000000003</v>
      </c>
      <c r="D285" s="168">
        <v>1.1767000000000001</v>
      </c>
      <c r="E285" s="169">
        <v>39.86</v>
      </c>
      <c r="F285" s="169">
        <v>187.19</v>
      </c>
      <c r="G285" s="169">
        <v>14.58</v>
      </c>
      <c r="H285" s="169">
        <v>7.879999999999999</v>
      </c>
      <c r="I285" s="170"/>
      <c r="J285" s="167"/>
      <c r="K285" s="167">
        <v>243.47000000000003</v>
      </c>
      <c r="L285" s="171"/>
      <c r="M285" s="172">
        <v>37.74</v>
      </c>
      <c r="N285" s="172">
        <v>281.21000000000004</v>
      </c>
    </row>
    <row r="286" spans="1:14" x14ac:dyDescent="0.25">
      <c r="A286" s="165">
        <v>1659307395</v>
      </c>
      <c r="B286" s="166" t="s">
        <v>726</v>
      </c>
      <c r="C286" s="167">
        <v>256.31</v>
      </c>
      <c r="D286" s="168">
        <v>1.1914</v>
      </c>
      <c r="E286" s="169">
        <v>39.86</v>
      </c>
      <c r="F286" s="169">
        <v>204.4</v>
      </c>
      <c r="G286" s="169">
        <v>13.92</v>
      </c>
      <c r="H286" s="169">
        <v>24.38</v>
      </c>
      <c r="I286" s="170"/>
      <c r="J286" s="167"/>
      <c r="K286" s="167">
        <v>258.18</v>
      </c>
      <c r="L286" s="171"/>
      <c r="M286" s="172">
        <v>37.74</v>
      </c>
      <c r="N286" s="172">
        <v>295.92</v>
      </c>
    </row>
    <row r="287" spans="1:14" x14ac:dyDescent="0.25">
      <c r="A287" s="165">
        <v>1205252640</v>
      </c>
      <c r="B287" s="166" t="s">
        <v>284</v>
      </c>
      <c r="C287" s="167">
        <v>272.62</v>
      </c>
      <c r="D287" s="168">
        <v>1.3139000000000001</v>
      </c>
      <c r="E287" s="169">
        <v>39.86</v>
      </c>
      <c r="F287" s="169">
        <v>217.64</v>
      </c>
      <c r="G287" s="169">
        <v>12.44</v>
      </c>
      <c r="H287" s="169">
        <v>24.38</v>
      </c>
      <c r="I287" s="170"/>
      <c r="J287" s="167"/>
      <c r="K287" s="167">
        <v>272.62</v>
      </c>
      <c r="L287" s="171"/>
      <c r="M287" s="172">
        <v>37.74</v>
      </c>
      <c r="N287" s="172">
        <v>310.36</v>
      </c>
    </row>
    <row r="288" spans="1:14" x14ac:dyDescent="0.25">
      <c r="A288" s="165">
        <v>1336193754</v>
      </c>
      <c r="B288" s="166" t="s">
        <v>727</v>
      </c>
      <c r="C288" s="167">
        <v>272.40999999999997</v>
      </c>
      <c r="D288" s="168">
        <v>1.2665</v>
      </c>
      <c r="E288" s="169">
        <v>39.86</v>
      </c>
      <c r="F288" s="169">
        <v>197.03</v>
      </c>
      <c r="G288" s="169">
        <v>32.67</v>
      </c>
      <c r="H288" s="169">
        <v>7.879999999999999</v>
      </c>
      <c r="I288" s="170"/>
      <c r="J288" s="167"/>
      <c r="K288" s="167">
        <v>272.40999999999997</v>
      </c>
      <c r="L288" s="171"/>
      <c r="M288" s="172">
        <v>37.74</v>
      </c>
      <c r="N288" s="172">
        <v>310.14999999999998</v>
      </c>
    </row>
    <row r="289" spans="1:14" x14ac:dyDescent="0.25">
      <c r="A289" s="165">
        <v>1568454262</v>
      </c>
      <c r="B289" s="166" t="s">
        <v>285</v>
      </c>
      <c r="C289" s="167">
        <v>246.85999999999999</v>
      </c>
      <c r="D289" s="168">
        <v>1.0239</v>
      </c>
      <c r="E289" s="169">
        <v>39.86</v>
      </c>
      <c r="F289" s="169">
        <v>167.13</v>
      </c>
      <c r="G289" s="169">
        <v>23.77</v>
      </c>
      <c r="H289" s="169">
        <v>0</v>
      </c>
      <c r="I289" s="170"/>
      <c r="J289" s="167"/>
      <c r="K289" s="167">
        <v>246.85999999999999</v>
      </c>
      <c r="L289" s="171"/>
      <c r="M289" s="172">
        <v>37.74</v>
      </c>
      <c r="N289" s="172">
        <v>284.59999999999997</v>
      </c>
    </row>
    <row r="290" spans="1:14" x14ac:dyDescent="0.25">
      <c r="A290" s="165">
        <v>1811920267</v>
      </c>
      <c r="B290" s="166" t="s">
        <v>286</v>
      </c>
      <c r="C290" s="167">
        <v>278.23</v>
      </c>
      <c r="D290" s="168">
        <v>1.3717999999999999</v>
      </c>
      <c r="E290" s="169">
        <v>39.86</v>
      </c>
      <c r="F290" s="169">
        <v>221.74</v>
      </c>
      <c r="G290" s="169">
        <v>15.64</v>
      </c>
      <c r="H290" s="169">
        <v>24.38</v>
      </c>
      <c r="I290" s="170"/>
      <c r="J290" s="167"/>
      <c r="K290" s="167">
        <v>278.23</v>
      </c>
      <c r="L290" s="171"/>
      <c r="M290" s="172">
        <v>37.74</v>
      </c>
      <c r="N290" s="172">
        <v>315.97000000000003</v>
      </c>
    </row>
    <row r="291" spans="1:14" x14ac:dyDescent="0.25">
      <c r="A291" s="165">
        <v>1669023685</v>
      </c>
      <c r="B291" s="166" t="s">
        <v>287</v>
      </c>
      <c r="C291" s="167">
        <v>266.70999999999998</v>
      </c>
      <c r="D291" s="168">
        <v>1.1512</v>
      </c>
      <c r="E291" s="169">
        <v>39.86</v>
      </c>
      <c r="F291" s="169">
        <v>204</v>
      </c>
      <c r="G291" s="169">
        <v>26.93</v>
      </c>
      <c r="H291" s="169">
        <v>24.38</v>
      </c>
      <c r="I291" s="170"/>
      <c r="J291" s="167"/>
      <c r="K291" s="167">
        <v>270.79000000000002</v>
      </c>
      <c r="L291" s="171"/>
      <c r="M291" s="172">
        <v>37.74</v>
      </c>
      <c r="N291" s="172">
        <v>308.53000000000003</v>
      </c>
    </row>
    <row r="292" spans="1:14" x14ac:dyDescent="0.25">
      <c r="A292" s="165">
        <v>1053380626</v>
      </c>
      <c r="B292" s="166" t="s">
        <v>288</v>
      </c>
      <c r="C292" s="167">
        <v>272.42</v>
      </c>
      <c r="D292" s="168">
        <v>1.2743</v>
      </c>
      <c r="E292" s="169">
        <v>39.86</v>
      </c>
      <c r="F292" s="169">
        <v>213.73</v>
      </c>
      <c r="G292" s="169">
        <v>15.3</v>
      </c>
      <c r="H292" s="169">
        <v>24.38</v>
      </c>
      <c r="I292" s="170"/>
      <c r="J292" s="167"/>
      <c r="K292" s="167">
        <v>272.42</v>
      </c>
      <c r="L292" s="171"/>
      <c r="M292" s="172">
        <v>37.74</v>
      </c>
      <c r="N292" s="172">
        <v>310.16000000000003</v>
      </c>
    </row>
    <row r="293" spans="1:14" x14ac:dyDescent="0.25">
      <c r="A293" s="165">
        <v>1346241627</v>
      </c>
      <c r="B293" s="166" t="s">
        <v>289</v>
      </c>
      <c r="C293" s="167">
        <v>243.95</v>
      </c>
      <c r="D293" s="168">
        <v>1.1695</v>
      </c>
      <c r="E293" s="169">
        <v>39.86</v>
      </c>
      <c r="F293" s="169">
        <v>181.92</v>
      </c>
      <c r="G293" s="169">
        <v>24.05</v>
      </c>
      <c r="H293" s="169">
        <v>0</v>
      </c>
      <c r="I293" s="170"/>
      <c r="J293" s="167"/>
      <c r="K293" s="167">
        <v>245.83</v>
      </c>
      <c r="L293" s="171"/>
      <c r="M293" s="172">
        <v>37.74</v>
      </c>
      <c r="N293" s="172">
        <v>283.57</v>
      </c>
    </row>
    <row r="294" spans="1:14" x14ac:dyDescent="0.25">
      <c r="A294" s="165">
        <v>1316921190</v>
      </c>
      <c r="B294" s="166" t="s">
        <v>728</v>
      </c>
      <c r="C294" s="167">
        <v>275.90999999999997</v>
      </c>
      <c r="D294" s="168">
        <v>1.4402999999999999</v>
      </c>
      <c r="E294" s="169">
        <v>39.86</v>
      </c>
      <c r="F294" s="169">
        <v>207.98</v>
      </c>
      <c r="G294" s="169">
        <v>29.23</v>
      </c>
      <c r="H294" s="169">
        <v>7.879999999999999</v>
      </c>
      <c r="I294" s="170"/>
      <c r="J294" s="167"/>
      <c r="K294" s="167">
        <v>277.07</v>
      </c>
      <c r="L294" s="171"/>
      <c r="M294" s="172">
        <v>37.74</v>
      </c>
      <c r="N294" s="172">
        <v>314.81</v>
      </c>
    </row>
    <row r="295" spans="1:14" x14ac:dyDescent="0.25">
      <c r="A295" s="165">
        <v>1740278126</v>
      </c>
      <c r="B295" s="166" t="s">
        <v>729</v>
      </c>
      <c r="C295" s="167">
        <v>262.94</v>
      </c>
      <c r="D295" s="168">
        <v>1.2745</v>
      </c>
      <c r="E295" s="169">
        <v>39.86</v>
      </c>
      <c r="F295" s="169">
        <v>212.03</v>
      </c>
      <c r="G295" s="169">
        <v>8.76</v>
      </c>
      <c r="H295" s="169">
        <v>24.38</v>
      </c>
      <c r="I295" s="170"/>
      <c r="J295" s="167"/>
      <c r="K295" s="167">
        <v>262.94</v>
      </c>
      <c r="L295" s="171"/>
      <c r="M295" s="172">
        <v>37.74</v>
      </c>
      <c r="N295" s="172">
        <v>300.68</v>
      </c>
    </row>
    <row r="296" spans="1:14" x14ac:dyDescent="0.25">
      <c r="A296" s="165">
        <v>1740386473</v>
      </c>
      <c r="B296" s="166" t="s">
        <v>290</v>
      </c>
      <c r="C296" s="167">
        <v>258.02999999999997</v>
      </c>
      <c r="D296" s="168">
        <v>0.97689999999999999</v>
      </c>
      <c r="E296" s="169">
        <v>39.86</v>
      </c>
      <c r="F296" s="169">
        <v>187.67</v>
      </c>
      <c r="G296" s="169">
        <v>34.14</v>
      </c>
      <c r="H296" s="169">
        <v>24.38</v>
      </c>
      <c r="I296" s="170"/>
      <c r="J296" s="167"/>
      <c r="K296" s="167">
        <v>261.67</v>
      </c>
      <c r="L296" s="171"/>
      <c r="M296" s="172">
        <v>37.74</v>
      </c>
      <c r="N296" s="172">
        <v>299.41000000000003</v>
      </c>
    </row>
    <row r="297" spans="1:14" x14ac:dyDescent="0.25">
      <c r="A297" s="165">
        <v>1689628141</v>
      </c>
      <c r="B297" s="166" t="s">
        <v>291</v>
      </c>
      <c r="C297" s="167">
        <v>267.31</v>
      </c>
      <c r="D297" s="168">
        <v>1.2149000000000001</v>
      </c>
      <c r="E297" s="169">
        <v>39.86</v>
      </c>
      <c r="F297" s="169">
        <v>207.96</v>
      </c>
      <c r="G297" s="169">
        <v>21.02</v>
      </c>
      <c r="H297" s="169">
        <v>24.38</v>
      </c>
      <c r="I297" s="170"/>
      <c r="J297" s="167"/>
      <c r="K297" s="167">
        <v>268.83999999999997</v>
      </c>
      <c r="L297" s="171"/>
      <c r="M297" s="172">
        <v>37.74</v>
      </c>
      <c r="N297" s="172">
        <v>306.58</v>
      </c>
    </row>
    <row r="298" spans="1:14" x14ac:dyDescent="0.25">
      <c r="A298" s="165">
        <v>1316351034</v>
      </c>
      <c r="B298" s="166" t="s">
        <v>730</v>
      </c>
      <c r="C298" s="167">
        <v>262.96999999999997</v>
      </c>
      <c r="D298" s="168">
        <v>1.1657</v>
      </c>
      <c r="E298" s="169">
        <v>39.86</v>
      </c>
      <c r="F298" s="169">
        <v>200.77</v>
      </c>
      <c r="G298" s="169">
        <v>24.38</v>
      </c>
      <c r="H298" s="169">
        <v>24.38</v>
      </c>
      <c r="I298" s="170"/>
      <c r="J298" s="167"/>
      <c r="K298" s="167">
        <v>265.01</v>
      </c>
      <c r="L298" s="171"/>
      <c r="M298" s="172">
        <v>37.74</v>
      </c>
      <c r="N298" s="172">
        <v>302.75</v>
      </c>
    </row>
    <row r="299" spans="1:14" x14ac:dyDescent="0.25">
      <c r="A299" s="165">
        <v>1437564739</v>
      </c>
      <c r="B299" s="166" t="s">
        <v>731</v>
      </c>
      <c r="C299" s="167">
        <v>282.61</v>
      </c>
      <c r="D299" s="168">
        <v>1.2623</v>
      </c>
      <c r="E299" s="169">
        <v>39.86</v>
      </c>
      <c r="F299" s="169">
        <v>210.69</v>
      </c>
      <c r="G299" s="169">
        <v>24.55</v>
      </c>
      <c r="H299" s="169">
        <v>24.38</v>
      </c>
      <c r="I299" s="170"/>
      <c r="J299" s="167"/>
      <c r="K299" s="167">
        <v>282.61</v>
      </c>
      <c r="L299" s="171"/>
      <c r="M299" s="172">
        <v>37.74</v>
      </c>
      <c r="N299" s="172">
        <v>320.35000000000002</v>
      </c>
    </row>
    <row r="300" spans="1:14" x14ac:dyDescent="0.25">
      <c r="A300" s="165">
        <v>1649685132</v>
      </c>
      <c r="B300" s="166" t="s">
        <v>732</v>
      </c>
      <c r="C300" s="167">
        <v>268.69</v>
      </c>
      <c r="D300" s="168">
        <v>1.0851999999999999</v>
      </c>
      <c r="E300" s="169">
        <v>39.86</v>
      </c>
      <c r="F300" s="169">
        <v>196.35</v>
      </c>
      <c r="G300" s="169">
        <v>25.15</v>
      </c>
      <c r="H300" s="169">
        <v>24.38</v>
      </c>
      <c r="I300" s="170"/>
      <c r="J300" s="167"/>
      <c r="K300" s="167">
        <v>268.69</v>
      </c>
      <c r="L300" s="171"/>
      <c r="M300" s="172">
        <v>37.74</v>
      </c>
      <c r="N300" s="172">
        <v>306.43</v>
      </c>
    </row>
    <row r="301" spans="1:14" x14ac:dyDescent="0.25">
      <c r="A301" s="165">
        <v>1063838381</v>
      </c>
      <c r="B301" s="166" t="s">
        <v>292</v>
      </c>
      <c r="C301" s="167">
        <v>273.07</v>
      </c>
      <c r="D301" s="168">
        <v>1.3228</v>
      </c>
      <c r="E301" s="169">
        <v>39.86</v>
      </c>
      <c r="F301" s="169">
        <v>214.63</v>
      </c>
      <c r="G301" s="169">
        <v>19.95</v>
      </c>
      <c r="H301" s="169">
        <v>24.38</v>
      </c>
      <c r="I301" s="170"/>
      <c r="J301" s="167"/>
      <c r="K301" s="167">
        <v>274.44</v>
      </c>
      <c r="L301" s="171"/>
      <c r="M301" s="172">
        <v>37.74</v>
      </c>
      <c r="N301" s="172">
        <v>312.18</v>
      </c>
    </row>
    <row r="302" spans="1:14" x14ac:dyDescent="0.25">
      <c r="A302" s="165">
        <v>1003869983</v>
      </c>
      <c r="B302" s="166" t="s">
        <v>733</v>
      </c>
      <c r="C302" s="167">
        <v>221.3</v>
      </c>
      <c r="D302" s="168">
        <v>0.97399999999999998</v>
      </c>
      <c r="E302" s="169">
        <v>39.86</v>
      </c>
      <c r="F302" s="169">
        <v>170.91</v>
      </c>
      <c r="G302" s="169">
        <v>8.61</v>
      </c>
      <c r="H302" s="169">
        <v>7.879999999999999</v>
      </c>
      <c r="I302" s="170"/>
      <c r="J302" s="167"/>
      <c r="K302" s="167">
        <v>221.3</v>
      </c>
      <c r="L302" s="171"/>
      <c r="M302" s="172">
        <v>37.74</v>
      </c>
      <c r="N302" s="172">
        <v>259.04000000000002</v>
      </c>
    </row>
    <row r="303" spans="1:14" x14ac:dyDescent="0.25">
      <c r="A303" s="165">
        <v>1093708497</v>
      </c>
      <c r="B303" s="166" t="s">
        <v>293</v>
      </c>
      <c r="C303" s="167">
        <v>243.09999999999997</v>
      </c>
      <c r="D303" s="168">
        <v>1.2806999999999999</v>
      </c>
      <c r="E303" s="169">
        <v>39.86</v>
      </c>
      <c r="F303" s="169">
        <v>195.32</v>
      </c>
      <c r="G303" s="169">
        <v>14.55</v>
      </c>
      <c r="H303" s="169">
        <v>7.879999999999999</v>
      </c>
      <c r="I303" s="170"/>
      <c r="J303" s="167"/>
      <c r="K303" s="167">
        <v>249.73</v>
      </c>
      <c r="L303" s="171"/>
      <c r="M303" s="172">
        <v>37.74</v>
      </c>
      <c r="N303" s="172">
        <v>287.46999999999997</v>
      </c>
    </row>
    <row r="304" spans="1:14" x14ac:dyDescent="0.25">
      <c r="A304" s="165">
        <v>1295733517</v>
      </c>
      <c r="B304" s="166" t="s">
        <v>294</v>
      </c>
      <c r="C304" s="167">
        <v>270.26</v>
      </c>
      <c r="D304" s="168">
        <v>1.2492000000000001</v>
      </c>
      <c r="E304" s="169">
        <v>39.86</v>
      </c>
      <c r="F304" s="169">
        <v>210.75</v>
      </c>
      <c r="G304" s="169">
        <v>17.95</v>
      </c>
      <c r="H304" s="169">
        <v>24.38</v>
      </c>
      <c r="I304" s="170"/>
      <c r="J304" s="167"/>
      <c r="K304" s="167">
        <v>270.26</v>
      </c>
      <c r="L304" s="171"/>
      <c r="M304" s="172">
        <v>37.74</v>
      </c>
      <c r="N304" s="172">
        <v>308</v>
      </c>
    </row>
    <row r="305" spans="1:14" x14ac:dyDescent="0.25">
      <c r="A305" s="165">
        <v>1649268335</v>
      </c>
      <c r="B305" s="166" t="s">
        <v>734</v>
      </c>
      <c r="C305" s="167">
        <v>239.36</v>
      </c>
      <c r="D305" s="168">
        <v>1.2306999999999999</v>
      </c>
      <c r="E305" s="169">
        <v>39.86</v>
      </c>
      <c r="F305" s="169">
        <v>192.85</v>
      </c>
      <c r="G305" s="169">
        <v>8.98</v>
      </c>
      <c r="H305" s="169">
        <v>7.879999999999999</v>
      </c>
      <c r="I305" s="170"/>
      <c r="J305" s="167"/>
      <c r="K305" s="167">
        <v>241.69</v>
      </c>
      <c r="L305" s="171"/>
      <c r="M305" s="172">
        <v>37.74</v>
      </c>
      <c r="N305" s="172">
        <v>279.43</v>
      </c>
    </row>
    <row r="306" spans="1:14" x14ac:dyDescent="0.25">
      <c r="A306" s="165">
        <v>1861504946</v>
      </c>
      <c r="B306" s="166" t="s">
        <v>735</v>
      </c>
      <c r="C306" s="167">
        <v>281.43</v>
      </c>
      <c r="D306" s="168">
        <v>1.3121</v>
      </c>
      <c r="E306" s="169">
        <v>39.86</v>
      </c>
      <c r="F306" s="169">
        <v>215.8</v>
      </c>
      <c r="G306" s="169">
        <v>28.39</v>
      </c>
      <c r="H306" s="169">
        <v>24.38</v>
      </c>
      <c r="I306" s="170"/>
      <c r="J306" s="167"/>
      <c r="K306" s="167">
        <v>284.05</v>
      </c>
      <c r="L306" s="171"/>
      <c r="M306" s="172">
        <v>37.74</v>
      </c>
      <c r="N306" s="172">
        <v>321.79000000000002</v>
      </c>
    </row>
    <row r="307" spans="1:14" x14ac:dyDescent="0.25">
      <c r="A307" s="165">
        <v>1053395210</v>
      </c>
      <c r="B307" s="166" t="s">
        <v>295</v>
      </c>
      <c r="C307" s="167">
        <v>257.55</v>
      </c>
      <c r="D307" s="168">
        <v>1.2189000000000001</v>
      </c>
      <c r="E307" s="169">
        <v>39.86</v>
      </c>
      <c r="F307" s="169">
        <v>209.66</v>
      </c>
      <c r="G307" s="169">
        <v>8.43</v>
      </c>
      <c r="H307" s="169">
        <v>24.38</v>
      </c>
      <c r="I307" s="170"/>
      <c r="J307" s="167"/>
      <c r="K307" s="167">
        <v>257.95</v>
      </c>
      <c r="L307" s="171"/>
      <c r="M307" s="172">
        <v>37.74</v>
      </c>
      <c r="N307" s="172">
        <v>295.69</v>
      </c>
    </row>
    <row r="308" spans="1:14" x14ac:dyDescent="0.25">
      <c r="A308" s="165">
        <v>1043263981</v>
      </c>
      <c r="B308" s="166" t="s">
        <v>296</v>
      </c>
      <c r="C308" s="167">
        <v>260.11</v>
      </c>
      <c r="D308" s="168">
        <v>1.1637999999999999</v>
      </c>
      <c r="E308" s="169">
        <v>39.86</v>
      </c>
      <c r="F308" s="169">
        <v>203.91</v>
      </c>
      <c r="G308" s="169">
        <v>14.44</v>
      </c>
      <c r="H308" s="169">
        <v>24.38</v>
      </c>
      <c r="I308" s="170"/>
      <c r="J308" s="167"/>
      <c r="K308" s="167">
        <v>260.11</v>
      </c>
      <c r="L308" s="171"/>
      <c r="M308" s="172">
        <v>37.74</v>
      </c>
      <c r="N308" s="172">
        <v>297.85000000000002</v>
      </c>
    </row>
    <row r="309" spans="1:14" x14ac:dyDescent="0.25">
      <c r="A309" s="165">
        <v>1003205337</v>
      </c>
      <c r="B309" s="166" t="s">
        <v>736</v>
      </c>
      <c r="C309" s="167">
        <v>282.48</v>
      </c>
      <c r="D309" s="168">
        <v>1.2404999999999999</v>
      </c>
      <c r="E309" s="169">
        <v>39.86</v>
      </c>
      <c r="F309" s="169">
        <v>209.97</v>
      </c>
      <c r="G309" s="169">
        <v>36.729999999999997</v>
      </c>
      <c r="H309" s="169">
        <v>24.38</v>
      </c>
      <c r="I309" s="170"/>
      <c r="J309" s="167"/>
      <c r="K309" s="167">
        <v>286.55</v>
      </c>
      <c r="L309" s="171"/>
      <c r="M309" s="172">
        <v>37.74</v>
      </c>
      <c r="N309" s="172">
        <v>324.29000000000002</v>
      </c>
    </row>
    <row r="310" spans="1:14" x14ac:dyDescent="0.25">
      <c r="A310" s="165">
        <v>1184712580</v>
      </c>
      <c r="B310" s="166" t="s">
        <v>297</v>
      </c>
      <c r="C310" s="167">
        <v>230.76000000000002</v>
      </c>
      <c r="D310" s="168">
        <v>1.0741000000000001</v>
      </c>
      <c r="E310" s="169">
        <v>39.86</v>
      </c>
      <c r="F310" s="169">
        <v>173.14</v>
      </c>
      <c r="G310" s="169">
        <v>20.14</v>
      </c>
      <c r="H310" s="169">
        <v>0</v>
      </c>
      <c r="I310" s="170"/>
      <c r="J310" s="167"/>
      <c r="K310" s="167">
        <v>233.14</v>
      </c>
      <c r="L310" s="171"/>
      <c r="M310" s="172">
        <v>37.74</v>
      </c>
      <c r="N310" s="172">
        <v>270.88</v>
      </c>
    </row>
    <row r="311" spans="1:14" x14ac:dyDescent="0.25">
      <c r="A311" s="165">
        <v>1407843097</v>
      </c>
      <c r="B311" s="166" t="s">
        <v>298</v>
      </c>
      <c r="C311" s="167">
        <v>249.21</v>
      </c>
      <c r="D311" s="168">
        <v>1.2248000000000001</v>
      </c>
      <c r="E311" s="169">
        <v>39.86</v>
      </c>
      <c r="F311" s="169">
        <v>186</v>
      </c>
      <c r="G311" s="169">
        <v>27.32</v>
      </c>
      <c r="H311" s="169">
        <v>0</v>
      </c>
      <c r="I311" s="170"/>
      <c r="J311" s="167"/>
      <c r="K311" s="167">
        <v>253.18</v>
      </c>
      <c r="L311" s="171"/>
      <c r="M311" s="172">
        <v>37.74</v>
      </c>
      <c r="N311" s="172">
        <v>290.92</v>
      </c>
    </row>
    <row r="312" spans="1:14" x14ac:dyDescent="0.25">
      <c r="A312" s="165">
        <v>1891346797</v>
      </c>
      <c r="B312" s="166" t="s">
        <v>299</v>
      </c>
      <c r="C312" s="167">
        <v>271.05</v>
      </c>
      <c r="D312" s="168">
        <v>1.1519999999999999</v>
      </c>
      <c r="E312" s="169">
        <v>39.86</v>
      </c>
      <c r="F312" s="169">
        <v>202.78</v>
      </c>
      <c r="G312" s="169">
        <v>25.75</v>
      </c>
      <c r="H312" s="169">
        <v>24.38</v>
      </c>
      <c r="I312" s="170"/>
      <c r="J312" s="167"/>
      <c r="K312" s="167">
        <v>271.05</v>
      </c>
      <c r="L312" s="171"/>
      <c r="M312" s="172">
        <v>37.74</v>
      </c>
      <c r="N312" s="172">
        <v>308.79000000000002</v>
      </c>
    </row>
    <row r="313" spans="1:14" x14ac:dyDescent="0.25">
      <c r="A313" s="165">
        <v>1629511597</v>
      </c>
      <c r="B313" s="166" t="s">
        <v>300</v>
      </c>
      <c r="C313" s="167">
        <v>236.4</v>
      </c>
      <c r="D313" s="168">
        <v>0.90129999999999999</v>
      </c>
      <c r="E313" s="169">
        <v>39.86</v>
      </c>
      <c r="F313" s="169">
        <v>182.11</v>
      </c>
      <c r="G313" s="169">
        <v>10.85</v>
      </c>
      <c r="H313" s="169">
        <v>24.38</v>
      </c>
      <c r="I313" s="170"/>
      <c r="J313" s="167"/>
      <c r="K313" s="167">
        <v>236.4</v>
      </c>
      <c r="L313" s="171"/>
      <c r="M313" s="172">
        <v>37.74</v>
      </c>
      <c r="N313" s="172">
        <v>274.14</v>
      </c>
    </row>
    <row r="314" spans="1:14" x14ac:dyDescent="0.25">
      <c r="A314" s="165">
        <v>1164725198</v>
      </c>
      <c r="B314" s="166" t="s">
        <v>737</v>
      </c>
      <c r="C314" s="167">
        <v>282.96999999999997</v>
      </c>
      <c r="D314" s="168">
        <v>1.4256</v>
      </c>
      <c r="E314" s="169">
        <v>39.86</v>
      </c>
      <c r="F314" s="169">
        <v>226.56</v>
      </c>
      <c r="G314" s="169">
        <v>14.93</v>
      </c>
      <c r="H314" s="169">
        <v>24.38</v>
      </c>
      <c r="I314" s="170"/>
      <c r="J314" s="167"/>
      <c r="K314" s="167">
        <v>282.96999999999997</v>
      </c>
      <c r="L314" s="171"/>
      <c r="M314" s="172">
        <v>37.74</v>
      </c>
      <c r="N314" s="172">
        <v>320.70999999999998</v>
      </c>
    </row>
    <row r="315" spans="1:14" x14ac:dyDescent="0.25">
      <c r="A315" s="165">
        <v>1710244827</v>
      </c>
      <c r="B315" s="166" t="s">
        <v>738</v>
      </c>
      <c r="C315" s="167">
        <v>293.01</v>
      </c>
      <c r="D315" s="168">
        <v>1.3199000000000001</v>
      </c>
      <c r="E315" s="169">
        <v>39.86</v>
      </c>
      <c r="F315" s="169">
        <v>220.3</v>
      </c>
      <c r="G315" s="169">
        <v>38.99</v>
      </c>
      <c r="H315" s="169">
        <v>24.38</v>
      </c>
      <c r="I315" s="170"/>
      <c r="J315" s="167"/>
      <c r="K315" s="167">
        <v>299.14999999999998</v>
      </c>
      <c r="L315" s="171"/>
      <c r="M315" s="172">
        <v>37.74</v>
      </c>
      <c r="N315" s="172">
        <v>336.89</v>
      </c>
    </row>
    <row r="316" spans="1:14" x14ac:dyDescent="0.25">
      <c r="A316" s="165">
        <v>1821414269</v>
      </c>
      <c r="B316" s="166" t="s">
        <v>301</v>
      </c>
      <c r="C316" s="167">
        <v>267.04000000000002</v>
      </c>
      <c r="D316" s="168">
        <v>1.23</v>
      </c>
      <c r="E316" s="169">
        <v>39.86</v>
      </c>
      <c r="F316" s="169">
        <v>205.91</v>
      </c>
      <c r="G316" s="169">
        <v>21.52</v>
      </c>
      <c r="H316" s="169">
        <v>24.38</v>
      </c>
      <c r="I316" s="170"/>
      <c r="J316" s="167"/>
      <c r="K316" s="167">
        <v>267.29000000000002</v>
      </c>
      <c r="L316" s="171"/>
      <c r="M316" s="172">
        <v>37.74</v>
      </c>
      <c r="N316" s="172">
        <v>305.03000000000003</v>
      </c>
    </row>
    <row r="317" spans="1:14" x14ac:dyDescent="0.25">
      <c r="A317" s="165">
        <v>1225588536</v>
      </c>
      <c r="B317" s="166" t="s">
        <v>516</v>
      </c>
      <c r="C317" s="167">
        <v>270.64</v>
      </c>
      <c r="D317" s="168">
        <v>1.1149</v>
      </c>
      <c r="E317" s="169">
        <v>39.86</v>
      </c>
      <c r="F317" s="169">
        <v>198.49</v>
      </c>
      <c r="G317" s="169">
        <v>21.59</v>
      </c>
      <c r="H317" s="169">
        <v>24.38</v>
      </c>
      <c r="I317" s="170"/>
      <c r="J317" s="167"/>
      <c r="K317" s="167">
        <v>270.64</v>
      </c>
      <c r="L317" s="171"/>
      <c r="M317" s="172">
        <v>37.74</v>
      </c>
      <c r="N317" s="172">
        <v>308.38</v>
      </c>
    </row>
    <row r="318" spans="1:14" x14ac:dyDescent="0.25">
      <c r="A318" s="165">
        <v>1346851052</v>
      </c>
      <c r="B318" s="166" t="s">
        <v>739</v>
      </c>
      <c r="C318" s="167">
        <v>265.55</v>
      </c>
      <c r="D318" s="168">
        <v>1.1946000000000001</v>
      </c>
      <c r="E318" s="169">
        <v>39.86</v>
      </c>
      <c r="F318" s="169">
        <v>206.29</v>
      </c>
      <c r="G318" s="169">
        <v>13.8</v>
      </c>
      <c r="H318" s="169">
        <v>24.38</v>
      </c>
      <c r="I318" s="170"/>
      <c r="J318" s="167"/>
      <c r="K318" s="167">
        <v>265.55</v>
      </c>
      <c r="L318" s="171"/>
      <c r="M318" s="172">
        <v>37.74</v>
      </c>
      <c r="N318" s="172">
        <v>303.29000000000002</v>
      </c>
    </row>
    <row r="319" spans="1:14" x14ac:dyDescent="0.25">
      <c r="A319" s="165">
        <v>1225654098</v>
      </c>
      <c r="B319" s="166" t="s">
        <v>740</v>
      </c>
      <c r="C319" s="167">
        <v>257.24</v>
      </c>
      <c r="D319" s="168">
        <v>1.1792108485224528</v>
      </c>
      <c r="E319" s="169">
        <v>39.86</v>
      </c>
      <c r="F319" s="169">
        <v>203.72</v>
      </c>
      <c r="G319" s="169">
        <v>15.38</v>
      </c>
      <c r="H319" s="169">
        <v>24.38</v>
      </c>
      <c r="I319" s="170"/>
      <c r="J319" s="167"/>
      <c r="K319" s="167">
        <v>258.95999999999998</v>
      </c>
      <c r="L319" s="171"/>
      <c r="M319" s="172">
        <v>37.74</v>
      </c>
      <c r="N319" s="172">
        <v>296.7</v>
      </c>
    </row>
    <row r="320" spans="1:14" x14ac:dyDescent="0.25">
      <c r="A320" s="165">
        <v>1174149934</v>
      </c>
      <c r="B320" s="166" t="s">
        <v>741</v>
      </c>
      <c r="C320" s="167">
        <v>258.18</v>
      </c>
      <c r="D320" s="168">
        <v>1.4875</v>
      </c>
      <c r="E320" s="169">
        <v>39.86</v>
      </c>
      <c r="F320" s="169">
        <v>227.41</v>
      </c>
      <c r="G320" s="169">
        <v>13.3</v>
      </c>
      <c r="H320" s="169">
        <v>24.38</v>
      </c>
      <c r="I320" s="170"/>
      <c r="J320" s="167"/>
      <c r="K320" s="167">
        <v>280.57</v>
      </c>
      <c r="L320" s="171"/>
      <c r="M320" s="172">
        <v>37.74</v>
      </c>
      <c r="N320" s="172">
        <v>318.31</v>
      </c>
    </row>
    <row r="321" spans="1:14" x14ac:dyDescent="0.25">
      <c r="A321" s="165">
        <v>1922611102</v>
      </c>
      <c r="B321" s="166" t="s">
        <v>742</v>
      </c>
      <c r="C321" s="167">
        <v>233.38</v>
      </c>
      <c r="D321" s="168">
        <v>1.2544999999999999</v>
      </c>
      <c r="E321" s="169">
        <v>39.86</v>
      </c>
      <c r="F321" s="169">
        <v>197.21</v>
      </c>
      <c r="G321" s="169">
        <v>8.65</v>
      </c>
      <c r="H321" s="169">
        <v>7.879999999999999</v>
      </c>
      <c r="I321" s="170"/>
      <c r="J321" s="167"/>
      <c r="K321" s="167">
        <v>245.72</v>
      </c>
      <c r="L321" s="171"/>
      <c r="M321" s="172">
        <v>37.74</v>
      </c>
      <c r="N321" s="172">
        <v>283.45999999999998</v>
      </c>
    </row>
    <row r="322" spans="1:14" x14ac:dyDescent="0.25">
      <c r="A322" s="165">
        <v>1861003485</v>
      </c>
      <c r="B322" s="166" t="s">
        <v>302</v>
      </c>
      <c r="C322" s="167">
        <v>259.12</v>
      </c>
      <c r="D322" s="168">
        <v>1.2517</v>
      </c>
      <c r="E322" s="169">
        <v>39.86</v>
      </c>
      <c r="F322" s="169">
        <v>210.94</v>
      </c>
      <c r="G322" s="169">
        <v>9.5</v>
      </c>
      <c r="H322" s="169">
        <v>24.38</v>
      </c>
      <c r="I322" s="170"/>
      <c r="J322" s="167"/>
      <c r="K322" s="167">
        <v>260.3</v>
      </c>
      <c r="L322" s="171"/>
      <c r="M322" s="172">
        <v>37.74</v>
      </c>
      <c r="N322" s="172">
        <v>298.04000000000002</v>
      </c>
    </row>
    <row r="323" spans="1:14" x14ac:dyDescent="0.25">
      <c r="A323" s="165">
        <v>1669083291</v>
      </c>
      <c r="B323" s="166" t="s">
        <v>743</v>
      </c>
      <c r="C323" s="167">
        <v>245.87</v>
      </c>
      <c r="D323" s="168">
        <v>1.1207</v>
      </c>
      <c r="E323" s="169">
        <v>39.86</v>
      </c>
      <c r="F323" s="169">
        <v>199.15</v>
      </c>
      <c r="G323" s="169">
        <v>8.43</v>
      </c>
      <c r="H323" s="169">
        <v>24.38</v>
      </c>
      <c r="I323" s="170"/>
      <c r="J323" s="167"/>
      <c r="K323" s="167">
        <v>247.44</v>
      </c>
      <c r="L323" s="171"/>
      <c r="M323" s="172">
        <v>37.74</v>
      </c>
      <c r="N323" s="172">
        <v>285.18</v>
      </c>
    </row>
    <row r="324" spans="1:14" x14ac:dyDescent="0.25">
      <c r="A324" s="165">
        <v>1699313544</v>
      </c>
      <c r="B324" s="166" t="s">
        <v>303</v>
      </c>
      <c r="C324" s="167">
        <v>254.70999999999998</v>
      </c>
      <c r="D324" s="168">
        <v>1.0502</v>
      </c>
      <c r="E324" s="169">
        <v>39.86</v>
      </c>
      <c r="F324" s="169">
        <v>194</v>
      </c>
      <c r="G324" s="169">
        <v>23.44</v>
      </c>
      <c r="H324" s="169">
        <v>24.38</v>
      </c>
      <c r="I324" s="170"/>
      <c r="J324" s="167"/>
      <c r="K324" s="167">
        <v>257.3</v>
      </c>
      <c r="L324" s="171"/>
      <c r="M324" s="172">
        <v>37.74</v>
      </c>
      <c r="N324" s="172">
        <v>295.04000000000002</v>
      </c>
    </row>
    <row r="325" spans="1:14" x14ac:dyDescent="0.25">
      <c r="A325" s="165">
        <v>1336602358</v>
      </c>
      <c r="B325" s="166" t="s">
        <v>304</v>
      </c>
      <c r="C325" s="167">
        <v>263.64999999999998</v>
      </c>
      <c r="D325" s="168">
        <v>1.0822000000000001</v>
      </c>
      <c r="E325" s="169">
        <v>39.86</v>
      </c>
      <c r="F325" s="169">
        <v>196.98</v>
      </c>
      <c r="G325" s="169">
        <v>22.12</v>
      </c>
      <c r="H325" s="169">
        <v>24.38</v>
      </c>
      <c r="I325" s="170"/>
      <c r="J325" s="167"/>
      <c r="K325" s="167">
        <v>263.64999999999998</v>
      </c>
      <c r="L325" s="171"/>
      <c r="M325" s="172">
        <v>37.74</v>
      </c>
      <c r="N325" s="172">
        <v>301.39</v>
      </c>
    </row>
    <row r="326" spans="1:14" x14ac:dyDescent="0.25">
      <c r="A326" s="165">
        <v>1144868092</v>
      </c>
      <c r="B326" s="166" t="s">
        <v>305</v>
      </c>
      <c r="C326" s="167">
        <v>256.04000000000002</v>
      </c>
      <c r="D326" s="168">
        <v>0.56999999999999995</v>
      </c>
      <c r="E326" s="169">
        <v>39.86</v>
      </c>
      <c r="F326" s="169">
        <v>149.78</v>
      </c>
      <c r="G326" s="169">
        <v>18.82</v>
      </c>
      <c r="H326" s="169">
        <v>24.38</v>
      </c>
      <c r="I326" s="170"/>
      <c r="J326" s="167"/>
      <c r="K326" s="167">
        <v>256.04000000000002</v>
      </c>
      <c r="L326" s="171"/>
      <c r="M326" s="172">
        <v>37.74</v>
      </c>
      <c r="N326" s="172">
        <v>293.78000000000003</v>
      </c>
    </row>
    <row r="327" spans="1:14" x14ac:dyDescent="0.25">
      <c r="A327" s="165">
        <v>1821551797</v>
      </c>
      <c r="B327" s="166" t="s">
        <v>306</v>
      </c>
      <c r="C327" s="167">
        <v>236.12</v>
      </c>
      <c r="D327" s="168">
        <v>1.1152</v>
      </c>
      <c r="E327" s="169">
        <v>39.86</v>
      </c>
      <c r="F327" s="169">
        <v>182.4</v>
      </c>
      <c r="G327" s="169">
        <v>12.52</v>
      </c>
      <c r="H327" s="169">
        <v>7.879999999999999</v>
      </c>
      <c r="I327" s="170"/>
      <c r="J327" s="167"/>
      <c r="K327" s="167">
        <v>236.12</v>
      </c>
      <c r="L327" s="171"/>
      <c r="M327" s="172">
        <v>37.74</v>
      </c>
      <c r="N327" s="172">
        <v>273.86</v>
      </c>
    </row>
    <row r="328" spans="1:14" x14ac:dyDescent="0.25">
      <c r="A328" s="165">
        <v>1194381681</v>
      </c>
      <c r="B328" s="166" t="s">
        <v>307</v>
      </c>
      <c r="C328" s="167">
        <v>265.29000000000002</v>
      </c>
      <c r="D328" s="168">
        <v>1.0846</v>
      </c>
      <c r="E328" s="169">
        <v>39.86</v>
      </c>
      <c r="F328" s="169">
        <v>196.64</v>
      </c>
      <c r="G328" s="169">
        <v>17.690000000000001</v>
      </c>
      <c r="H328" s="169">
        <v>24.38</v>
      </c>
      <c r="I328" s="170"/>
      <c r="J328" s="167"/>
      <c r="K328" s="167">
        <v>265.29000000000002</v>
      </c>
      <c r="L328" s="171"/>
      <c r="M328" s="172">
        <v>37.74</v>
      </c>
      <c r="N328" s="172">
        <v>303.03000000000003</v>
      </c>
    </row>
    <row r="329" spans="1:14" x14ac:dyDescent="0.25">
      <c r="A329" s="165">
        <v>1851030985</v>
      </c>
      <c r="B329" s="166" t="s">
        <v>744</v>
      </c>
      <c r="C329" s="167">
        <v>251.46999999999997</v>
      </c>
      <c r="D329" s="168">
        <v>1.1919999999999999</v>
      </c>
      <c r="E329" s="169">
        <v>39.86</v>
      </c>
      <c r="F329" s="169">
        <v>190.55</v>
      </c>
      <c r="G329" s="169">
        <v>12.89</v>
      </c>
      <c r="H329" s="169">
        <v>7.879999999999999</v>
      </c>
      <c r="I329" s="170"/>
      <c r="J329" s="167"/>
      <c r="K329" s="167">
        <v>251.46999999999997</v>
      </c>
      <c r="L329" s="171"/>
      <c r="M329" s="172">
        <v>37.74</v>
      </c>
      <c r="N329" s="172">
        <v>289.20999999999998</v>
      </c>
    </row>
    <row r="330" spans="1:14" x14ac:dyDescent="0.25">
      <c r="A330" s="165">
        <v>1013656156</v>
      </c>
      <c r="B330" s="166" t="s">
        <v>745</v>
      </c>
      <c r="C330" s="167">
        <v>267.13</v>
      </c>
      <c r="D330" s="168">
        <v>1.2060999999999999</v>
      </c>
      <c r="E330" s="169">
        <v>39.86</v>
      </c>
      <c r="F330" s="169">
        <v>208.75</v>
      </c>
      <c r="G330" s="169">
        <v>12.58</v>
      </c>
      <c r="H330" s="169">
        <v>24.38</v>
      </c>
      <c r="I330" s="170"/>
      <c r="J330" s="167"/>
      <c r="K330" s="167">
        <v>267.13</v>
      </c>
      <c r="L330" s="171"/>
      <c r="M330" s="172">
        <v>37.74</v>
      </c>
      <c r="N330" s="172">
        <v>304.87</v>
      </c>
    </row>
    <row r="331" spans="1:14" x14ac:dyDescent="0.25">
      <c r="A331" s="165">
        <v>1184363236</v>
      </c>
      <c r="B331" s="166" t="s">
        <v>746</v>
      </c>
      <c r="C331" s="167">
        <v>251.36</v>
      </c>
      <c r="D331" s="168">
        <v>1.2717000000000001</v>
      </c>
      <c r="E331" s="169">
        <v>39.86</v>
      </c>
      <c r="F331" s="169">
        <v>197.09</v>
      </c>
      <c r="G331" s="169">
        <v>12.87</v>
      </c>
      <c r="H331" s="169">
        <v>7.879999999999999</v>
      </c>
      <c r="I331" s="170"/>
      <c r="J331" s="167"/>
      <c r="K331" s="167">
        <v>251.36</v>
      </c>
      <c r="L331" s="171"/>
      <c r="M331" s="172">
        <v>37.74</v>
      </c>
      <c r="N331" s="172">
        <v>289.10000000000002</v>
      </c>
    </row>
    <row r="332" spans="1:14" x14ac:dyDescent="0.25">
      <c r="A332" s="165">
        <v>1518606664</v>
      </c>
      <c r="B332" s="166" t="s">
        <v>747</v>
      </c>
      <c r="C332" s="167">
        <v>274.13</v>
      </c>
      <c r="D332" s="168">
        <v>1.3242</v>
      </c>
      <c r="E332" s="169">
        <v>39.86</v>
      </c>
      <c r="F332" s="169">
        <v>218.73</v>
      </c>
      <c r="G332" s="169">
        <v>16.71</v>
      </c>
      <c r="H332" s="169">
        <v>24.38</v>
      </c>
      <c r="I332" s="170"/>
      <c r="J332" s="167"/>
      <c r="K332" s="167">
        <v>275.3</v>
      </c>
      <c r="L332" s="171"/>
      <c r="M332" s="172">
        <v>37.74</v>
      </c>
      <c r="N332" s="172">
        <v>313.04000000000002</v>
      </c>
    </row>
    <row r="333" spans="1:14" x14ac:dyDescent="0.25">
      <c r="A333" s="165">
        <v>1922747088</v>
      </c>
      <c r="B333" s="166" t="s">
        <v>748</v>
      </c>
      <c r="C333" s="167">
        <v>272.77999999999997</v>
      </c>
      <c r="D333" s="168">
        <v>1.3819999999999999</v>
      </c>
      <c r="E333" s="169">
        <v>39.86</v>
      </c>
      <c r="F333" s="169">
        <v>225.71</v>
      </c>
      <c r="G333" s="169">
        <v>13.4</v>
      </c>
      <c r="H333" s="169">
        <v>24.38</v>
      </c>
      <c r="I333" s="170"/>
      <c r="J333" s="167"/>
      <c r="K333" s="167">
        <v>278.97000000000003</v>
      </c>
      <c r="L333" s="171"/>
      <c r="M333" s="172">
        <v>37.74</v>
      </c>
      <c r="N333" s="172">
        <v>316.71000000000004</v>
      </c>
    </row>
    <row r="334" spans="1:14" x14ac:dyDescent="0.25">
      <c r="A334" s="165">
        <v>1528544145</v>
      </c>
      <c r="B334" s="166" t="s">
        <v>749</v>
      </c>
      <c r="C334" s="167">
        <v>286.79999999999995</v>
      </c>
      <c r="D334" s="168">
        <v>1.4198999999999999</v>
      </c>
      <c r="E334" s="169">
        <v>39.86</v>
      </c>
      <c r="F334" s="169">
        <v>223.21</v>
      </c>
      <c r="G334" s="169">
        <v>17.37</v>
      </c>
      <c r="H334" s="169">
        <v>24.38</v>
      </c>
      <c r="I334" s="170"/>
      <c r="J334" s="167"/>
      <c r="K334" s="167">
        <v>286.79999999999995</v>
      </c>
      <c r="L334" s="171"/>
      <c r="M334" s="172">
        <v>37.74</v>
      </c>
      <c r="N334" s="172">
        <v>324.53999999999996</v>
      </c>
    </row>
    <row r="335" spans="1:14" x14ac:dyDescent="0.25">
      <c r="A335" s="165">
        <v>1508505660</v>
      </c>
      <c r="B335" s="166" t="s">
        <v>750</v>
      </c>
      <c r="C335" s="167">
        <v>257.69</v>
      </c>
      <c r="D335" s="168">
        <v>1.2188000000000001</v>
      </c>
      <c r="E335" s="169">
        <v>39.86</v>
      </c>
      <c r="F335" s="169">
        <v>208.8</v>
      </c>
      <c r="G335" s="169">
        <v>9.4</v>
      </c>
      <c r="H335" s="169">
        <v>24.38</v>
      </c>
      <c r="I335" s="170"/>
      <c r="J335" s="167"/>
      <c r="K335" s="167">
        <v>258.06</v>
      </c>
      <c r="L335" s="171"/>
      <c r="M335" s="172">
        <v>37.74</v>
      </c>
      <c r="N335" s="172">
        <v>295.8</v>
      </c>
    </row>
    <row r="336" spans="1:14" ht="11.25" customHeight="1" x14ac:dyDescent="0.25">
      <c r="A336" s="165">
        <v>1255070306</v>
      </c>
      <c r="B336" s="166" t="s">
        <v>751</v>
      </c>
      <c r="C336" s="167">
        <v>273.96999999999997</v>
      </c>
      <c r="D336" s="168">
        <v>1.2811999999999999</v>
      </c>
      <c r="E336" s="169">
        <v>39.86</v>
      </c>
      <c r="F336" s="169">
        <v>213.83</v>
      </c>
      <c r="G336" s="169">
        <v>18.73</v>
      </c>
      <c r="H336" s="169">
        <v>24.38</v>
      </c>
      <c r="I336" s="170"/>
      <c r="J336" s="167"/>
      <c r="K336" s="167">
        <v>273.96999999999997</v>
      </c>
      <c r="L336" s="171"/>
      <c r="M336" s="172">
        <v>37.74</v>
      </c>
      <c r="N336" s="172">
        <v>311.70999999999998</v>
      </c>
    </row>
    <row r="337" spans="1:14" x14ac:dyDescent="0.25">
      <c r="A337" s="165">
        <v>1417696576</v>
      </c>
      <c r="B337" s="166" t="s">
        <v>752</v>
      </c>
      <c r="C337" s="167">
        <v>269.15999999999997</v>
      </c>
      <c r="D337" s="168">
        <v>1.2644</v>
      </c>
      <c r="E337" s="169">
        <v>39.86</v>
      </c>
      <c r="F337" s="169">
        <v>213.68</v>
      </c>
      <c r="G337" s="169">
        <v>14.8</v>
      </c>
      <c r="H337" s="169">
        <v>24.38</v>
      </c>
      <c r="I337" s="170"/>
      <c r="J337" s="167"/>
      <c r="K337" s="167">
        <v>269.15999999999997</v>
      </c>
      <c r="L337" s="171"/>
      <c r="M337" s="172">
        <v>37.74</v>
      </c>
      <c r="N337" s="172">
        <v>306.89999999999998</v>
      </c>
    </row>
    <row r="338" spans="1:14" x14ac:dyDescent="0.25">
      <c r="A338" s="165">
        <v>1699336776</v>
      </c>
      <c r="B338" s="166" t="s">
        <v>308</v>
      </c>
      <c r="C338" s="167">
        <v>249.32</v>
      </c>
      <c r="D338" s="168">
        <v>1.0475000000000001</v>
      </c>
      <c r="E338" s="169">
        <v>39.86</v>
      </c>
      <c r="F338" s="169">
        <v>193.43</v>
      </c>
      <c r="G338" s="169">
        <v>8.61</v>
      </c>
      <c r="H338" s="169">
        <v>24.38</v>
      </c>
      <c r="I338" s="170"/>
      <c r="J338" s="167"/>
      <c r="K338" s="167">
        <v>249.32</v>
      </c>
      <c r="L338" s="171"/>
      <c r="M338" s="172">
        <v>37.74</v>
      </c>
      <c r="N338" s="172">
        <v>287.06</v>
      </c>
    </row>
    <row r="339" spans="1:14" x14ac:dyDescent="0.25">
      <c r="A339" s="165">
        <v>1215982525</v>
      </c>
      <c r="B339" s="166" t="s">
        <v>309</v>
      </c>
      <c r="C339" s="167">
        <v>266.15000000000003</v>
      </c>
      <c r="D339" s="168">
        <v>1.1713</v>
      </c>
      <c r="E339" s="169">
        <v>39.86</v>
      </c>
      <c r="F339" s="169">
        <v>205.34</v>
      </c>
      <c r="G339" s="169">
        <v>21.47</v>
      </c>
      <c r="H339" s="169">
        <v>24.38</v>
      </c>
      <c r="I339" s="170"/>
      <c r="J339" s="167"/>
      <c r="K339" s="167">
        <v>266.67</v>
      </c>
      <c r="L339" s="171"/>
      <c r="M339" s="172">
        <v>37.74</v>
      </c>
      <c r="N339" s="172">
        <v>304.41000000000003</v>
      </c>
    </row>
    <row r="340" spans="1:14" x14ac:dyDescent="0.25">
      <c r="A340" s="165">
        <v>1427003110</v>
      </c>
      <c r="B340" s="166" t="s">
        <v>310</v>
      </c>
      <c r="C340" s="167">
        <v>259.70999999999998</v>
      </c>
      <c r="D340" s="168">
        <v>1.1797</v>
      </c>
      <c r="E340" s="169">
        <v>39.86</v>
      </c>
      <c r="F340" s="169">
        <v>205.26</v>
      </c>
      <c r="G340" s="169">
        <v>19.53</v>
      </c>
      <c r="H340" s="169">
        <v>24.38</v>
      </c>
      <c r="I340" s="170"/>
      <c r="J340" s="167"/>
      <c r="K340" s="167">
        <v>264.64999999999998</v>
      </c>
      <c r="L340" s="171"/>
      <c r="M340" s="172">
        <v>37.74</v>
      </c>
      <c r="N340" s="172">
        <v>302.39</v>
      </c>
    </row>
    <row r="341" spans="1:14" x14ac:dyDescent="0.25">
      <c r="A341" s="165">
        <v>1598710949</v>
      </c>
      <c r="B341" s="166" t="s">
        <v>311</v>
      </c>
      <c r="C341" s="167">
        <v>268.95</v>
      </c>
      <c r="D341" s="168">
        <v>1.2361</v>
      </c>
      <c r="E341" s="169">
        <v>39.86</v>
      </c>
      <c r="F341" s="169">
        <v>208.72</v>
      </c>
      <c r="G341" s="169">
        <v>19.309999999999999</v>
      </c>
      <c r="H341" s="169">
        <v>24.38</v>
      </c>
      <c r="I341" s="170"/>
      <c r="J341" s="167"/>
      <c r="K341" s="167">
        <v>268.95</v>
      </c>
      <c r="L341" s="171"/>
      <c r="M341" s="172">
        <v>37.74</v>
      </c>
      <c r="N341" s="172">
        <v>306.69</v>
      </c>
    </row>
    <row r="342" spans="1:14" x14ac:dyDescent="0.25">
      <c r="A342" s="165">
        <v>1770538092</v>
      </c>
      <c r="B342" s="166" t="s">
        <v>312</v>
      </c>
      <c r="C342" s="167">
        <v>260.90999999999997</v>
      </c>
      <c r="D342" s="168">
        <v>1.1909000000000001</v>
      </c>
      <c r="E342" s="169">
        <v>39.86</v>
      </c>
      <c r="F342" s="169">
        <v>206.34</v>
      </c>
      <c r="G342" s="169">
        <v>13.91</v>
      </c>
      <c r="H342" s="169">
        <v>24.38</v>
      </c>
      <c r="I342" s="170"/>
      <c r="J342" s="167"/>
      <c r="K342" s="167">
        <v>260.90999999999997</v>
      </c>
      <c r="L342" s="171"/>
      <c r="M342" s="172">
        <v>37.74</v>
      </c>
      <c r="N342" s="172">
        <v>298.64999999999998</v>
      </c>
    </row>
    <row r="343" spans="1:14" x14ac:dyDescent="0.25">
      <c r="A343" s="165">
        <v>1851836118</v>
      </c>
      <c r="B343" s="166" t="s">
        <v>753</v>
      </c>
      <c r="C343" s="167">
        <v>253.61</v>
      </c>
      <c r="D343" s="168">
        <v>1.2041999999999999</v>
      </c>
      <c r="E343" s="169">
        <v>39.86</v>
      </c>
      <c r="F343" s="169">
        <v>207.09</v>
      </c>
      <c r="G343" s="169">
        <v>13.39</v>
      </c>
      <c r="H343" s="169">
        <v>24.38</v>
      </c>
      <c r="I343" s="170"/>
      <c r="J343" s="167"/>
      <c r="K343" s="167">
        <v>260.33999999999997</v>
      </c>
      <c r="L343" s="171"/>
      <c r="M343" s="172">
        <v>37.74</v>
      </c>
      <c r="N343" s="172">
        <v>298.08</v>
      </c>
    </row>
    <row r="344" spans="1:14" x14ac:dyDescent="0.25">
      <c r="A344" s="165">
        <v>1871548487</v>
      </c>
      <c r="B344" s="166" t="s">
        <v>313</v>
      </c>
      <c r="C344" s="167">
        <v>261.55</v>
      </c>
      <c r="D344" s="168">
        <v>1.2112000000000001</v>
      </c>
      <c r="E344" s="169">
        <v>39.86</v>
      </c>
      <c r="F344" s="169">
        <v>205.61</v>
      </c>
      <c r="G344" s="169">
        <v>20.100000000000001</v>
      </c>
      <c r="H344" s="169">
        <v>24.38</v>
      </c>
      <c r="I344" s="170"/>
      <c r="J344" s="167"/>
      <c r="K344" s="167">
        <v>265.57</v>
      </c>
      <c r="L344" s="171"/>
      <c r="M344" s="172">
        <v>37.74</v>
      </c>
      <c r="N344" s="172">
        <v>303.31</v>
      </c>
    </row>
    <row r="345" spans="1:14" x14ac:dyDescent="0.25">
      <c r="A345" s="165">
        <v>1467407775</v>
      </c>
      <c r="B345" s="166" t="s">
        <v>314</v>
      </c>
      <c r="C345" s="167">
        <v>264.68</v>
      </c>
      <c r="D345" s="168">
        <v>1.2267999999999999</v>
      </c>
      <c r="E345" s="169">
        <v>39.86</v>
      </c>
      <c r="F345" s="169">
        <v>209.14</v>
      </c>
      <c r="G345" s="169">
        <v>26.19</v>
      </c>
      <c r="H345" s="169">
        <v>24.38</v>
      </c>
      <c r="I345" s="170"/>
      <c r="J345" s="167"/>
      <c r="K345" s="167">
        <v>275.19</v>
      </c>
      <c r="L345" s="171"/>
      <c r="M345" s="172">
        <v>37.74</v>
      </c>
      <c r="N345" s="172">
        <v>312.93</v>
      </c>
    </row>
    <row r="346" spans="1:14" x14ac:dyDescent="0.25">
      <c r="A346" s="165">
        <v>1548293988</v>
      </c>
      <c r="B346" s="166" t="s">
        <v>754</v>
      </c>
      <c r="C346" s="167">
        <v>304.14</v>
      </c>
      <c r="D346" s="168">
        <v>1.5302</v>
      </c>
      <c r="E346" s="169">
        <v>39.86</v>
      </c>
      <c r="F346" s="169">
        <v>227.67</v>
      </c>
      <c r="G346" s="169">
        <v>37.99</v>
      </c>
      <c r="H346" s="169">
        <v>24.38</v>
      </c>
      <c r="I346" s="170"/>
      <c r="J346" s="167"/>
      <c r="K346" s="167">
        <v>305.52</v>
      </c>
      <c r="L346" s="171"/>
      <c r="M346" s="172">
        <v>37.74</v>
      </c>
      <c r="N346" s="172">
        <v>343.26</v>
      </c>
    </row>
    <row r="347" spans="1:14" x14ac:dyDescent="0.25">
      <c r="A347" s="165">
        <v>1417368143</v>
      </c>
      <c r="B347" s="166" t="s">
        <v>315</v>
      </c>
      <c r="C347" s="167">
        <v>297.57000000000005</v>
      </c>
      <c r="D347" s="168">
        <v>1.4613</v>
      </c>
      <c r="E347" s="169">
        <v>39.86</v>
      </c>
      <c r="F347" s="169">
        <v>227.17</v>
      </c>
      <c r="G347" s="169">
        <v>29.6</v>
      </c>
      <c r="H347" s="169">
        <v>24.38</v>
      </c>
      <c r="I347" s="170"/>
      <c r="J347" s="167"/>
      <c r="K347" s="167">
        <v>297.57000000000005</v>
      </c>
      <c r="L347" s="171"/>
      <c r="M347" s="172">
        <v>37.74</v>
      </c>
      <c r="N347" s="172">
        <v>335.31000000000006</v>
      </c>
    </row>
    <row r="348" spans="1:14" x14ac:dyDescent="0.25">
      <c r="A348" s="165">
        <v>1962505313</v>
      </c>
      <c r="B348" s="166" t="s">
        <v>316</v>
      </c>
      <c r="C348" s="167">
        <v>277.45</v>
      </c>
      <c r="D348" s="168">
        <v>1.2543</v>
      </c>
      <c r="E348" s="169">
        <v>39.86</v>
      </c>
      <c r="F348" s="169">
        <v>211.35</v>
      </c>
      <c r="G348" s="169">
        <v>16.78</v>
      </c>
      <c r="H348" s="169">
        <v>24.38</v>
      </c>
      <c r="I348" s="170"/>
      <c r="J348" s="167"/>
      <c r="K348" s="167">
        <v>277.45</v>
      </c>
      <c r="L348" s="171"/>
      <c r="M348" s="172">
        <v>37.74</v>
      </c>
      <c r="N348" s="172">
        <v>315.19</v>
      </c>
    </row>
    <row r="349" spans="1:14" x14ac:dyDescent="0.25">
      <c r="A349" s="165">
        <v>1881993079</v>
      </c>
      <c r="B349" s="166" t="s">
        <v>317</v>
      </c>
      <c r="C349" s="167">
        <v>274.14999999999998</v>
      </c>
      <c r="D349" s="168">
        <v>1.2110000000000001</v>
      </c>
      <c r="E349" s="169">
        <v>39.86</v>
      </c>
      <c r="F349" s="169">
        <v>210.92</v>
      </c>
      <c r="G349" s="169">
        <v>30.15</v>
      </c>
      <c r="H349" s="169">
        <v>24.38</v>
      </c>
      <c r="I349" s="170"/>
      <c r="J349" s="167"/>
      <c r="K349" s="167">
        <v>280.93</v>
      </c>
      <c r="L349" s="171"/>
      <c r="M349" s="172">
        <v>37.74</v>
      </c>
      <c r="N349" s="172">
        <v>318.67</v>
      </c>
    </row>
    <row r="350" spans="1:14" x14ac:dyDescent="0.25">
      <c r="A350" s="165">
        <v>1255379293</v>
      </c>
      <c r="B350" s="166" t="s">
        <v>318</v>
      </c>
      <c r="C350" s="167">
        <v>261.89999999999998</v>
      </c>
      <c r="D350" s="168">
        <v>1.1217999999999999</v>
      </c>
      <c r="E350" s="169">
        <v>39.86</v>
      </c>
      <c r="F350" s="169">
        <v>200.4</v>
      </c>
      <c r="G350" s="169">
        <v>14.85</v>
      </c>
      <c r="H350" s="169">
        <v>24.38</v>
      </c>
      <c r="I350" s="170"/>
      <c r="J350" s="167"/>
      <c r="K350" s="167">
        <v>261.89999999999998</v>
      </c>
      <c r="L350" s="171"/>
      <c r="M350" s="172">
        <v>37.74</v>
      </c>
      <c r="N350" s="172">
        <v>299.64</v>
      </c>
    </row>
    <row r="351" spans="1:14" x14ac:dyDescent="0.25">
      <c r="A351" s="165">
        <v>1366529406</v>
      </c>
      <c r="B351" s="166" t="s">
        <v>755</v>
      </c>
      <c r="C351" s="167">
        <v>232.03</v>
      </c>
      <c r="D351" s="168">
        <v>1.1792108485224528</v>
      </c>
      <c r="E351" s="169">
        <v>39.86</v>
      </c>
      <c r="F351" s="169">
        <v>180.29</v>
      </c>
      <c r="G351" s="169">
        <v>11.56</v>
      </c>
      <c r="H351" s="169">
        <v>0</v>
      </c>
      <c r="I351" s="170"/>
      <c r="J351" s="167"/>
      <c r="K351" s="167">
        <v>232.03</v>
      </c>
      <c r="L351" s="171"/>
      <c r="M351" s="172">
        <v>37.74</v>
      </c>
      <c r="N351" s="172">
        <v>269.77</v>
      </c>
    </row>
    <row r="352" spans="1:14" x14ac:dyDescent="0.25">
      <c r="A352" s="165">
        <v>1598704504</v>
      </c>
      <c r="B352" s="166" t="s">
        <v>319</v>
      </c>
      <c r="C352" s="167">
        <v>262.57000000000005</v>
      </c>
      <c r="D352" s="168">
        <v>1.0948</v>
      </c>
      <c r="E352" s="169">
        <v>39.86</v>
      </c>
      <c r="F352" s="169">
        <v>198.01</v>
      </c>
      <c r="G352" s="169">
        <v>23.89</v>
      </c>
      <c r="H352" s="169">
        <v>24.38</v>
      </c>
      <c r="I352" s="170"/>
      <c r="J352" s="167"/>
      <c r="K352" s="167">
        <v>262.57000000000005</v>
      </c>
      <c r="L352" s="171"/>
      <c r="M352" s="172">
        <v>37.74</v>
      </c>
      <c r="N352" s="172">
        <v>300.31000000000006</v>
      </c>
    </row>
    <row r="353" spans="1:14" x14ac:dyDescent="0.25">
      <c r="A353" s="165">
        <v>1669613071</v>
      </c>
      <c r="B353" s="166" t="s">
        <v>320</v>
      </c>
      <c r="C353" s="167">
        <v>272.28999999999996</v>
      </c>
      <c r="D353" s="168">
        <v>1.2941</v>
      </c>
      <c r="E353" s="169">
        <v>39.86</v>
      </c>
      <c r="F353" s="169">
        <v>214.33</v>
      </c>
      <c r="G353" s="169">
        <v>20.51</v>
      </c>
      <c r="H353" s="169">
        <v>24.38</v>
      </c>
      <c r="I353" s="170"/>
      <c r="J353" s="167"/>
      <c r="K353" s="167">
        <v>274.7</v>
      </c>
      <c r="L353" s="171"/>
      <c r="M353" s="172">
        <v>37.74</v>
      </c>
      <c r="N353" s="172">
        <v>312.44</v>
      </c>
    </row>
    <row r="354" spans="1:14" x14ac:dyDescent="0.25">
      <c r="A354" s="165">
        <v>1881648350</v>
      </c>
      <c r="B354" s="166" t="s">
        <v>321</v>
      </c>
      <c r="C354" s="167">
        <v>266.97999999999996</v>
      </c>
      <c r="D354" s="168">
        <v>1.0812999999999999</v>
      </c>
      <c r="E354" s="169">
        <v>39.86</v>
      </c>
      <c r="F354" s="169">
        <v>196.26</v>
      </c>
      <c r="G354" s="169">
        <v>31.35</v>
      </c>
      <c r="H354" s="169">
        <v>24.38</v>
      </c>
      <c r="I354" s="170"/>
      <c r="J354" s="167"/>
      <c r="K354" s="167">
        <v>267.47000000000003</v>
      </c>
      <c r="L354" s="171"/>
      <c r="M354" s="172">
        <v>37.74</v>
      </c>
      <c r="N354" s="172">
        <v>305.21000000000004</v>
      </c>
    </row>
    <row r="355" spans="1:14" x14ac:dyDescent="0.25">
      <c r="A355" s="165">
        <v>1669410312</v>
      </c>
      <c r="B355" s="166" t="s">
        <v>322</v>
      </c>
      <c r="C355" s="167">
        <v>261.70999999999998</v>
      </c>
      <c r="D355" s="168">
        <v>1.1682999999999999</v>
      </c>
      <c r="E355" s="169">
        <v>39.86</v>
      </c>
      <c r="F355" s="169">
        <v>204.36</v>
      </c>
      <c r="G355" s="169">
        <v>13.75</v>
      </c>
      <c r="H355" s="169">
        <v>24.38</v>
      </c>
      <c r="I355" s="170"/>
      <c r="J355" s="167"/>
      <c r="K355" s="167">
        <v>261.70999999999998</v>
      </c>
      <c r="L355" s="171"/>
      <c r="M355" s="172">
        <v>37.74</v>
      </c>
      <c r="N355" s="172">
        <v>299.45</v>
      </c>
    </row>
    <row r="356" spans="1:14" x14ac:dyDescent="0.25">
      <c r="A356" s="165">
        <v>1356387153</v>
      </c>
      <c r="B356" s="166" t="s">
        <v>756</v>
      </c>
      <c r="C356" s="167">
        <v>269.69</v>
      </c>
      <c r="D356" s="168">
        <v>1.2375</v>
      </c>
      <c r="E356" s="169">
        <v>39.86</v>
      </c>
      <c r="F356" s="169">
        <v>209.7</v>
      </c>
      <c r="G356" s="169">
        <v>14.25</v>
      </c>
      <c r="H356" s="169">
        <v>24.38</v>
      </c>
      <c r="I356" s="170"/>
      <c r="J356" s="167"/>
      <c r="K356" s="167">
        <v>269.69</v>
      </c>
      <c r="L356" s="171"/>
      <c r="M356" s="172">
        <v>37.74</v>
      </c>
      <c r="N356" s="172">
        <v>307.43</v>
      </c>
    </row>
    <row r="357" spans="1:14" x14ac:dyDescent="0.25">
      <c r="A357" s="165">
        <v>1184705048</v>
      </c>
      <c r="B357" s="166" t="s">
        <v>323</v>
      </c>
      <c r="C357" s="167">
        <v>251.01999999999998</v>
      </c>
      <c r="D357" s="168">
        <v>1.0887</v>
      </c>
      <c r="E357" s="169">
        <v>39.86</v>
      </c>
      <c r="F357" s="169">
        <v>197.27</v>
      </c>
      <c r="G357" s="169">
        <v>9.84</v>
      </c>
      <c r="H357" s="169">
        <v>24.38</v>
      </c>
      <c r="I357" s="170"/>
      <c r="J357" s="167"/>
      <c r="K357" s="167">
        <v>251.01999999999998</v>
      </c>
      <c r="L357" s="171"/>
      <c r="M357" s="172">
        <v>37.74</v>
      </c>
      <c r="N357" s="172">
        <v>288.76</v>
      </c>
    </row>
    <row r="358" spans="1:14" x14ac:dyDescent="0.25">
      <c r="A358" s="165">
        <v>1386187813</v>
      </c>
      <c r="B358" s="166" t="s">
        <v>324</v>
      </c>
      <c r="C358" s="167">
        <v>248.01</v>
      </c>
      <c r="D358" s="168">
        <v>1.1348</v>
      </c>
      <c r="E358" s="169">
        <v>39.86</v>
      </c>
      <c r="F358" s="169">
        <v>200.91</v>
      </c>
      <c r="G358" s="169">
        <v>13.5</v>
      </c>
      <c r="H358" s="169">
        <v>24.38</v>
      </c>
      <c r="I358" s="170"/>
      <c r="J358" s="167"/>
      <c r="K358" s="167">
        <v>254.27</v>
      </c>
      <c r="L358" s="171"/>
      <c r="M358" s="172">
        <v>37.74</v>
      </c>
      <c r="N358" s="172">
        <v>292.01</v>
      </c>
    </row>
    <row r="359" spans="1:14" x14ac:dyDescent="0.25">
      <c r="A359" s="165">
        <v>1952354565</v>
      </c>
      <c r="B359" s="166" t="s">
        <v>757</v>
      </c>
      <c r="C359" s="167">
        <v>240.21</v>
      </c>
      <c r="D359" s="168">
        <v>1.1614</v>
      </c>
      <c r="E359" s="169">
        <v>39.86</v>
      </c>
      <c r="F359" s="169">
        <v>188.42</v>
      </c>
      <c r="G359" s="169">
        <v>11.62</v>
      </c>
      <c r="H359" s="169">
        <v>7.879999999999999</v>
      </c>
      <c r="I359" s="170"/>
      <c r="J359" s="167"/>
      <c r="K359" s="167">
        <v>240.21</v>
      </c>
      <c r="L359" s="171"/>
      <c r="M359" s="172">
        <v>37.74</v>
      </c>
      <c r="N359" s="172">
        <v>277.95</v>
      </c>
    </row>
    <row r="360" spans="1:14" x14ac:dyDescent="0.25">
      <c r="A360" s="165">
        <v>1912323635</v>
      </c>
      <c r="B360" s="166" t="s">
        <v>325</v>
      </c>
      <c r="C360" s="167">
        <v>254.88</v>
      </c>
      <c r="D360" s="168">
        <v>1.1236999999999999</v>
      </c>
      <c r="E360" s="169">
        <v>39.86</v>
      </c>
      <c r="F360" s="169">
        <v>176.07</v>
      </c>
      <c r="G360" s="169">
        <v>36.299999999999997</v>
      </c>
      <c r="H360" s="169">
        <v>0</v>
      </c>
      <c r="I360" s="170"/>
      <c r="J360" s="167"/>
      <c r="K360" s="167">
        <v>254.88</v>
      </c>
      <c r="L360" s="171"/>
      <c r="M360" s="172">
        <v>37.74</v>
      </c>
      <c r="N360" s="172">
        <v>292.62</v>
      </c>
    </row>
    <row r="361" spans="1:14" x14ac:dyDescent="0.25">
      <c r="A361" s="165">
        <v>1912902230</v>
      </c>
      <c r="B361" s="166" t="s">
        <v>326</v>
      </c>
      <c r="C361" s="167">
        <v>274.65999999999997</v>
      </c>
      <c r="D361" s="168">
        <v>1.1493</v>
      </c>
      <c r="E361" s="169">
        <v>39.86</v>
      </c>
      <c r="F361" s="169">
        <v>201.77</v>
      </c>
      <c r="G361" s="169">
        <v>31.67</v>
      </c>
      <c r="H361" s="169">
        <v>24.38</v>
      </c>
      <c r="I361" s="170"/>
      <c r="J361" s="167"/>
      <c r="K361" s="167">
        <v>274.65999999999997</v>
      </c>
      <c r="L361" s="171"/>
      <c r="M361" s="172">
        <v>37.74</v>
      </c>
      <c r="N361" s="172">
        <v>312.39999999999998</v>
      </c>
    </row>
    <row r="362" spans="1:14" x14ac:dyDescent="0.25">
      <c r="A362" s="165">
        <v>1194028118</v>
      </c>
      <c r="B362" s="166" t="s">
        <v>327</v>
      </c>
      <c r="C362" s="167">
        <v>276.23</v>
      </c>
      <c r="D362" s="168">
        <v>1.0125999999999999</v>
      </c>
      <c r="E362" s="169">
        <v>39.86</v>
      </c>
      <c r="F362" s="169">
        <v>191.39</v>
      </c>
      <c r="G362" s="169">
        <v>33.340000000000003</v>
      </c>
      <c r="H362" s="169">
        <v>24.38</v>
      </c>
      <c r="I362" s="170"/>
      <c r="J362" s="167"/>
      <c r="K362" s="167">
        <v>276.23</v>
      </c>
      <c r="L362" s="171"/>
      <c r="M362" s="172">
        <v>37.74</v>
      </c>
      <c r="N362" s="172">
        <v>313.97000000000003</v>
      </c>
    </row>
    <row r="363" spans="1:14" x14ac:dyDescent="0.25">
      <c r="A363" s="165">
        <v>1215931977</v>
      </c>
      <c r="B363" s="166" t="s">
        <v>328</v>
      </c>
      <c r="C363" s="167">
        <v>278.95000000000005</v>
      </c>
      <c r="D363" s="168">
        <v>1.2030000000000001</v>
      </c>
      <c r="E363" s="169">
        <v>39.86</v>
      </c>
      <c r="F363" s="169">
        <v>207.68</v>
      </c>
      <c r="G363" s="169">
        <v>33.61</v>
      </c>
      <c r="H363" s="169">
        <v>24.38</v>
      </c>
      <c r="I363" s="170"/>
      <c r="J363" s="167"/>
      <c r="K363" s="167">
        <v>281.14999999999998</v>
      </c>
      <c r="L363" s="171"/>
      <c r="M363" s="172">
        <v>37.74</v>
      </c>
      <c r="N363" s="172">
        <v>318.89</v>
      </c>
    </row>
    <row r="364" spans="1:14" x14ac:dyDescent="0.25">
      <c r="A364" s="165">
        <v>1508864323</v>
      </c>
      <c r="B364" s="166" t="s">
        <v>329</v>
      </c>
      <c r="C364" s="167">
        <v>282.09000000000003</v>
      </c>
      <c r="D364" s="168">
        <v>1.2061999999999999</v>
      </c>
      <c r="E364" s="169">
        <v>39.86</v>
      </c>
      <c r="F364" s="169">
        <v>208.4</v>
      </c>
      <c r="G364" s="169">
        <v>33.979999999999997</v>
      </c>
      <c r="H364" s="169">
        <v>24.38</v>
      </c>
      <c r="I364" s="170"/>
      <c r="J364" s="167"/>
      <c r="K364" s="167">
        <v>282.24</v>
      </c>
      <c r="L364" s="171"/>
      <c r="M364" s="172">
        <v>37.74</v>
      </c>
      <c r="N364" s="172">
        <v>319.98</v>
      </c>
    </row>
    <row r="365" spans="1:14" x14ac:dyDescent="0.25">
      <c r="A365" s="165">
        <v>1427052067</v>
      </c>
      <c r="B365" s="166" t="s">
        <v>330</v>
      </c>
      <c r="C365" s="167">
        <v>284.05</v>
      </c>
      <c r="D365" s="168">
        <v>1.2642</v>
      </c>
      <c r="E365" s="169">
        <v>39.86</v>
      </c>
      <c r="F365" s="169">
        <v>215.64</v>
      </c>
      <c r="G365" s="169">
        <v>27.27</v>
      </c>
      <c r="H365" s="169">
        <v>24.38</v>
      </c>
      <c r="I365" s="170"/>
      <c r="J365" s="167"/>
      <c r="K365" s="167">
        <v>284.05</v>
      </c>
      <c r="L365" s="171"/>
      <c r="M365" s="172">
        <v>37.74</v>
      </c>
      <c r="N365" s="172">
        <v>321.79000000000002</v>
      </c>
    </row>
    <row r="366" spans="1:14" x14ac:dyDescent="0.25">
      <c r="A366" s="165">
        <v>1669449799</v>
      </c>
      <c r="B366" s="166" t="s">
        <v>331</v>
      </c>
      <c r="C366" s="167">
        <v>240.95</v>
      </c>
      <c r="D366" s="168">
        <v>0.93730000000000002</v>
      </c>
      <c r="E366" s="169">
        <v>39.86</v>
      </c>
      <c r="F366" s="169">
        <v>159.77000000000001</v>
      </c>
      <c r="G366" s="169">
        <v>41.69</v>
      </c>
      <c r="H366" s="169">
        <v>0</v>
      </c>
      <c r="I366" s="170"/>
      <c r="J366" s="167"/>
      <c r="K366" s="167">
        <v>241.32</v>
      </c>
      <c r="L366" s="171"/>
      <c r="M366" s="172">
        <v>37.74</v>
      </c>
      <c r="N366" s="172">
        <v>279.06</v>
      </c>
    </row>
    <row r="367" spans="1:14" x14ac:dyDescent="0.25">
      <c r="A367" s="165">
        <v>1720088339</v>
      </c>
      <c r="B367" s="166" t="s">
        <v>332</v>
      </c>
      <c r="C367" s="167">
        <v>248.53000000000003</v>
      </c>
      <c r="D367" s="168">
        <v>1.0246</v>
      </c>
      <c r="E367" s="169">
        <v>39.86</v>
      </c>
      <c r="F367" s="169">
        <v>191.7</v>
      </c>
      <c r="G367" s="169">
        <v>12.14</v>
      </c>
      <c r="H367" s="169">
        <v>24.38</v>
      </c>
      <c r="I367" s="170"/>
      <c r="J367" s="167"/>
      <c r="K367" s="167">
        <v>248.53000000000003</v>
      </c>
      <c r="L367" s="171"/>
      <c r="M367" s="172">
        <v>37.74</v>
      </c>
      <c r="N367" s="172">
        <v>286.27000000000004</v>
      </c>
    </row>
    <row r="368" spans="1:14" x14ac:dyDescent="0.25">
      <c r="A368" s="165">
        <v>1225279755</v>
      </c>
      <c r="B368" s="166" t="s">
        <v>333</v>
      </c>
      <c r="C368" s="167">
        <v>272.35999999999996</v>
      </c>
      <c r="D368" s="168">
        <v>1.3297000000000001</v>
      </c>
      <c r="E368" s="169">
        <v>39.86</v>
      </c>
      <c r="F368" s="169">
        <v>218.79</v>
      </c>
      <c r="G368" s="169">
        <v>12.6</v>
      </c>
      <c r="H368" s="169">
        <v>24.38</v>
      </c>
      <c r="I368" s="170"/>
      <c r="J368" s="167"/>
      <c r="K368" s="167">
        <v>272.35999999999996</v>
      </c>
      <c r="L368" s="171"/>
      <c r="M368" s="172">
        <v>37.74</v>
      </c>
      <c r="N368" s="172">
        <v>310.09999999999997</v>
      </c>
    </row>
    <row r="369" spans="1:14" x14ac:dyDescent="0.25">
      <c r="A369" s="165">
        <v>1235370750</v>
      </c>
      <c r="B369" s="166" t="s">
        <v>334</v>
      </c>
      <c r="C369" s="167">
        <v>282.95999999999998</v>
      </c>
      <c r="D369" s="168">
        <v>1.3298000000000001</v>
      </c>
      <c r="E369" s="169">
        <v>39.86</v>
      </c>
      <c r="F369" s="169">
        <v>215.84</v>
      </c>
      <c r="G369" s="169">
        <v>25.99</v>
      </c>
      <c r="H369" s="169">
        <v>24.38</v>
      </c>
      <c r="I369" s="170"/>
      <c r="J369" s="167"/>
      <c r="K369" s="167">
        <v>282.95999999999998</v>
      </c>
      <c r="L369" s="171"/>
      <c r="M369" s="172">
        <v>37.74</v>
      </c>
      <c r="N369" s="172">
        <v>320.7</v>
      </c>
    </row>
    <row r="370" spans="1:14" x14ac:dyDescent="0.25">
      <c r="A370" s="165">
        <v>1497996920</v>
      </c>
      <c r="B370" s="166" t="s">
        <v>335</v>
      </c>
      <c r="C370" s="167">
        <v>253.16000000000003</v>
      </c>
      <c r="D370" s="168">
        <v>1.3619000000000001</v>
      </c>
      <c r="E370" s="169">
        <v>39.86</v>
      </c>
      <c r="F370" s="169">
        <v>205.87</v>
      </c>
      <c r="G370" s="169">
        <v>11.56</v>
      </c>
      <c r="H370" s="169">
        <v>7.879999999999999</v>
      </c>
      <c r="I370" s="170"/>
      <c r="J370" s="167"/>
      <c r="K370" s="167">
        <v>257.29000000000002</v>
      </c>
      <c r="L370" s="171"/>
      <c r="M370" s="172">
        <v>37.74</v>
      </c>
      <c r="N370" s="172">
        <v>295.03000000000003</v>
      </c>
    </row>
    <row r="371" spans="1:14" x14ac:dyDescent="0.25">
      <c r="A371" s="165">
        <v>1295704997</v>
      </c>
      <c r="B371" s="166" t="s">
        <v>336</v>
      </c>
      <c r="C371" s="167">
        <v>276.64999999999998</v>
      </c>
      <c r="D371" s="168">
        <v>1.2761</v>
      </c>
      <c r="E371" s="169">
        <v>39.86</v>
      </c>
      <c r="F371" s="169">
        <v>213.54</v>
      </c>
      <c r="G371" s="169">
        <v>25.13</v>
      </c>
      <c r="H371" s="169">
        <v>24.38</v>
      </c>
      <c r="I371" s="170"/>
      <c r="J371" s="167"/>
      <c r="K371" s="167">
        <v>278.52999999999997</v>
      </c>
      <c r="L371" s="171"/>
      <c r="M371" s="172">
        <v>37.74</v>
      </c>
      <c r="N371" s="172">
        <v>316.27</v>
      </c>
    </row>
    <row r="372" spans="1:14" x14ac:dyDescent="0.25">
      <c r="A372" s="165">
        <v>1629047279</v>
      </c>
      <c r="B372" s="166" t="s">
        <v>337</v>
      </c>
      <c r="C372" s="167">
        <v>274.90000000000003</v>
      </c>
      <c r="D372" s="168">
        <v>1.3829</v>
      </c>
      <c r="E372" s="169">
        <v>39.86</v>
      </c>
      <c r="F372" s="169">
        <v>221.62</v>
      </c>
      <c r="G372" s="169">
        <v>12.08</v>
      </c>
      <c r="H372" s="169">
        <v>24.38</v>
      </c>
      <c r="I372" s="170"/>
      <c r="J372" s="167"/>
      <c r="K372" s="167">
        <v>274.90000000000003</v>
      </c>
      <c r="L372" s="171"/>
      <c r="M372" s="172">
        <v>37.74</v>
      </c>
      <c r="N372" s="172">
        <v>312.64000000000004</v>
      </c>
    </row>
    <row r="373" spans="1:14" x14ac:dyDescent="0.25">
      <c r="A373" s="165">
        <v>1144299702</v>
      </c>
      <c r="B373" s="166" t="s">
        <v>338</v>
      </c>
      <c r="C373" s="167">
        <v>255.94</v>
      </c>
      <c r="D373" s="168">
        <v>1.3380000000000001</v>
      </c>
      <c r="E373" s="169">
        <v>39.86</v>
      </c>
      <c r="F373" s="169">
        <v>204.08</v>
      </c>
      <c r="G373" s="169">
        <v>19.809999999999999</v>
      </c>
      <c r="H373" s="169">
        <v>7.879999999999999</v>
      </c>
      <c r="I373" s="170"/>
      <c r="J373" s="167"/>
      <c r="K373" s="167">
        <v>263.75</v>
      </c>
      <c r="L373" s="171"/>
      <c r="M373" s="172">
        <v>37.74</v>
      </c>
      <c r="N373" s="172">
        <v>301.49</v>
      </c>
    </row>
    <row r="374" spans="1:14" x14ac:dyDescent="0.25">
      <c r="A374" s="165">
        <v>1437484672</v>
      </c>
      <c r="B374" s="166" t="s">
        <v>339</v>
      </c>
      <c r="C374" s="167">
        <v>280.78999999999996</v>
      </c>
      <c r="D374" s="168">
        <v>1.3564000000000001</v>
      </c>
      <c r="E374" s="169">
        <v>39.86</v>
      </c>
      <c r="F374" s="169">
        <v>219.41</v>
      </c>
      <c r="G374" s="169">
        <v>23.91</v>
      </c>
      <c r="H374" s="169">
        <v>24.38</v>
      </c>
      <c r="I374" s="170"/>
      <c r="J374" s="167"/>
      <c r="K374" s="167">
        <v>283.18</v>
      </c>
      <c r="L374" s="171"/>
      <c r="M374" s="172">
        <v>37.74</v>
      </c>
      <c r="N374" s="172">
        <v>320.92</v>
      </c>
    </row>
    <row r="375" spans="1:14" x14ac:dyDescent="0.25">
      <c r="A375" s="165">
        <v>1942279609</v>
      </c>
      <c r="B375" s="166" t="s">
        <v>340</v>
      </c>
      <c r="C375" s="167">
        <v>269.65999999999997</v>
      </c>
      <c r="D375" s="168">
        <v>1.3769</v>
      </c>
      <c r="E375" s="169">
        <v>39.86</v>
      </c>
      <c r="F375" s="169">
        <v>220.28</v>
      </c>
      <c r="G375" s="169">
        <v>8.61</v>
      </c>
      <c r="H375" s="169">
        <v>24.38</v>
      </c>
      <c r="I375" s="170"/>
      <c r="J375" s="167"/>
      <c r="K375" s="167">
        <v>269.65999999999997</v>
      </c>
      <c r="L375" s="171"/>
      <c r="M375" s="172">
        <v>37.74</v>
      </c>
      <c r="N375" s="172">
        <v>307.39999999999998</v>
      </c>
    </row>
    <row r="376" spans="1:14" x14ac:dyDescent="0.25">
      <c r="A376" s="165">
        <v>1114996758</v>
      </c>
      <c r="B376" s="166" t="s">
        <v>758</v>
      </c>
      <c r="C376" s="167">
        <v>276.43</v>
      </c>
      <c r="D376" s="168">
        <v>1.2854000000000001</v>
      </c>
      <c r="E376" s="169">
        <v>39.86</v>
      </c>
      <c r="F376" s="169">
        <v>213.21</v>
      </c>
      <c r="G376" s="169">
        <v>18.68</v>
      </c>
      <c r="H376" s="169">
        <v>24.38</v>
      </c>
      <c r="I376" s="170"/>
      <c r="J376" s="167"/>
      <c r="K376" s="167">
        <v>276.43</v>
      </c>
      <c r="L376" s="171"/>
      <c r="M376" s="172">
        <v>37.74</v>
      </c>
      <c r="N376" s="172">
        <v>314.17</v>
      </c>
    </row>
    <row r="377" spans="1:14" x14ac:dyDescent="0.25">
      <c r="A377" s="165">
        <v>1902875578</v>
      </c>
      <c r="B377" s="166" t="s">
        <v>759</v>
      </c>
      <c r="C377" s="167">
        <v>280.5</v>
      </c>
      <c r="D377" s="168">
        <v>1.3166</v>
      </c>
      <c r="E377" s="169">
        <v>39.86</v>
      </c>
      <c r="F377" s="169">
        <v>216.48</v>
      </c>
      <c r="G377" s="169">
        <v>18.87</v>
      </c>
      <c r="H377" s="169">
        <v>24.38</v>
      </c>
      <c r="I377" s="170"/>
      <c r="J377" s="167"/>
      <c r="K377" s="167">
        <v>280.5</v>
      </c>
      <c r="L377" s="171"/>
      <c r="M377" s="172">
        <v>37.74</v>
      </c>
      <c r="N377" s="172">
        <v>318.24</v>
      </c>
    </row>
    <row r="378" spans="1:14" x14ac:dyDescent="0.25">
      <c r="A378" s="165">
        <v>1588805014</v>
      </c>
      <c r="B378" s="166" t="s">
        <v>341</v>
      </c>
      <c r="C378" s="167">
        <v>292.20999999999998</v>
      </c>
      <c r="D378" s="168">
        <v>1.4059999999999999</v>
      </c>
      <c r="E378" s="169">
        <v>39.86</v>
      </c>
      <c r="F378" s="169">
        <v>223.45</v>
      </c>
      <c r="G378" s="169">
        <v>30.58</v>
      </c>
      <c r="H378" s="169">
        <v>24.38</v>
      </c>
      <c r="I378" s="170"/>
      <c r="J378" s="167"/>
      <c r="K378" s="167">
        <v>293.89</v>
      </c>
      <c r="L378" s="171"/>
      <c r="M378" s="172">
        <v>37.74</v>
      </c>
      <c r="N378" s="172">
        <v>331.63</v>
      </c>
    </row>
    <row r="379" spans="1:14" x14ac:dyDescent="0.25">
      <c r="A379" s="165">
        <v>1669408969</v>
      </c>
      <c r="B379" s="166" t="s">
        <v>760</v>
      </c>
      <c r="C379" s="167">
        <v>240.48</v>
      </c>
      <c r="D379" s="168">
        <v>1.1093</v>
      </c>
      <c r="E379" s="169">
        <v>39.86</v>
      </c>
      <c r="F379" s="169">
        <v>182.03</v>
      </c>
      <c r="G379" s="169">
        <v>20.02</v>
      </c>
      <c r="H379" s="169">
        <v>7.879999999999999</v>
      </c>
      <c r="I379" s="170"/>
      <c r="J379" s="167"/>
      <c r="K379" s="167">
        <v>241.91</v>
      </c>
      <c r="L379" s="171"/>
      <c r="M379" s="172">
        <v>37.74</v>
      </c>
      <c r="N379" s="172">
        <v>279.64999999999998</v>
      </c>
    </row>
    <row r="380" spans="1:14" x14ac:dyDescent="0.25">
      <c r="A380" s="165">
        <v>1689640583</v>
      </c>
      <c r="B380" s="166" t="s">
        <v>342</v>
      </c>
      <c r="C380" s="167">
        <v>277.8</v>
      </c>
      <c r="D380" s="168">
        <v>1.3426</v>
      </c>
      <c r="E380" s="169">
        <v>39.86</v>
      </c>
      <c r="F380" s="169">
        <v>218.42</v>
      </c>
      <c r="G380" s="169">
        <v>12.5</v>
      </c>
      <c r="H380" s="169">
        <v>24.38</v>
      </c>
      <c r="I380" s="170"/>
      <c r="J380" s="167"/>
      <c r="K380" s="167">
        <v>277.8</v>
      </c>
      <c r="L380" s="171"/>
      <c r="M380" s="172">
        <v>37.74</v>
      </c>
      <c r="N380" s="172">
        <v>315.54000000000002</v>
      </c>
    </row>
    <row r="381" spans="1:14" x14ac:dyDescent="0.25">
      <c r="A381" s="165">
        <v>1831125285</v>
      </c>
      <c r="B381" s="166" t="s">
        <v>343</v>
      </c>
      <c r="C381" s="167">
        <v>248.5</v>
      </c>
      <c r="D381" s="168">
        <v>1.0640000000000001</v>
      </c>
      <c r="E381" s="169">
        <v>39.86</v>
      </c>
      <c r="F381" s="169">
        <v>195.03</v>
      </c>
      <c r="G381" s="169">
        <v>12.69</v>
      </c>
      <c r="H381" s="169">
        <v>24.38</v>
      </c>
      <c r="I381" s="170"/>
      <c r="J381" s="167"/>
      <c r="K381" s="167">
        <v>248.5</v>
      </c>
      <c r="L381" s="171"/>
      <c r="M381" s="172">
        <v>37.74</v>
      </c>
      <c r="N381" s="172">
        <v>286.24</v>
      </c>
    </row>
    <row r="382" spans="1:14" x14ac:dyDescent="0.25">
      <c r="A382" s="165">
        <v>1871063214</v>
      </c>
      <c r="B382" s="166" t="s">
        <v>344</v>
      </c>
      <c r="C382" s="167">
        <v>247.64000000000001</v>
      </c>
      <c r="D382" s="168">
        <v>1.0741000000000001</v>
      </c>
      <c r="E382" s="169">
        <v>39.86</v>
      </c>
      <c r="F382" s="169">
        <v>196.33</v>
      </c>
      <c r="G382" s="169">
        <v>15.4</v>
      </c>
      <c r="H382" s="169">
        <v>24.38</v>
      </c>
      <c r="I382" s="170"/>
      <c r="J382" s="167"/>
      <c r="K382" s="167">
        <v>251.59</v>
      </c>
      <c r="L382" s="171"/>
      <c r="M382" s="172">
        <v>37.74</v>
      </c>
      <c r="N382" s="172">
        <v>289.33</v>
      </c>
    </row>
    <row r="383" spans="1:14" x14ac:dyDescent="0.25">
      <c r="A383" s="165">
        <v>1629515499</v>
      </c>
      <c r="B383" s="166" t="s">
        <v>345</v>
      </c>
      <c r="C383" s="167">
        <v>260.93</v>
      </c>
      <c r="D383" s="168">
        <v>1.2202</v>
      </c>
      <c r="E383" s="169">
        <v>39.86</v>
      </c>
      <c r="F383" s="169">
        <v>208.8</v>
      </c>
      <c r="G383" s="169">
        <v>18.46</v>
      </c>
      <c r="H383" s="169">
        <v>24.38</v>
      </c>
      <c r="I383" s="170"/>
      <c r="J383" s="167"/>
      <c r="K383" s="167">
        <v>267.12</v>
      </c>
      <c r="L383" s="171"/>
      <c r="M383" s="172">
        <v>37.74</v>
      </c>
      <c r="N383" s="172">
        <v>304.86</v>
      </c>
    </row>
    <row r="384" spans="1:14" x14ac:dyDescent="0.25">
      <c r="A384" s="165">
        <v>1134660103</v>
      </c>
      <c r="B384" s="166" t="s">
        <v>761</v>
      </c>
      <c r="C384" s="167">
        <v>288.23</v>
      </c>
      <c r="D384" s="168">
        <v>1.4043000000000001</v>
      </c>
      <c r="E384" s="169">
        <v>39.86</v>
      </c>
      <c r="F384" s="169">
        <v>226.44</v>
      </c>
      <c r="G384" s="169">
        <v>23.29</v>
      </c>
      <c r="H384" s="169">
        <v>24.38</v>
      </c>
      <c r="I384" s="170"/>
      <c r="J384" s="167"/>
      <c r="K384" s="167">
        <v>289.58999999999997</v>
      </c>
      <c r="L384" s="171"/>
      <c r="M384" s="172">
        <v>37.74</v>
      </c>
      <c r="N384" s="172">
        <v>327.33</v>
      </c>
    </row>
    <row r="385" spans="1:14" x14ac:dyDescent="0.25">
      <c r="A385" s="165">
        <v>1447736087</v>
      </c>
      <c r="B385" s="166" t="s">
        <v>346</v>
      </c>
      <c r="C385" s="167">
        <v>261.85999999999996</v>
      </c>
      <c r="D385" s="168">
        <v>1.2502</v>
      </c>
      <c r="E385" s="169">
        <v>39.86</v>
      </c>
      <c r="F385" s="169">
        <v>207.59</v>
      </c>
      <c r="G385" s="169">
        <v>9.4499999999999993</v>
      </c>
      <c r="H385" s="169">
        <v>24.38</v>
      </c>
      <c r="I385" s="170"/>
      <c r="J385" s="167"/>
      <c r="K385" s="167">
        <v>261.85999999999996</v>
      </c>
      <c r="L385" s="171"/>
      <c r="M385" s="172">
        <v>37.74</v>
      </c>
      <c r="N385" s="172">
        <v>299.59999999999997</v>
      </c>
    </row>
    <row r="386" spans="1:14" x14ac:dyDescent="0.25">
      <c r="A386" s="165">
        <v>1609996552</v>
      </c>
      <c r="B386" s="166" t="s">
        <v>762</v>
      </c>
      <c r="C386" s="167">
        <v>272.27</v>
      </c>
      <c r="D386" s="168">
        <v>1.1948000000000001</v>
      </c>
      <c r="E386" s="169">
        <v>39.86</v>
      </c>
      <c r="F386" s="169">
        <v>203.63</v>
      </c>
      <c r="G386" s="169">
        <v>25.78</v>
      </c>
      <c r="H386" s="169">
        <v>24.38</v>
      </c>
      <c r="I386" s="170"/>
      <c r="J386" s="167"/>
      <c r="K386" s="167">
        <v>272.27</v>
      </c>
      <c r="L386" s="171"/>
      <c r="M386" s="172">
        <v>37.74</v>
      </c>
      <c r="N386" s="172">
        <v>310.01</v>
      </c>
    </row>
    <row r="387" spans="1:14" x14ac:dyDescent="0.25">
      <c r="A387" s="165">
        <v>1659319366</v>
      </c>
      <c r="B387" s="166" t="s">
        <v>347</v>
      </c>
      <c r="C387" s="167">
        <v>266.88</v>
      </c>
      <c r="D387" s="168">
        <v>1.2905</v>
      </c>
      <c r="E387" s="169">
        <v>39.86</v>
      </c>
      <c r="F387" s="169">
        <v>215.29</v>
      </c>
      <c r="G387" s="169">
        <v>8.41</v>
      </c>
      <c r="H387" s="169">
        <v>24.38</v>
      </c>
      <c r="I387" s="170"/>
      <c r="J387" s="167"/>
      <c r="K387" s="167">
        <v>266.88</v>
      </c>
      <c r="L387" s="171"/>
      <c r="M387" s="172">
        <v>37.74</v>
      </c>
      <c r="N387" s="172">
        <v>304.62</v>
      </c>
    </row>
    <row r="388" spans="1:14" x14ac:dyDescent="0.25">
      <c r="A388" s="165">
        <v>1972050276</v>
      </c>
      <c r="B388" s="166" t="s">
        <v>348</v>
      </c>
      <c r="C388" s="167">
        <v>258.96000000000004</v>
      </c>
      <c r="D388" s="168">
        <v>1.1404000000000001</v>
      </c>
      <c r="E388" s="169">
        <v>39.86</v>
      </c>
      <c r="F388" s="169">
        <v>201.76</v>
      </c>
      <c r="G388" s="169">
        <v>8.61</v>
      </c>
      <c r="H388" s="169">
        <v>24.38</v>
      </c>
      <c r="I388" s="170"/>
      <c r="J388" s="167"/>
      <c r="K388" s="167">
        <v>258.96000000000004</v>
      </c>
      <c r="L388" s="171"/>
      <c r="M388" s="172">
        <v>37.74</v>
      </c>
      <c r="N388" s="172">
        <v>296.70000000000005</v>
      </c>
    </row>
    <row r="389" spans="1:14" x14ac:dyDescent="0.25">
      <c r="A389" s="165">
        <v>1023386190</v>
      </c>
      <c r="B389" s="166" t="s">
        <v>763</v>
      </c>
      <c r="C389" s="167">
        <v>253.35999999999996</v>
      </c>
      <c r="D389" s="168">
        <v>1.0794999999999999</v>
      </c>
      <c r="E389" s="169">
        <v>39.86</v>
      </c>
      <c r="F389" s="169">
        <v>196.31</v>
      </c>
      <c r="G389" s="169">
        <v>11.96</v>
      </c>
      <c r="H389" s="169">
        <v>24.38</v>
      </c>
      <c r="I389" s="170"/>
      <c r="J389" s="167"/>
      <c r="K389" s="167">
        <v>253.35999999999996</v>
      </c>
      <c r="L389" s="171"/>
      <c r="M389" s="172">
        <v>37.74</v>
      </c>
      <c r="N389" s="172">
        <v>291.09999999999997</v>
      </c>
    </row>
    <row r="390" spans="1:14" x14ac:dyDescent="0.25">
      <c r="A390" s="165">
        <v>1154369841</v>
      </c>
      <c r="B390" s="166" t="s">
        <v>764</v>
      </c>
      <c r="C390" s="167">
        <v>253.03000000000003</v>
      </c>
      <c r="D390" s="168">
        <v>1.1682999999999999</v>
      </c>
      <c r="E390" s="169">
        <v>39.86</v>
      </c>
      <c r="F390" s="169">
        <v>205.48</v>
      </c>
      <c r="G390" s="169">
        <v>15.89</v>
      </c>
      <c r="H390" s="169">
        <v>24.38</v>
      </c>
      <c r="I390" s="170"/>
      <c r="J390" s="167"/>
      <c r="K390" s="167">
        <v>261.23</v>
      </c>
      <c r="L390" s="171"/>
      <c r="M390" s="172">
        <v>37.74</v>
      </c>
      <c r="N390" s="172">
        <v>298.97000000000003</v>
      </c>
    </row>
    <row r="391" spans="1:14" x14ac:dyDescent="0.25">
      <c r="A391" s="165">
        <v>1639153919</v>
      </c>
      <c r="B391" s="166" t="s">
        <v>349</v>
      </c>
      <c r="C391" s="167">
        <v>231.64999999999998</v>
      </c>
      <c r="D391" s="168">
        <v>1.0276000000000001</v>
      </c>
      <c r="E391" s="169">
        <v>39.86</v>
      </c>
      <c r="F391" s="169">
        <v>167.15</v>
      </c>
      <c r="G391" s="169">
        <v>24.4</v>
      </c>
      <c r="H391" s="169">
        <v>0</v>
      </c>
      <c r="I391" s="170"/>
      <c r="J391" s="167"/>
      <c r="K391" s="167">
        <v>231.64999999999998</v>
      </c>
      <c r="L391" s="171"/>
      <c r="M391" s="172">
        <v>37.74</v>
      </c>
      <c r="N391" s="172">
        <v>269.39</v>
      </c>
    </row>
    <row r="392" spans="1:14" x14ac:dyDescent="0.25">
      <c r="A392" s="165">
        <v>1043314602</v>
      </c>
      <c r="B392" s="166" t="s">
        <v>350</v>
      </c>
      <c r="C392" s="167">
        <v>287.48</v>
      </c>
      <c r="D392" s="168">
        <v>1.3634999999999999</v>
      </c>
      <c r="E392" s="169">
        <v>39.86</v>
      </c>
      <c r="F392" s="169">
        <v>222.72</v>
      </c>
      <c r="G392" s="169">
        <v>26.47</v>
      </c>
      <c r="H392" s="169">
        <v>24.38</v>
      </c>
      <c r="I392" s="170"/>
      <c r="J392" s="167"/>
      <c r="K392" s="167">
        <v>289.05</v>
      </c>
      <c r="L392" s="171"/>
      <c r="M392" s="172">
        <v>37.74</v>
      </c>
      <c r="N392" s="172">
        <v>326.79000000000002</v>
      </c>
    </row>
    <row r="393" spans="1:14" x14ac:dyDescent="0.25">
      <c r="A393" s="165">
        <v>1891740544</v>
      </c>
      <c r="B393" s="166" t="s">
        <v>765</v>
      </c>
      <c r="C393" s="167">
        <v>270.31</v>
      </c>
      <c r="D393" s="168">
        <v>1.1505000000000001</v>
      </c>
      <c r="E393" s="169">
        <v>39.86</v>
      </c>
      <c r="F393" s="169">
        <v>201.69</v>
      </c>
      <c r="G393" s="169">
        <v>29.32</v>
      </c>
      <c r="H393" s="169">
        <v>24.38</v>
      </c>
      <c r="I393" s="170"/>
      <c r="J393" s="167"/>
      <c r="K393" s="167">
        <v>270.87</v>
      </c>
      <c r="L393" s="171"/>
      <c r="M393" s="172">
        <v>37.74</v>
      </c>
      <c r="N393" s="172">
        <v>308.61</v>
      </c>
    </row>
    <row r="394" spans="1:14" x14ac:dyDescent="0.25">
      <c r="A394" s="165">
        <v>1700821865</v>
      </c>
      <c r="B394" s="166" t="s">
        <v>351</v>
      </c>
      <c r="C394" s="167">
        <v>269.38</v>
      </c>
      <c r="D394" s="168">
        <v>1.1695</v>
      </c>
      <c r="E394" s="169">
        <v>39.86</v>
      </c>
      <c r="F394" s="169">
        <v>204.58</v>
      </c>
      <c r="G394" s="169">
        <v>16.010000000000002</v>
      </c>
      <c r="H394" s="169">
        <v>24.38</v>
      </c>
      <c r="I394" s="170"/>
      <c r="J394" s="167"/>
      <c r="K394" s="167">
        <v>269.38</v>
      </c>
      <c r="L394" s="171"/>
      <c r="M394" s="172">
        <v>37.74</v>
      </c>
      <c r="N394" s="172">
        <v>307.12</v>
      </c>
    </row>
    <row r="395" spans="1:14" x14ac:dyDescent="0.25">
      <c r="A395" s="165">
        <v>1184650541</v>
      </c>
      <c r="B395" s="166" t="s">
        <v>766</v>
      </c>
      <c r="C395" s="167">
        <v>254.97999999999996</v>
      </c>
      <c r="D395" s="168">
        <v>1.3762000000000001</v>
      </c>
      <c r="E395" s="169">
        <v>39.86</v>
      </c>
      <c r="F395" s="169">
        <v>202.93</v>
      </c>
      <c r="G395" s="169">
        <v>11.45</v>
      </c>
      <c r="H395" s="169">
        <v>7.879999999999999</v>
      </c>
      <c r="I395" s="170"/>
      <c r="J395" s="167"/>
      <c r="K395" s="167">
        <v>254.97999999999996</v>
      </c>
      <c r="L395" s="171"/>
      <c r="M395" s="172">
        <v>37.74</v>
      </c>
      <c r="N395" s="172">
        <v>292.71999999999997</v>
      </c>
    </row>
    <row r="396" spans="1:14" x14ac:dyDescent="0.25">
      <c r="A396" s="165">
        <v>1902853781</v>
      </c>
      <c r="B396" s="166" t="s">
        <v>352</v>
      </c>
      <c r="C396" s="167">
        <v>292.32</v>
      </c>
      <c r="D396" s="168">
        <v>1.357</v>
      </c>
      <c r="E396" s="169">
        <v>39.86</v>
      </c>
      <c r="F396" s="169">
        <v>219.77</v>
      </c>
      <c r="G396" s="169">
        <v>33</v>
      </c>
      <c r="H396" s="169">
        <v>24.38</v>
      </c>
      <c r="I396" s="170"/>
      <c r="J396" s="167"/>
      <c r="K396" s="167">
        <v>292.63</v>
      </c>
      <c r="L396" s="171"/>
      <c r="M396" s="172">
        <v>37.74</v>
      </c>
      <c r="N396" s="172">
        <v>330.37</v>
      </c>
    </row>
    <row r="397" spans="1:14" x14ac:dyDescent="0.25">
      <c r="A397" s="165">
        <v>1235264219</v>
      </c>
      <c r="B397" s="166" t="s">
        <v>353</v>
      </c>
      <c r="C397" s="167">
        <v>230.54000000000002</v>
      </c>
      <c r="D397" s="168">
        <v>1.0589</v>
      </c>
      <c r="E397" s="169">
        <v>39.86</v>
      </c>
      <c r="F397" s="169">
        <v>170.99</v>
      </c>
      <c r="G397" s="169">
        <v>17.59</v>
      </c>
      <c r="H397" s="169">
        <v>0</v>
      </c>
      <c r="I397" s="170"/>
      <c r="J397" s="167"/>
      <c r="K397" s="167">
        <v>230.54000000000002</v>
      </c>
      <c r="L397" s="171"/>
      <c r="M397" s="172">
        <v>37.74</v>
      </c>
      <c r="N397" s="172">
        <v>268.28000000000003</v>
      </c>
    </row>
    <row r="398" spans="1:14" x14ac:dyDescent="0.25">
      <c r="A398" s="165">
        <v>1366577355</v>
      </c>
      <c r="B398" s="166" t="s">
        <v>354</v>
      </c>
      <c r="C398" s="167">
        <v>226.63000000000002</v>
      </c>
      <c r="D398" s="168">
        <v>1.0629999999999999</v>
      </c>
      <c r="E398" s="169">
        <v>39.86</v>
      </c>
      <c r="F398" s="169">
        <v>171.15</v>
      </c>
      <c r="G398" s="169">
        <v>19.04</v>
      </c>
      <c r="H398" s="169">
        <v>0</v>
      </c>
      <c r="I398" s="170"/>
      <c r="J398" s="167"/>
      <c r="K398" s="167">
        <v>230.05</v>
      </c>
      <c r="L398" s="171"/>
      <c r="M398" s="172">
        <v>37.74</v>
      </c>
      <c r="N398" s="172">
        <v>267.79000000000002</v>
      </c>
    </row>
    <row r="399" spans="1:14" x14ac:dyDescent="0.25">
      <c r="A399" s="165">
        <v>1033244090</v>
      </c>
      <c r="B399" s="166" t="s">
        <v>355</v>
      </c>
      <c r="C399" s="167">
        <v>243.58999999999997</v>
      </c>
      <c r="D399" s="168">
        <v>1.1453</v>
      </c>
      <c r="E399" s="169">
        <v>39.86</v>
      </c>
      <c r="F399" s="169">
        <v>186.67</v>
      </c>
      <c r="G399" s="169">
        <v>15.53</v>
      </c>
      <c r="H399" s="169">
        <v>7.879999999999999</v>
      </c>
      <c r="I399" s="170"/>
      <c r="J399" s="167"/>
      <c r="K399" s="167">
        <v>243.58999999999997</v>
      </c>
      <c r="L399" s="171"/>
      <c r="M399" s="172">
        <v>37.74</v>
      </c>
      <c r="N399" s="172">
        <v>281.33</v>
      </c>
    </row>
    <row r="400" spans="1:14" x14ac:dyDescent="0.25">
      <c r="A400" s="165">
        <v>1770618720</v>
      </c>
      <c r="B400" s="166" t="s">
        <v>356</v>
      </c>
      <c r="C400" s="167">
        <v>259.14</v>
      </c>
      <c r="D400" s="168">
        <v>1.1284000000000001</v>
      </c>
      <c r="E400" s="169">
        <v>39.86</v>
      </c>
      <c r="F400" s="169">
        <v>185.35</v>
      </c>
      <c r="G400" s="169">
        <v>26.53</v>
      </c>
      <c r="H400" s="169">
        <v>7.879999999999999</v>
      </c>
      <c r="I400" s="170"/>
      <c r="J400" s="167"/>
      <c r="K400" s="167">
        <v>259.14</v>
      </c>
      <c r="L400" s="171"/>
      <c r="M400" s="172">
        <v>37.74</v>
      </c>
      <c r="N400" s="172">
        <v>296.88</v>
      </c>
    </row>
    <row r="401" spans="1:16" x14ac:dyDescent="0.25">
      <c r="A401" s="165">
        <v>1356476311</v>
      </c>
      <c r="B401" s="166" t="s">
        <v>357</v>
      </c>
      <c r="C401" s="167">
        <v>240.52</v>
      </c>
      <c r="D401" s="168">
        <v>1.0876999999999999</v>
      </c>
      <c r="E401" s="169">
        <v>39.86</v>
      </c>
      <c r="F401" s="169">
        <v>172.71</v>
      </c>
      <c r="G401" s="169">
        <v>27.4</v>
      </c>
      <c r="H401" s="169">
        <v>0</v>
      </c>
      <c r="I401" s="170"/>
      <c r="J401" s="167"/>
      <c r="K401" s="167">
        <v>240.52</v>
      </c>
      <c r="L401" s="171"/>
      <c r="M401" s="172">
        <v>37.74</v>
      </c>
      <c r="N401" s="172">
        <v>278.26</v>
      </c>
    </row>
    <row r="402" spans="1:16" x14ac:dyDescent="0.25">
      <c r="A402" s="165">
        <v>1124342241</v>
      </c>
      <c r="B402" s="166" t="s">
        <v>767</v>
      </c>
      <c r="C402" s="167">
        <v>286.55</v>
      </c>
      <c r="D402" s="168">
        <v>1.1907000000000001</v>
      </c>
      <c r="E402" s="169">
        <v>39.86</v>
      </c>
      <c r="F402" s="169">
        <v>205.91</v>
      </c>
      <c r="G402" s="169">
        <v>35.020000000000003</v>
      </c>
      <c r="H402" s="169">
        <v>24.38</v>
      </c>
      <c r="I402" s="170"/>
      <c r="J402" s="167"/>
      <c r="K402" s="167">
        <v>286.55</v>
      </c>
      <c r="L402" s="171"/>
      <c r="M402" s="172">
        <v>37.74</v>
      </c>
      <c r="N402" s="172">
        <v>324.29000000000002</v>
      </c>
    </row>
    <row r="403" spans="1:16" x14ac:dyDescent="0.25">
      <c r="A403" s="165">
        <v>1548230188</v>
      </c>
      <c r="B403" s="166" t="s">
        <v>768</v>
      </c>
      <c r="C403" s="167">
        <v>204.85000000000002</v>
      </c>
      <c r="D403" s="168">
        <v>0.87509999999999999</v>
      </c>
      <c r="E403" s="169">
        <v>39.86</v>
      </c>
      <c r="F403" s="169">
        <v>153.01</v>
      </c>
      <c r="G403" s="169">
        <v>14.33</v>
      </c>
      <c r="H403" s="169">
        <v>0</v>
      </c>
      <c r="I403" s="170"/>
      <c r="J403" s="167"/>
      <c r="K403" s="167">
        <v>207.2</v>
      </c>
      <c r="L403" s="171"/>
      <c r="M403" s="172">
        <v>37.74</v>
      </c>
      <c r="N403" s="172">
        <v>244.94</v>
      </c>
    </row>
    <row r="404" spans="1:16" x14ac:dyDescent="0.25">
      <c r="A404" s="165">
        <v>1285656272</v>
      </c>
      <c r="B404" s="166" t="s">
        <v>769</v>
      </c>
      <c r="C404" s="167">
        <v>247.70999999999998</v>
      </c>
      <c r="D404" s="168">
        <v>1.0121</v>
      </c>
      <c r="E404" s="169">
        <v>39.86</v>
      </c>
      <c r="F404" s="169">
        <v>191.35</v>
      </c>
      <c r="G404" s="169">
        <v>18.03</v>
      </c>
      <c r="H404" s="169">
        <v>24.38</v>
      </c>
      <c r="I404" s="170"/>
      <c r="J404" s="167"/>
      <c r="K404" s="167">
        <v>249.24</v>
      </c>
      <c r="L404" s="171"/>
      <c r="M404" s="172">
        <v>37.74</v>
      </c>
      <c r="N404" s="172">
        <v>286.98</v>
      </c>
    </row>
    <row r="405" spans="1:16" x14ac:dyDescent="0.25">
      <c r="A405" s="165">
        <v>1528606225</v>
      </c>
      <c r="B405" s="166" t="s">
        <v>358</v>
      </c>
      <c r="C405" s="167">
        <v>288.71999999999997</v>
      </c>
      <c r="D405" s="168">
        <v>1.4137999999999999</v>
      </c>
      <c r="E405" s="169">
        <v>39.86</v>
      </c>
      <c r="F405" s="169">
        <v>220.88</v>
      </c>
      <c r="G405" s="169">
        <v>27.82</v>
      </c>
      <c r="H405" s="169">
        <v>24.38</v>
      </c>
      <c r="I405" s="170"/>
      <c r="J405" s="167"/>
      <c r="K405" s="167">
        <v>288.71999999999997</v>
      </c>
      <c r="L405" s="171"/>
      <c r="M405" s="172">
        <v>37.74</v>
      </c>
      <c r="N405" s="172">
        <v>326.45999999999998</v>
      </c>
    </row>
    <row r="406" spans="1:16" x14ac:dyDescent="0.25">
      <c r="A406" s="165">
        <v>1508802497</v>
      </c>
      <c r="B406" s="166" t="s">
        <v>770</v>
      </c>
      <c r="C406" s="167">
        <v>241.11</v>
      </c>
      <c r="D406" s="168">
        <v>1.2574000000000001</v>
      </c>
      <c r="E406" s="169">
        <v>39.86</v>
      </c>
      <c r="F406" s="169">
        <v>193.82</v>
      </c>
      <c r="G406" s="169">
        <v>10.23</v>
      </c>
      <c r="H406" s="169">
        <v>7.879999999999999</v>
      </c>
      <c r="I406" s="170"/>
      <c r="J406" s="167"/>
      <c r="K406" s="167">
        <v>243.91</v>
      </c>
      <c r="L406" s="171"/>
      <c r="M406" s="172">
        <v>37.74</v>
      </c>
      <c r="N406" s="172">
        <v>281.64999999999998</v>
      </c>
    </row>
    <row r="407" spans="1:16" x14ac:dyDescent="0.25">
      <c r="A407" s="165">
        <v>1629425491</v>
      </c>
      <c r="B407" s="166" t="s">
        <v>359</v>
      </c>
      <c r="C407" s="167">
        <v>270.51</v>
      </c>
      <c r="D407" s="168">
        <v>1.2983</v>
      </c>
      <c r="E407" s="169">
        <v>39.86</v>
      </c>
      <c r="F407" s="169">
        <v>218.86</v>
      </c>
      <c r="G407" s="169">
        <v>8.91</v>
      </c>
      <c r="H407" s="169">
        <v>24.38</v>
      </c>
      <c r="I407" s="170"/>
      <c r="J407" s="167"/>
      <c r="K407" s="167">
        <v>270.51</v>
      </c>
      <c r="L407" s="171"/>
      <c r="M407" s="172">
        <v>37.74</v>
      </c>
      <c r="N407" s="172">
        <v>308.25</v>
      </c>
    </row>
    <row r="408" spans="1:16" x14ac:dyDescent="0.25">
      <c r="A408" s="165">
        <v>1629016340</v>
      </c>
      <c r="B408" s="166" t="s">
        <v>360</v>
      </c>
      <c r="C408" s="167">
        <v>264.65000000000003</v>
      </c>
      <c r="D408" s="168">
        <v>1.1428</v>
      </c>
      <c r="E408" s="169">
        <v>39.86</v>
      </c>
      <c r="F408" s="169">
        <v>202.58</v>
      </c>
      <c r="G408" s="169">
        <v>12.95</v>
      </c>
      <c r="H408" s="169">
        <v>24.38</v>
      </c>
      <c r="I408" s="170"/>
      <c r="J408" s="167"/>
      <c r="K408" s="167">
        <v>264.65000000000003</v>
      </c>
      <c r="L408" s="171"/>
      <c r="M408" s="172">
        <v>37.74</v>
      </c>
      <c r="N408" s="172">
        <v>302.39000000000004</v>
      </c>
    </row>
    <row r="409" spans="1:16" x14ac:dyDescent="0.25">
      <c r="A409" s="165">
        <v>1215979059</v>
      </c>
      <c r="B409" s="166" t="s">
        <v>361</v>
      </c>
      <c r="C409" s="167">
        <v>269.56</v>
      </c>
      <c r="D409" s="168">
        <v>1.1879999999999999</v>
      </c>
      <c r="E409" s="169">
        <v>39.86</v>
      </c>
      <c r="F409" s="169">
        <v>205.27</v>
      </c>
      <c r="G409" s="169">
        <v>26.29</v>
      </c>
      <c r="H409" s="169">
        <v>24.38</v>
      </c>
      <c r="I409" s="170"/>
      <c r="J409" s="167"/>
      <c r="K409" s="167">
        <v>271.42</v>
      </c>
      <c r="L409" s="171"/>
      <c r="M409" s="172">
        <v>37.74</v>
      </c>
      <c r="N409" s="172">
        <v>309.16000000000003</v>
      </c>
    </row>
    <row r="410" spans="1:16" x14ac:dyDescent="0.25">
      <c r="A410" s="165">
        <v>1639299571</v>
      </c>
      <c r="B410" s="166" t="s">
        <v>771</v>
      </c>
      <c r="C410" s="167">
        <v>262.45</v>
      </c>
      <c r="D410" s="168">
        <v>1.1781999999999999</v>
      </c>
      <c r="E410" s="169">
        <v>39.86</v>
      </c>
      <c r="F410" s="169">
        <v>204.78</v>
      </c>
      <c r="G410" s="169">
        <v>15.5</v>
      </c>
      <c r="H410" s="169">
        <v>24.38</v>
      </c>
      <c r="I410" s="170"/>
      <c r="J410" s="167"/>
      <c r="K410" s="167">
        <v>262.45</v>
      </c>
      <c r="L410" s="171"/>
      <c r="M410" s="172">
        <v>37.74</v>
      </c>
      <c r="N410" s="172">
        <v>300.19</v>
      </c>
    </row>
    <row r="411" spans="1:16" x14ac:dyDescent="0.25">
      <c r="A411" s="165">
        <v>1700812146</v>
      </c>
      <c r="B411" s="166" t="s">
        <v>772</v>
      </c>
      <c r="C411" s="167">
        <v>270.8</v>
      </c>
      <c r="D411" s="168">
        <v>1.1867000000000001</v>
      </c>
      <c r="E411" s="169">
        <v>39.86</v>
      </c>
      <c r="F411" s="169">
        <v>204.95</v>
      </c>
      <c r="G411" s="169">
        <v>17.97</v>
      </c>
      <c r="H411" s="169">
        <v>24.38</v>
      </c>
      <c r="I411" s="170"/>
      <c r="J411" s="167"/>
      <c r="K411" s="167">
        <v>270.8</v>
      </c>
      <c r="L411" s="171"/>
      <c r="M411" s="172">
        <v>37.74</v>
      </c>
      <c r="N411" s="172">
        <v>308.54000000000002</v>
      </c>
    </row>
    <row r="412" spans="1:16" x14ac:dyDescent="0.25">
      <c r="A412" s="165">
        <v>1750703278</v>
      </c>
      <c r="B412" s="166" t="s">
        <v>773</v>
      </c>
      <c r="C412" s="167">
        <v>255.67</v>
      </c>
      <c r="D412" s="168">
        <v>1.0481</v>
      </c>
      <c r="E412" s="169">
        <v>39.86</v>
      </c>
      <c r="F412" s="169">
        <v>193.61</v>
      </c>
      <c r="G412" s="169">
        <v>18.190000000000001</v>
      </c>
      <c r="H412" s="169">
        <v>24.38</v>
      </c>
      <c r="I412" s="170"/>
      <c r="J412" s="167"/>
      <c r="K412" s="167">
        <v>255.67</v>
      </c>
      <c r="L412" s="171"/>
      <c r="M412" s="172">
        <v>37.74</v>
      </c>
      <c r="N412" s="172">
        <v>293.40999999999997</v>
      </c>
    </row>
    <row r="413" spans="1:16" x14ac:dyDescent="0.25">
      <c r="A413" s="165">
        <v>1992793962</v>
      </c>
      <c r="B413" s="166" t="s">
        <v>362</v>
      </c>
      <c r="C413" s="167">
        <v>278.37</v>
      </c>
      <c r="D413" s="168">
        <v>1.3031999999999999</v>
      </c>
      <c r="E413" s="169">
        <v>39.86</v>
      </c>
      <c r="F413" s="169">
        <v>214.74</v>
      </c>
      <c r="G413" s="169">
        <v>19.739999999999998</v>
      </c>
      <c r="H413" s="169">
        <v>24.38</v>
      </c>
      <c r="I413" s="170"/>
      <c r="J413" s="167"/>
      <c r="K413" s="167">
        <v>278.37</v>
      </c>
      <c r="L413" s="171"/>
      <c r="M413" s="172">
        <v>37.74</v>
      </c>
      <c r="N413" s="172">
        <v>316.11</v>
      </c>
    </row>
    <row r="414" spans="1:16" x14ac:dyDescent="0.25">
      <c r="A414" s="165">
        <v>1528040888</v>
      </c>
      <c r="B414" s="166" t="s">
        <v>774</v>
      </c>
      <c r="C414" s="167">
        <v>259.81</v>
      </c>
      <c r="D414" s="168">
        <v>1.1861999999999999</v>
      </c>
      <c r="E414" s="169">
        <v>39.86</v>
      </c>
      <c r="F414" s="169">
        <v>199.49</v>
      </c>
      <c r="G414" s="169">
        <v>23.58</v>
      </c>
      <c r="H414" s="169">
        <v>24.38</v>
      </c>
      <c r="I414" s="170"/>
      <c r="J414" s="167"/>
      <c r="K414" s="167">
        <v>262.93</v>
      </c>
      <c r="L414" s="171"/>
      <c r="M414" s="172">
        <v>37.74</v>
      </c>
      <c r="N414" s="172">
        <v>300.67</v>
      </c>
    </row>
    <row r="415" spans="1:16" x14ac:dyDescent="0.25">
      <c r="A415" s="165">
        <v>1467016105</v>
      </c>
      <c r="B415" s="166" t="s">
        <v>363</v>
      </c>
      <c r="C415" s="167">
        <v>263.60000000000002</v>
      </c>
      <c r="D415" s="168">
        <v>1.1329</v>
      </c>
      <c r="E415" s="169">
        <v>39.86</v>
      </c>
      <c r="F415" s="169">
        <v>200.76</v>
      </c>
      <c r="G415" s="169">
        <v>17.53</v>
      </c>
      <c r="H415" s="169">
        <v>24.38</v>
      </c>
      <c r="I415" s="170"/>
      <c r="J415" s="167"/>
      <c r="K415" s="167">
        <v>263.60000000000002</v>
      </c>
      <c r="L415" s="171"/>
      <c r="M415" s="172">
        <v>37.74</v>
      </c>
      <c r="N415" s="172">
        <v>301.34000000000003</v>
      </c>
      <c r="P415" s="173"/>
    </row>
    <row r="416" spans="1:16" x14ac:dyDescent="0.25">
      <c r="A416" s="165">
        <v>1023481520</v>
      </c>
      <c r="B416" s="166" t="s">
        <v>364</v>
      </c>
      <c r="C416" s="167">
        <v>284.49</v>
      </c>
      <c r="D416" s="168">
        <v>1.1823999999999999</v>
      </c>
      <c r="E416" s="169">
        <v>39.86</v>
      </c>
      <c r="F416" s="169">
        <v>204.89</v>
      </c>
      <c r="G416" s="169">
        <v>40.99</v>
      </c>
      <c r="H416" s="169">
        <v>24.38</v>
      </c>
      <c r="I416" s="170"/>
      <c r="J416" s="167"/>
      <c r="K416" s="167">
        <v>285.74</v>
      </c>
      <c r="L416" s="171"/>
      <c r="M416" s="172">
        <v>37.74</v>
      </c>
      <c r="N416" s="172">
        <v>323.48</v>
      </c>
    </row>
    <row r="417" spans="1:14" x14ac:dyDescent="0.25">
      <c r="A417" s="165">
        <v>1174178313</v>
      </c>
      <c r="B417" s="166" t="s">
        <v>365</v>
      </c>
      <c r="C417" s="167">
        <v>261.08000000000004</v>
      </c>
      <c r="D417" s="168">
        <v>1.3127</v>
      </c>
      <c r="E417" s="169">
        <v>39.86</v>
      </c>
      <c r="F417" s="169">
        <v>215.36</v>
      </c>
      <c r="G417" s="169">
        <v>9.15</v>
      </c>
      <c r="H417" s="169">
        <v>24.38</v>
      </c>
      <c r="I417" s="170"/>
      <c r="J417" s="167"/>
      <c r="K417" s="167">
        <v>264.37</v>
      </c>
      <c r="L417" s="171"/>
      <c r="M417" s="172">
        <v>37.74</v>
      </c>
      <c r="N417" s="172">
        <v>302.11</v>
      </c>
    </row>
    <row r="418" spans="1:14" x14ac:dyDescent="0.25">
      <c r="A418" s="165">
        <v>1518088830</v>
      </c>
      <c r="B418" s="166" t="s">
        <v>775</v>
      </c>
      <c r="C418" s="167">
        <v>242</v>
      </c>
      <c r="D418" s="168">
        <v>1.1393</v>
      </c>
      <c r="E418" s="169">
        <v>39.86</v>
      </c>
      <c r="F418" s="169">
        <v>185.92</v>
      </c>
      <c r="G418" s="169">
        <v>15.69</v>
      </c>
      <c r="H418" s="169">
        <v>7.88</v>
      </c>
      <c r="I418" s="170"/>
      <c r="J418" s="167"/>
      <c r="K418" s="167">
        <v>242</v>
      </c>
      <c r="L418" s="171"/>
      <c r="M418" s="172">
        <v>37.74</v>
      </c>
      <c r="N418" s="172">
        <v>279.74</v>
      </c>
    </row>
    <row r="419" spans="1:14" x14ac:dyDescent="0.25">
      <c r="A419" s="165">
        <v>1164848503</v>
      </c>
      <c r="B419" s="166" t="s">
        <v>366</v>
      </c>
      <c r="C419" s="167">
        <v>268.5</v>
      </c>
      <c r="D419" s="168">
        <v>1.3062</v>
      </c>
      <c r="E419" s="169">
        <v>39.86</v>
      </c>
      <c r="F419" s="169">
        <v>211.02</v>
      </c>
      <c r="G419" s="169">
        <v>20.239999999999998</v>
      </c>
      <c r="H419" s="169">
        <v>24.38</v>
      </c>
      <c r="I419" s="170"/>
      <c r="J419" s="167"/>
      <c r="K419" s="167">
        <v>271.12</v>
      </c>
      <c r="L419" s="171"/>
      <c r="M419" s="172">
        <v>37.74</v>
      </c>
      <c r="N419" s="172">
        <v>308.86</v>
      </c>
    </row>
    <row r="420" spans="1:14" x14ac:dyDescent="0.25">
      <c r="A420" s="174"/>
      <c r="B420" s="175"/>
      <c r="C420" s="176"/>
      <c r="D420" s="177"/>
      <c r="E420" s="178"/>
      <c r="F420" s="178"/>
      <c r="G420" s="178"/>
      <c r="H420" s="178"/>
      <c r="I420" s="179"/>
      <c r="J420" s="176"/>
      <c r="K420" s="176"/>
      <c r="M420" s="180"/>
      <c r="N420" s="180"/>
    </row>
    <row r="421" spans="1:14" x14ac:dyDescent="0.25">
      <c r="A421" s="174"/>
      <c r="B421" s="175"/>
      <c r="C421" s="176"/>
      <c r="D421" s="177"/>
      <c r="E421" s="178"/>
      <c r="F421" s="178"/>
      <c r="G421" s="178"/>
      <c r="H421" s="178"/>
      <c r="I421" s="179"/>
      <c r="J421" s="176"/>
      <c r="K421" s="176"/>
      <c r="M421" s="180"/>
      <c r="N421" s="180"/>
    </row>
    <row r="422" spans="1:14" x14ac:dyDescent="0.25">
      <c r="A422" s="181" t="s">
        <v>776</v>
      </c>
      <c r="E422" s="179"/>
      <c r="F422" s="179"/>
      <c r="G422" s="182"/>
      <c r="J422" s="179"/>
    </row>
    <row r="423" spans="1:14" ht="66" customHeight="1" x14ac:dyDescent="0.25">
      <c r="A423" s="183" t="s">
        <v>48</v>
      </c>
      <c r="B423" s="183" t="s">
        <v>621</v>
      </c>
      <c r="C423" s="184" t="s">
        <v>777</v>
      </c>
      <c r="D423" s="185" t="s">
        <v>778</v>
      </c>
      <c r="E423" s="185" t="s">
        <v>779</v>
      </c>
      <c r="F423" s="185" t="s">
        <v>780</v>
      </c>
      <c r="G423" s="185" t="s">
        <v>781</v>
      </c>
      <c r="H423" s="185" t="s">
        <v>782</v>
      </c>
      <c r="I423" s="186"/>
      <c r="J423" s="187" t="s">
        <v>783</v>
      </c>
      <c r="K423" s="187" t="s">
        <v>784</v>
      </c>
      <c r="L423" s="188"/>
      <c r="M423" s="164" t="s">
        <v>630</v>
      </c>
      <c r="N423" s="189" t="s">
        <v>785</v>
      </c>
    </row>
    <row r="424" spans="1:14" x14ac:dyDescent="0.25">
      <c r="A424" s="171">
        <v>1073168316</v>
      </c>
      <c r="B424" s="171" t="s">
        <v>786</v>
      </c>
      <c r="C424" s="190">
        <v>451.94</v>
      </c>
      <c r="D424" s="191" t="s">
        <v>787</v>
      </c>
      <c r="E424" s="191" t="s">
        <v>787</v>
      </c>
      <c r="F424" s="191" t="s">
        <v>787</v>
      </c>
      <c r="G424" s="191" t="s">
        <v>787</v>
      </c>
      <c r="H424" s="191" t="s">
        <v>787</v>
      </c>
      <c r="I424" s="192"/>
      <c r="J424" s="193"/>
      <c r="K424" s="193">
        <v>451.94</v>
      </c>
      <c r="L424" s="193"/>
      <c r="M424" s="193">
        <v>37.74</v>
      </c>
      <c r="N424" s="193">
        <v>489.68</v>
      </c>
    </row>
  </sheetData>
  <autoFilter ref="A23:P419" xr:uid="{C617CB4D-8AF1-4D11-BCCD-F00D64DA0E12}"/>
  <mergeCells count="11">
    <mergeCell ref="A16:N16"/>
    <mergeCell ref="A9:N9"/>
    <mergeCell ref="A10:N10"/>
    <mergeCell ref="A12:N12"/>
    <mergeCell ref="A14:N14"/>
    <mergeCell ref="A15:N15"/>
    <mergeCell ref="A17:N17"/>
    <mergeCell ref="A19:N19"/>
    <mergeCell ref="A20:N20"/>
    <mergeCell ref="A21:N21"/>
    <mergeCell ref="A22:N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sheetPr>
  <dimension ref="A2:P36"/>
  <sheetViews>
    <sheetView workbookViewId="0">
      <selection activeCell="B2" sqref="B2"/>
    </sheetView>
  </sheetViews>
  <sheetFormatPr defaultRowHeight="13.2" x14ac:dyDescent="0.25"/>
  <cols>
    <col min="1" max="1" width="35.5546875" customWidth="1"/>
    <col min="2" max="2" width="15.6640625" customWidth="1"/>
    <col min="3" max="4" width="12.88671875" customWidth="1"/>
    <col min="6" max="7" width="3.6640625" customWidth="1"/>
    <col min="8" max="8" width="37.33203125" customWidth="1"/>
    <col min="9" max="9" width="11" bestFit="1" customWidth="1"/>
    <col min="10" max="10" width="3.6640625" customWidth="1"/>
    <col min="11" max="11" width="2.6640625" customWidth="1"/>
    <col min="12" max="12" width="3.21875" customWidth="1"/>
    <col min="13" max="13" width="3.6640625" customWidth="1"/>
    <col min="14" max="14" width="35.88671875" customWidth="1"/>
    <col min="15" max="15" width="10.5546875" customWidth="1"/>
    <col min="16" max="16" width="2.88671875" customWidth="1"/>
  </cols>
  <sheetData>
    <row r="2" spans="1:16" ht="21.6" thickBot="1" x14ac:dyDescent="0.45">
      <c r="A2" s="202" t="s">
        <v>373</v>
      </c>
      <c r="B2" s="203"/>
    </row>
    <row r="3" spans="1:16" ht="13.8" thickTop="1" x14ac:dyDescent="0.25">
      <c r="B3" s="42"/>
      <c r="C3" s="134"/>
      <c r="D3" s="5"/>
      <c r="E3" s="5"/>
      <c r="F3" s="9"/>
      <c r="G3" s="10"/>
      <c r="H3" s="10"/>
      <c r="I3" s="10"/>
      <c r="J3" s="11"/>
      <c r="L3" s="9"/>
      <c r="M3" s="10"/>
      <c r="N3" s="10"/>
      <c r="O3" s="10"/>
      <c r="P3" s="11"/>
    </row>
    <row r="4" spans="1:16" x14ac:dyDescent="0.25">
      <c r="A4" s="5" t="s">
        <v>621</v>
      </c>
      <c r="B4" s="32" t="e">
        <f>VLOOKUP(B2,'April 2023 Fee Schedule'!A24:B419,2,FALSE)</f>
        <v>#N/A</v>
      </c>
      <c r="F4" s="211" t="s">
        <v>604</v>
      </c>
      <c r="G4" s="212"/>
      <c r="H4" s="212"/>
      <c r="I4" s="212"/>
      <c r="J4" s="213"/>
      <c r="L4" s="211" t="s">
        <v>25</v>
      </c>
      <c r="M4" s="212"/>
      <c r="N4" s="212"/>
      <c r="O4" s="212"/>
      <c r="P4" s="213"/>
    </row>
    <row r="5" spans="1:16" x14ac:dyDescent="0.25">
      <c r="B5" s="114"/>
      <c r="F5" s="211" t="s">
        <v>25</v>
      </c>
      <c r="G5" s="212"/>
      <c r="H5" s="212"/>
      <c r="I5" s="212"/>
      <c r="J5" s="213"/>
      <c r="L5" s="214" t="s">
        <v>376</v>
      </c>
      <c r="M5" s="215"/>
      <c r="N5" s="215"/>
      <c r="O5" s="215"/>
      <c r="P5" s="216"/>
    </row>
    <row r="6" spans="1:16" ht="13.8" thickBot="1" x14ac:dyDescent="0.3">
      <c r="F6" s="211" t="str">
        <f>IF('New Facilities'!C2&lt;&gt;"New","","For a 'new' facility - one without a 2005 Medicaid cost report")</f>
        <v/>
      </c>
      <c r="G6" s="212"/>
      <c r="H6" s="212"/>
      <c r="I6" s="212"/>
      <c r="J6" s="213"/>
      <c r="L6" s="214" t="str">
        <f>+F6</f>
        <v/>
      </c>
      <c r="M6" s="215"/>
      <c r="N6" s="215"/>
      <c r="O6" s="215"/>
      <c r="P6" s="216"/>
    </row>
    <row r="7" spans="1:16" ht="13.8" thickTop="1" x14ac:dyDescent="0.25">
      <c r="A7" s="107"/>
      <c r="D7" s="15"/>
      <c r="F7" s="9"/>
      <c r="G7" s="10"/>
      <c r="H7" s="10"/>
      <c r="I7" s="10"/>
      <c r="J7" s="11"/>
      <c r="L7" s="9"/>
      <c r="M7" s="10"/>
      <c r="N7" s="10"/>
      <c r="O7" s="10"/>
      <c r="P7" s="11"/>
    </row>
    <row r="8" spans="1:16" x14ac:dyDescent="0.25">
      <c r="D8" s="15"/>
      <c r="F8" s="33" t="s">
        <v>37</v>
      </c>
      <c r="H8" t="s">
        <v>32</v>
      </c>
      <c r="I8" s="18" t="e">
        <f>+B9</f>
        <v>#N/A</v>
      </c>
      <c r="J8" s="17"/>
      <c r="L8" s="33" t="s">
        <v>37</v>
      </c>
      <c r="N8" t="s">
        <v>32</v>
      </c>
      <c r="O8" s="18">
        <f>+B10</f>
        <v>0</v>
      </c>
      <c r="P8" s="17"/>
    </row>
    <row r="9" spans="1:16" x14ac:dyDescent="0.25">
      <c r="A9" s="5" t="s">
        <v>800</v>
      </c>
      <c r="B9" s="113" t="e">
        <f>VLOOKUP($B$2,'Lookup Info'!$A$2:$K$398,11,FALSE)</f>
        <v>#N/A</v>
      </c>
      <c r="D9" s="21"/>
      <c r="F9" s="33" t="s">
        <v>38</v>
      </c>
      <c r="H9" t="s">
        <v>31</v>
      </c>
      <c r="I9" s="20" t="e">
        <f>VLOOKUP(B2,'Lookup Info'!A2:D398,2,FALSE)</f>
        <v>#N/A</v>
      </c>
      <c r="J9" s="17"/>
      <c r="L9" s="33" t="s">
        <v>38</v>
      </c>
      <c r="N9" t="s">
        <v>31</v>
      </c>
      <c r="O9" s="20" t="e">
        <f>+I9</f>
        <v>#N/A</v>
      </c>
      <c r="P9" s="17"/>
    </row>
    <row r="10" spans="1:16" x14ac:dyDescent="0.25">
      <c r="A10" s="32" t="s">
        <v>374</v>
      </c>
      <c r="B10" s="68"/>
      <c r="C10" s="69" t="s">
        <v>378</v>
      </c>
      <c r="D10" s="15"/>
      <c r="F10" s="33"/>
      <c r="J10" s="17"/>
      <c r="L10" s="33"/>
      <c r="P10" s="17"/>
    </row>
    <row r="11" spans="1:16" x14ac:dyDescent="0.25">
      <c r="C11" s="15"/>
      <c r="D11" s="15"/>
      <c r="F11" s="33" t="str">
        <f>IF('New Facilities'!$C$2&lt;&gt;"New","c","c1")</f>
        <v>c</v>
      </c>
      <c r="H11" s="32" t="str">
        <f>IF('New Facilities'!$C$2&lt;&gt;"New","Direct Neutralized Rate Cap","Average Direct Rate")</f>
        <v>Direct Neutralized Rate Cap</v>
      </c>
      <c r="I11" s="35">
        <f>IF('New Facilities'!$C$2&lt;&gt;"New",133.36,'New Facilities'!G4)</f>
        <v>133.36000000000001</v>
      </c>
      <c r="J11" s="17"/>
      <c r="L11" s="33" t="str">
        <f>+F11</f>
        <v>c</v>
      </c>
      <c r="N11" s="32" t="str">
        <f>+H11</f>
        <v>Direct Neutralized Rate Cap</v>
      </c>
      <c r="O11" s="31">
        <f>+I11</f>
        <v>133.36000000000001</v>
      </c>
      <c r="P11" s="17"/>
    </row>
    <row r="12" spans="1:16" ht="12.75" customHeight="1" x14ac:dyDescent="0.25">
      <c r="A12" s="5"/>
      <c r="B12" s="32"/>
      <c r="C12" s="69"/>
      <c r="D12" s="32"/>
      <c r="F12" s="33" t="str">
        <f>IF('New Facilities'!$C$2&lt;&gt;"New","","c2")</f>
        <v/>
      </c>
      <c r="H12" s="32" t="str">
        <f>IF('New Facilities'!$C$2&lt;&gt;"New","","Average Case-Mix")</f>
        <v/>
      </c>
      <c r="I12" s="133" t="str">
        <f>IF('New Facilities'!$C$2&lt;&gt;"New","",'New Facilities'!G5)</f>
        <v/>
      </c>
      <c r="J12" s="17"/>
      <c r="L12" s="34" t="str">
        <f>+F12</f>
        <v/>
      </c>
      <c r="N12" t="str">
        <f>+H12</f>
        <v/>
      </c>
      <c r="O12" s="18" t="str">
        <f>IF('New Facilities'!C2&lt;&gt;"New","",'Rate Calculation'!I12)</f>
        <v/>
      </c>
      <c r="P12" s="17"/>
    </row>
    <row r="13" spans="1:16" x14ac:dyDescent="0.25">
      <c r="A13" s="32" t="s">
        <v>36</v>
      </c>
      <c r="B13" s="111" t="e">
        <f>+'FRV Rate Calculation'!C42</f>
        <v>#N/A</v>
      </c>
      <c r="C13" s="19"/>
      <c r="D13" s="22"/>
      <c r="F13" s="33" t="s">
        <v>40</v>
      </c>
      <c r="H13" s="32" t="str">
        <f>IF('New Facilities'!$C$2&lt;&gt;"New","CMI Portion of Rate Cap (b*c)","CMI Portion of Avg Direct Rate (b*c1)")</f>
        <v>CMI Portion of Rate Cap (b*c)</v>
      </c>
      <c r="I13" s="31" t="e">
        <f>+I11*I9</f>
        <v>#N/A</v>
      </c>
      <c r="J13" s="17"/>
      <c r="L13" s="33" t="s">
        <v>40</v>
      </c>
      <c r="N13" s="32" t="str">
        <f>IF('New Facilities'!$C$2&lt;&gt;"New","CMI Portion of Rate Cap (b*c)","CMI Portion of Avg Direct Rate (b*c1)")</f>
        <v>CMI Portion of Rate Cap (b*c)</v>
      </c>
      <c r="O13" s="31" t="e">
        <f>+O11*O9</f>
        <v>#N/A</v>
      </c>
      <c r="P13" s="17"/>
    </row>
    <row r="14" spans="1:16" x14ac:dyDescent="0.25">
      <c r="C14" s="15"/>
      <c r="D14" s="146"/>
      <c r="F14" s="33" t="s">
        <v>41</v>
      </c>
      <c r="H14" s="32" t="str">
        <f>IF('New Facilities'!$C$2&lt;&gt;"New","Non-CMI Portion of Rate Cap (c-d)","Non-CMI Portion of Avg Direct Rate (C1-d)")</f>
        <v>Non-CMI Portion of Rate Cap (c-d)</v>
      </c>
      <c r="I14" s="31" t="e">
        <f>+ROUND(I11-I13,4)</f>
        <v>#N/A</v>
      </c>
      <c r="J14" s="17"/>
      <c r="L14" s="33" t="s">
        <v>41</v>
      </c>
      <c r="N14" s="32" t="str">
        <f>IF('New Facilities'!$C$2&lt;&gt;"New","Non-CMI Portion of Rate Cap (c-d)","Non-CMI Portion of Avg Direct Rate (C1-d)")</f>
        <v>Non-CMI Portion of Rate Cap (c-d)</v>
      </c>
      <c r="O14" s="31" t="e">
        <f>+ROUND(O11-O13,4)</f>
        <v>#N/A</v>
      </c>
      <c r="P14" s="17"/>
    </row>
    <row r="15" spans="1:16" x14ac:dyDescent="0.25">
      <c r="A15" s="30" t="s">
        <v>34</v>
      </c>
      <c r="B15" s="111" t="e">
        <f>VLOOKUP($B$2,'Lookup Info'!$A$2:$J$398,10,FALSE)</f>
        <v>#N/A</v>
      </c>
      <c r="D15" s="73"/>
      <c r="F15" s="33" t="s">
        <v>42</v>
      </c>
      <c r="H15" s="32" t="str">
        <f>IF('New Facilities'!$C$2&lt;&gt;"New","2005 Based Direct Rate (a*d+e)","Direct Rate (d*a/c2) ****")</f>
        <v>2005 Based Direct Rate (a*d+e)</v>
      </c>
      <c r="I15" s="35" t="e">
        <f>IF('New Facilities'!$C$2&lt;&gt;"New",ROUND(I13*I8+I14,2),'Rate Calculation'!I13*'Rate Calculation'!I8/'Rate Calculation'!I12+'Rate Calculation'!I14)</f>
        <v>#N/A</v>
      </c>
      <c r="J15" s="17"/>
      <c r="L15" s="33" t="s">
        <v>42</v>
      </c>
      <c r="N15" s="32" t="str">
        <f>IF('New Facilities'!$C$2&lt;&gt;"New","2005 Based Direct Rate (a*d+e)","Direct Rate (d*a/c2) ****")</f>
        <v>2005 Based Direct Rate (a*d+e)</v>
      </c>
      <c r="O15" s="35" t="e">
        <f>IF('New Facilities'!$C$2&lt;&gt;"New",ROUND(O13*O8+O14,2),'Rate Calculation'!O13*'Rate Calculation'!O8/'Rate Calculation'!O12+'Rate Calculation'!O14)</f>
        <v>#N/A</v>
      </c>
      <c r="P15" s="17"/>
    </row>
    <row r="16" spans="1:16" x14ac:dyDescent="0.25">
      <c r="C16" s="19"/>
      <c r="D16" s="4"/>
      <c r="F16" s="16"/>
      <c r="J16" s="17"/>
      <c r="L16" s="16"/>
      <c r="P16" s="17"/>
    </row>
    <row r="17" spans="1:16" x14ac:dyDescent="0.25">
      <c r="A17" s="207" t="s">
        <v>595</v>
      </c>
      <c r="B17" s="208"/>
      <c r="C17" s="208"/>
      <c r="D17" s="205"/>
      <c r="F17" s="33" t="s">
        <v>43</v>
      </c>
      <c r="H17" s="32" t="s">
        <v>33</v>
      </c>
      <c r="I17" s="35">
        <v>39.86</v>
      </c>
      <c r="J17" s="17"/>
      <c r="L17" s="33" t="s">
        <v>43</v>
      </c>
      <c r="N17" s="32" t="s">
        <v>33</v>
      </c>
      <c r="O17" s="35">
        <f>+I17</f>
        <v>39.86</v>
      </c>
      <c r="P17" s="17"/>
    </row>
    <row r="18" spans="1:16" x14ac:dyDescent="0.25">
      <c r="A18" s="208"/>
      <c r="B18" s="208"/>
      <c r="C18" s="208"/>
      <c r="D18" s="205"/>
      <c r="E18" s="7"/>
      <c r="F18" s="33" t="s">
        <v>44</v>
      </c>
      <c r="H18" s="32" t="s">
        <v>26</v>
      </c>
      <c r="I18" s="36" t="e">
        <f>+B13</f>
        <v>#N/A</v>
      </c>
      <c r="J18" s="17"/>
      <c r="L18" s="33" t="s">
        <v>44</v>
      </c>
      <c r="N18" s="32" t="s">
        <v>26</v>
      </c>
      <c r="O18" s="36" t="e">
        <f>+'FRV Rate Calculation'!F42</f>
        <v>#N/A</v>
      </c>
      <c r="P18" s="17"/>
    </row>
    <row r="19" spans="1:16" x14ac:dyDescent="0.25">
      <c r="A19" s="204" t="s">
        <v>596</v>
      </c>
      <c r="B19" s="205"/>
      <c r="C19" s="205"/>
      <c r="D19" s="205"/>
      <c r="E19" s="7"/>
      <c r="F19" s="33" t="s">
        <v>45</v>
      </c>
      <c r="H19" s="32" t="s">
        <v>27</v>
      </c>
      <c r="I19" s="36" t="e">
        <f>+B15</f>
        <v>#N/A</v>
      </c>
      <c r="J19" s="17"/>
      <c r="L19" s="33" t="s">
        <v>45</v>
      </c>
      <c r="N19" s="32" t="s">
        <v>27</v>
      </c>
      <c r="O19" s="36" t="e">
        <f>+I19</f>
        <v>#N/A</v>
      </c>
      <c r="P19" s="17"/>
    </row>
    <row r="20" spans="1:16" ht="13.2" customHeight="1" x14ac:dyDescent="0.25">
      <c r="A20" s="205"/>
      <c r="B20" s="205"/>
      <c r="C20" s="205"/>
      <c r="D20" s="205"/>
      <c r="E20" s="7"/>
      <c r="F20" s="33" t="s">
        <v>66</v>
      </c>
      <c r="H20" s="32" t="s">
        <v>590</v>
      </c>
      <c r="I20" s="35">
        <v>31.9</v>
      </c>
      <c r="J20" s="17"/>
      <c r="L20" s="33" t="s">
        <v>66</v>
      </c>
      <c r="N20" s="32" t="s">
        <v>590</v>
      </c>
      <c r="O20" s="35">
        <v>31.9</v>
      </c>
      <c r="P20" s="17"/>
    </row>
    <row r="21" spans="1:16" ht="26.4" customHeight="1" x14ac:dyDescent="0.25">
      <c r="A21" s="205"/>
      <c r="B21" s="205"/>
      <c r="C21" s="205"/>
      <c r="D21" s="205"/>
      <c r="E21" s="7"/>
      <c r="F21" s="33" t="s">
        <v>67</v>
      </c>
      <c r="H21" s="32" t="s">
        <v>591</v>
      </c>
      <c r="I21" s="35" t="e">
        <f>+I15+I17+I18+I19+I20</f>
        <v>#N/A</v>
      </c>
      <c r="J21" s="17"/>
      <c r="L21" s="33" t="s">
        <v>67</v>
      </c>
      <c r="N21" s="32" t="s">
        <v>591</v>
      </c>
      <c r="O21" s="35" t="e">
        <f>+O15+O17+O18+O19+O20</f>
        <v>#N/A</v>
      </c>
      <c r="P21" s="17"/>
    </row>
    <row r="22" spans="1:16" x14ac:dyDescent="0.25">
      <c r="E22" s="7"/>
      <c r="F22" s="33"/>
      <c r="H22" s="141"/>
      <c r="I22" s="142"/>
      <c r="J22" s="17"/>
      <c r="L22" s="16"/>
      <c r="N22" s="204" t="s">
        <v>375</v>
      </c>
      <c r="O22" s="135" t="str">
        <f>IF(B10="","n/a",O21-I21)</f>
        <v>n/a</v>
      </c>
      <c r="P22" s="17"/>
    </row>
    <row r="23" spans="1:16" x14ac:dyDescent="0.25">
      <c r="A23" s="30" t="s">
        <v>35</v>
      </c>
      <c r="E23" s="7"/>
      <c r="F23" s="33" t="s">
        <v>70</v>
      </c>
      <c r="H23" s="32" t="s">
        <v>797</v>
      </c>
      <c r="I23" s="38" t="e">
        <f>VLOOKUP(B2,'April 2023 Fee Schedule'!A24:C419,3,FALSE)</f>
        <v>#N/A</v>
      </c>
      <c r="J23" s="17"/>
      <c r="L23" s="16"/>
      <c r="N23" s="205"/>
      <c r="O23" s="38"/>
      <c r="P23" s="17"/>
    </row>
    <row r="24" spans="1:16" x14ac:dyDescent="0.25">
      <c r="A24" t="s">
        <v>28</v>
      </c>
      <c r="E24" s="7"/>
      <c r="F24" s="33" t="s">
        <v>72</v>
      </c>
      <c r="H24" s="32" t="s">
        <v>593</v>
      </c>
      <c r="I24" s="38" t="e">
        <f>MAX(I21:I23)</f>
        <v>#N/A</v>
      </c>
      <c r="J24" s="17"/>
      <c r="L24" s="16"/>
      <c r="N24" s="32"/>
      <c r="O24" s="38"/>
      <c r="P24" s="17"/>
    </row>
    <row r="25" spans="1:16" x14ac:dyDescent="0.25">
      <c r="A25" s="32" t="s">
        <v>801</v>
      </c>
      <c r="E25" s="7"/>
      <c r="F25" s="33" t="s">
        <v>75</v>
      </c>
      <c r="H25" s="32" t="s">
        <v>380</v>
      </c>
      <c r="I25" s="38">
        <v>37.74</v>
      </c>
      <c r="J25" s="17"/>
      <c r="L25" s="16"/>
      <c r="M25" s="217" t="s">
        <v>377</v>
      </c>
      <c r="N25" s="217"/>
      <c r="O25" s="217"/>
      <c r="P25" s="17"/>
    </row>
    <row r="26" spans="1:16" ht="13.8" thickBot="1" x14ac:dyDescent="0.3">
      <c r="A26" s="32" t="s">
        <v>802</v>
      </c>
      <c r="E26" s="7"/>
      <c r="F26" s="33" t="s">
        <v>77</v>
      </c>
      <c r="H26" s="32" t="s">
        <v>605</v>
      </c>
      <c r="I26" s="201" t="e">
        <f>+I24+I25</f>
        <v>#N/A</v>
      </c>
      <c r="J26" s="17"/>
      <c r="L26" s="16"/>
      <c r="M26" s="217"/>
      <c r="N26" s="217"/>
      <c r="O26" s="217"/>
      <c r="P26" s="17"/>
    </row>
    <row r="27" spans="1:16" ht="13.2" customHeight="1" thickTop="1" x14ac:dyDescent="0.25">
      <c r="A27" s="32" t="s">
        <v>600</v>
      </c>
      <c r="E27" s="7"/>
      <c r="F27" s="16"/>
      <c r="J27" s="17"/>
      <c r="L27" s="16"/>
      <c r="M27" s="208"/>
      <c r="N27" s="208"/>
      <c r="O27" s="208"/>
      <c r="P27" s="17"/>
    </row>
    <row r="28" spans="1:16" x14ac:dyDescent="0.25">
      <c r="E28" s="32"/>
      <c r="F28" s="16"/>
      <c r="J28" s="17"/>
      <c r="L28" s="16"/>
      <c r="P28" s="17"/>
    </row>
    <row r="29" spans="1:16" x14ac:dyDescent="0.25">
      <c r="A29" s="206" t="s">
        <v>594</v>
      </c>
      <c r="B29" s="205"/>
      <c r="C29" s="205"/>
      <c r="D29" s="205"/>
      <c r="F29" s="16"/>
      <c r="G29" s="217" t="s">
        <v>606</v>
      </c>
      <c r="H29" s="217"/>
      <c r="I29" s="217"/>
      <c r="J29" s="17"/>
      <c r="L29" s="16"/>
      <c r="P29" s="17"/>
    </row>
    <row r="30" spans="1:16" ht="24.6" customHeight="1" x14ac:dyDescent="0.25">
      <c r="A30" s="205"/>
      <c r="B30" s="205"/>
      <c r="C30" s="205"/>
      <c r="D30" s="205"/>
      <c r="F30" s="16"/>
      <c r="G30" s="217"/>
      <c r="H30" s="217"/>
      <c r="I30" s="217"/>
      <c r="J30" s="17"/>
      <c r="L30" s="16"/>
      <c r="P30" s="17"/>
    </row>
    <row r="31" spans="1:16" ht="13.8" thickBot="1" x14ac:dyDescent="0.3">
      <c r="A31" s="205"/>
      <c r="B31" s="205"/>
      <c r="C31" s="205"/>
      <c r="D31" s="205"/>
      <c r="F31" s="16"/>
      <c r="G31" s="208"/>
      <c r="H31" s="208"/>
      <c r="I31" s="208"/>
      <c r="J31" s="17"/>
      <c r="L31" s="12"/>
      <c r="M31" s="13"/>
      <c r="N31" s="13"/>
      <c r="O31" s="13"/>
      <c r="P31" s="14"/>
    </row>
    <row r="32" spans="1:16" ht="13.8" customHeight="1" thickTop="1" x14ac:dyDescent="0.25">
      <c r="F32" s="16"/>
      <c r="G32" s="209" t="e">
        <f>IF(I24&gt;I21,"Hold harmless caution:  The amount on line l is greater than the amount on line k.  You are receiving benefit from the 'rate hold harmless'.  The Medicaid rate without any COVID enhancements is shown on line k.","")</f>
        <v>#N/A</v>
      </c>
      <c r="H32" s="209"/>
      <c r="I32" s="209"/>
      <c r="J32" s="17"/>
    </row>
    <row r="33" spans="6:10" ht="13.2" customHeight="1" x14ac:dyDescent="0.25">
      <c r="F33" s="16"/>
      <c r="G33" s="209"/>
      <c r="H33" s="209"/>
      <c r="I33" s="209"/>
      <c r="J33" s="17"/>
    </row>
    <row r="34" spans="6:10" ht="22.2" customHeight="1" x14ac:dyDescent="0.25">
      <c r="F34" s="16"/>
      <c r="G34" s="210"/>
      <c r="H34" s="210"/>
      <c r="I34" s="210"/>
      <c r="J34" s="17"/>
    </row>
    <row r="35" spans="6:10" ht="13.8" thickBot="1" x14ac:dyDescent="0.3">
      <c r="F35" s="12"/>
      <c r="G35" s="13"/>
      <c r="H35" s="13"/>
      <c r="I35" s="13"/>
      <c r="J35" s="14"/>
    </row>
    <row r="36" spans="6:10" ht="13.8" thickTop="1" x14ac:dyDescent="0.25"/>
  </sheetData>
  <mergeCells count="13">
    <mergeCell ref="A17:D18"/>
    <mergeCell ref="A29:D31"/>
    <mergeCell ref="G32:I34"/>
    <mergeCell ref="L4:P4"/>
    <mergeCell ref="L5:P5"/>
    <mergeCell ref="L6:P6"/>
    <mergeCell ref="N22:N23"/>
    <mergeCell ref="M25:O27"/>
    <mergeCell ref="F4:J4"/>
    <mergeCell ref="F6:J6"/>
    <mergeCell ref="F5:J5"/>
    <mergeCell ref="G29:I31"/>
    <mergeCell ref="A19:D21"/>
  </mergeCells>
  <phoneticPr fontId="4" type="noConversion"/>
  <printOptions horizontalCentered="1" vertic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955-E9A6-4EDB-98F4-65E538B96F09}">
  <sheetPr>
    <tabColor theme="3" tint="0.79998168889431442"/>
  </sheetPr>
  <dimension ref="A1:L31"/>
  <sheetViews>
    <sheetView workbookViewId="0">
      <selection activeCell="A14" sqref="A14"/>
    </sheetView>
  </sheetViews>
  <sheetFormatPr defaultRowHeight="13.2" x14ac:dyDescent="0.25"/>
  <cols>
    <col min="7" max="7" width="9.77734375" bestFit="1" customWidth="1"/>
  </cols>
  <sheetData>
    <row r="1" spans="1:12" x14ac:dyDescent="0.25">
      <c r="A1" s="32" t="s">
        <v>565</v>
      </c>
    </row>
    <row r="2" spans="1:12" x14ac:dyDescent="0.25">
      <c r="A2" s="96">
        <v>1730136250</v>
      </c>
      <c r="B2" s="32" t="s">
        <v>115</v>
      </c>
      <c r="C2" t="str">
        <f>IFERROR(VLOOKUP('Rate Calculation'!B2,'New Facilities'!A2:B41,2,FALSE),"old")</f>
        <v>old</v>
      </c>
    </row>
    <row r="3" spans="1:12" ht="14.4" x14ac:dyDescent="0.3">
      <c r="A3" s="96">
        <v>1861521635</v>
      </c>
      <c r="B3" s="32" t="s">
        <v>115</v>
      </c>
      <c r="E3" s="56"/>
      <c r="F3" s="115"/>
      <c r="G3" s="116">
        <v>45017</v>
      </c>
      <c r="H3" s="115"/>
    </row>
    <row r="4" spans="1:12" x14ac:dyDescent="0.25">
      <c r="A4" s="96">
        <v>1891908687</v>
      </c>
      <c r="B4" s="32" t="s">
        <v>115</v>
      </c>
      <c r="E4" t="s">
        <v>566</v>
      </c>
      <c r="F4" s="117"/>
      <c r="G4" s="117">
        <v>150.26</v>
      </c>
      <c r="H4" s="117"/>
      <c r="I4" s="118" t="s">
        <v>567</v>
      </c>
      <c r="J4" s="118"/>
      <c r="K4" s="118"/>
      <c r="L4" s="118"/>
    </row>
    <row r="5" spans="1:12" x14ac:dyDescent="0.25">
      <c r="A5" s="96">
        <v>1932368586</v>
      </c>
      <c r="B5" s="32" t="s">
        <v>115</v>
      </c>
      <c r="E5" t="s">
        <v>568</v>
      </c>
      <c r="F5" s="119"/>
      <c r="G5" s="119">
        <v>1.1984999999999999</v>
      </c>
      <c r="H5" s="120"/>
      <c r="I5" s="121" t="s">
        <v>569</v>
      </c>
      <c r="J5" s="121"/>
      <c r="K5" s="121"/>
      <c r="L5" s="121"/>
    </row>
    <row r="6" spans="1:12" x14ac:dyDescent="0.25">
      <c r="A6" s="96">
        <v>1306372230</v>
      </c>
      <c r="B6" s="32" t="s">
        <v>115</v>
      </c>
      <c r="E6" t="s">
        <v>570</v>
      </c>
      <c r="F6" s="122"/>
      <c r="G6" s="123">
        <v>0.65</v>
      </c>
      <c r="H6" s="124"/>
      <c r="I6" s="125" t="s">
        <v>571</v>
      </c>
      <c r="J6" s="125"/>
      <c r="K6" s="125"/>
      <c r="L6" s="125"/>
    </row>
    <row r="7" spans="1:12" x14ac:dyDescent="0.25">
      <c r="A7" s="96">
        <v>1437484672</v>
      </c>
      <c r="B7" s="32" t="s">
        <v>115</v>
      </c>
      <c r="E7" t="s">
        <v>572</v>
      </c>
      <c r="F7" s="126"/>
      <c r="G7" s="126">
        <f>+G4*G6</f>
        <v>97.668999999999997</v>
      </c>
      <c r="H7" s="39"/>
    </row>
    <row r="8" spans="1:12" x14ac:dyDescent="0.25">
      <c r="A8" s="96">
        <v>1982130811</v>
      </c>
      <c r="B8" s="32" t="s">
        <v>115</v>
      </c>
      <c r="E8" t="s">
        <v>573</v>
      </c>
      <c r="F8" s="126"/>
      <c r="G8" s="126">
        <f>+G4-G7</f>
        <v>52.590999999999994</v>
      </c>
      <c r="H8" s="39"/>
    </row>
    <row r="9" spans="1:12" x14ac:dyDescent="0.25">
      <c r="A9" s="96">
        <v>1124342241</v>
      </c>
      <c r="B9" s="32" t="s">
        <v>115</v>
      </c>
      <c r="E9" t="s">
        <v>574</v>
      </c>
      <c r="F9" s="127"/>
      <c r="G9" s="128">
        <v>1.2782</v>
      </c>
      <c r="H9" s="129" t="s">
        <v>575</v>
      </c>
      <c r="K9" s="22"/>
    </row>
    <row r="10" spans="1:12" x14ac:dyDescent="0.25">
      <c r="A10" s="96">
        <v>1669613071</v>
      </c>
      <c r="B10" s="32" t="s">
        <v>115</v>
      </c>
      <c r="E10" t="s">
        <v>576</v>
      </c>
      <c r="F10" s="38"/>
      <c r="G10" s="38">
        <f>+(G7*G9/G5+G8)</f>
        <v>156.75496812682519</v>
      </c>
      <c r="H10" s="22"/>
      <c r="I10" s="22"/>
      <c r="J10" s="4"/>
    </row>
    <row r="11" spans="1:12" x14ac:dyDescent="0.25">
      <c r="A11" s="96">
        <v>1518112036</v>
      </c>
      <c r="B11" s="32" t="s">
        <v>115</v>
      </c>
      <c r="E11" t="s">
        <v>33</v>
      </c>
      <c r="F11" s="38"/>
      <c r="G11" s="38">
        <v>36.81</v>
      </c>
      <c r="H11" s="22"/>
    </row>
    <row r="12" spans="1:12" ht="14.4" x14ac:dyDescent="0.3">
      <c r="A12" s="96">
        <v>1114463932</v>
      </c>
      <c r="B12" s="32" t="s">
        <v>115</v>
      </c>
      <c r="E12" s="56" t="s">
        <v>577</v>
      </c>
      <c r="F12" s="130"/>
      <c r="G12" s="130">
        <f>+G10+G11</f>
        <v>193.56496812682519</v>
      </c>
      <c r="H12" s="130"/>
      <c r="I12" s="22"/>
    </row>
    <row r="13" spans="1:12" x14ac:dyDescent="0.25">
      <c r="A13" s="96">
        <v>1194028118</v>
      </c>
      <c r="B13" s="32" t="s">
        <v>115</v>
      </c>
      <c r="E13" t="s">
        <v>578</v>
      </c>
      <c r="G13" s="131"/>
      <c r="H13" s="129" t="s">
        <v>579</v>
      </c>
    </row>
    <row r="14" spans="1:12" x14ac:dyDescent="0.25">
      <c r="A14" s="96">
        <v>1255682522</v>
      </c>
      <c r="B14" s="32" t="s">
        <v>115</v>
      </c>
      <c r="E14" t="s">
        <v>27</v>
      </c>
      <c r="G14" s="131"/>
      <c r="H14" s="129" t="s">
        <v>580</v>
      </c>
    </row>
    <row r="15" spans="1:12" ht="13.8" thickBot="1" x14ac:dyDescent="0.3">
      <c r="A15" s="96">
        <v>1588805014</v>
      </c>
      <c r="B15" s="32" t="s">
        <v>115</v>
      </c>
      <c r="E15" t="s">
        <v>581</v>
      </c>
      <c r="G15" s="132">
        <f>SUM(G12:G14)</f>
        <v>193.56496812682519</v>
      </c>
      <c r="I15" s="22"/>
    </row>
    <row r="16" spans="1:12" ht="13.8" thickTop="1" x14ac:dyDescent="0.25">
      <c r="A16" s="96">
        <v>1962832899</v>
      </c>
      <c r="B16" s="32" t="s">
        <v>115</v>
      </c>
    </row>
    <row r="17" spans="1:2" x14ac:dyDescent="0.25">
      <c r="A17" s="114">
        <v>1710312079</v>
      </c>
      <c r="B17" s="32" t="s">
        <v>115</v>
      </c>
    </row>
    <row r="18" spans="1:2" x14ac:dyDescent="0.25">
      <c r="A18" s="114">
        <v>1992106348</v>
      </c>
      <c r="B18" s="32" t="s">
        <v>115</v>
      </c>
    </row>
    <row r="19" spans="1:2" x14ac:dyDescent="0.25">
      <c r="A19" s="114">
        <v>1376932889</v>
      </c>
      <c r="B19" s="32" t="s">
        <v>115</v>
      </c>
    </row>
    <row r="20" spans="1:2" x14ac:dyDescent="0.25">
      <c r="A20" s="114">
        <v>1912323635</v>
      </c>
      <c r="B20" s="32" t="s">
        <v>115</v>
      </c>
    </row>
    <row r="21" spans="1:2" x14ac:dyDescent="0.25">
      <c r="A21" s="114">
        <v>1841697422</v>
      </c>
      <c r="B21" s="32" t="s">
        <v>115</v>
      </c>
    </row>
    <row r="22" spans="1:2" x14ac:dyDescent="0.25">
      <c r="A22" s="114">
        <v>1003205337</v>
      </c>
      <c r="B22" s="32" t="s">
        <v>115</v>
      </c>
    </row>
    <row r="23" spans="1:2" x14ac:dyDescent="0.25">
      <c r="A23" s="114">
        <v>1477137628</v>
      </c>
      <c r="B23" s="32" t="s">
        <v>115</v>
      </c>
    </row>
    <row r="24" spans="1:2" x14ac:dyDescent="0.25">
      <c r="A24" s="114">
        <v>1992998504</v>
      </c>
      <c r="B24" s="32" t="s">
        <v>115</v>
      </c>
    </row>
    <row r="25" spans="1:2" x14ac:dyDescent="0.25">
      <c r="A25" s="114">
        <v>1093228397</v>
      </c>
      <c r="B25" s="32" t="s">
        <v>115</v>
      </c>
    </row>
    <row r="26" spans="1:2" x14ac:dyDescent="0.25">
      <c r="A26" s="114">
        <v>1558872333</v>
      </c>
      <c r="B26" s="32" t="s">
        <v>115</v>
      </c>
    </row>
    <row r="27" spans="1:2" x14ac:dyDescent="0.25">
      <c r="A27" s="114">
        <v>1730183625</v>
      </c>
      <c r="B27" s="32" t="s">
        <v>115</v>
      </c>
    </row>
    <row r="28" spans="1:2" x14ac:dyDescent="0.25">
      <c r="A28" s="114">
        <v>1033611959</v>
      </c>
      <c r="B28" s="32" t="s">
        <v>115</v>
      </c>
    </row>
    <row r="29" spans="1:2" x14ac:dyDescent="0.25">
      <c r="A29" s="114"/>
      <c r="B29" s="32"/>
    </row>
    <row r="30" spans="1:2" x14ac:dyDescent="0.25">
      <c r="A30" s="114"/>
      <c r="B30" s="32"/>
    </row>
    <row r="31" spans="1:2" x14ac:dyDescent="0.25">
      <c r="A31" s="114"/>
      <c r="B31" s="3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pageSetUpPr fitToPage="1"/>
  </sheetPr>
  <dimension ref="A1:K14"/>
  <sheetViews>
    <sheetView workbookViewId="0"/>
  </sheetViews>
  <sheetFormatPr defaultRowHeight="13.2" x14ac:dyDescent="0.25"/>
  <cols>
    <col min="1" max="1" width="5.6640625" customWidth="1"/>
    <col min="2" max="2" width="24.44140625" bestFit="1" customWidth="1"/>
    <col min="8" max="8" width="8.88671875" customWidth="1"/>
    <col min="9" max="9" width="15" customWidth="1"/>
  </cols>
  <sheetData>
    <row r="1" spans="1:11" ht="22.8" x14ac:dyDescent="0.4">
      <c r="A1" s="6" t="s">
        <v>24</v>
      </c>
      <c r="B1" s="6"/>
      <c r="C1" s="6"/>
      <c r="D1" s="6"/>
      <c r="E1" s="6"/>
      <c r="F1" s="6"/>
      <c r="G1" s="6"/>
      <c r="H1" s="6"/>
      <c r="I1" s="6"/>
    </row>
    <row r="3" spans="1:11" ht="32.4" customHeight="1" x14ac:dyDescent="0.25">
      <c r="A3" s="204" t="s">
        <v>46</v>
      </c>
      <c r="B3" s="205"/>
      <c r="C3" s="205"/>
      <c r="D3" s="205"/>
      <c r="E3" s="205"/>
      <c r="F3" s="205"/>
      <c r="G3" s="205"/>
      <c r="H3" s="205"/>
      <c r="I3" s="205"/>
    </row>
    <row r="4" spans="1:11" ht="40.200000000000003" customHeight="1" x14ac:dyDescent="0.25">
      <c r="A4" s="204" t="s">
        <v>597</v>
      </c>
      <c r="B4" s="205"/>
      <c r="C4" s="205"/>
      <c r="D4" s="205"/>
      <c r="E4" s="205"/>
      <c r="F4" s="205"/>
      <c r="G4" s="205"/>
      <c r="H4" s="205"/>
      <c r="I4" s="205"/>
    </row>
    <row r="5" spans="1:11" ht="48" customHeight="1" x14ac:dyDescent="0.25">
      <c r="A5" s="204" t="s">
        <v>598</v>
      </c>
      <c r="B5" s="205"/>
      <c r="C5" s="205"/>
      <c r="D5" s="205"/>
      <c r="E5" s="205"/>
      <c r="F5" s="205"/>
      <c r="G5" s="205"/>
      <c r="H5" s="205"/>
      <c r="I5" s="205"/>
    </row>
    <row r="6" spans="1:11" ht="27.75" customHeight="1" x14ac:dyDescent="0.3">
      <c r="A6" s="8" t="s">
        <v>23</v>
      </c>
    </row>
    <row r="7" spans="1:11" ht="37.5" customHeight="1" x14ac:dyDescent="0.25">
      <c r="A7" s="219" t="s">
        <v>381</v>
      </c>
      <c r="B7" s="219"/>
      <c r="C7" s="219"/>
      <c r="D7" s="219"/>
      <c r="E7" s="219"/>
      <c r="F7" s="219"/>
      <c r="G7" s="219"/>
      <c r="H7" s="219"/>
      <c r="I7" s="219"/>
    </row>
    <row r="8" spans="1:11" ht="25.5" customHeight="1" x14ac:dyDescent="0.25">
      <c r="A8" s="5" t="s">
        <v>382</v>
      </c>
    </row>
    <row r="9" spans="1:11" ht="26.4" customHeight="1" x14ac:dyDescent="0.25">
      <c r="A9" s="205" t="s">
        <v>383</v>
      </c>
      <c r="B9" s="205"/>
      <c r="C9" s="205"/>
      <c r="D9" s="205"/>
      <c r="E9" s="205"/>
      <c r="F9" s="205"/>
      <c r="G9" s="205"/>
      <c r="H9" s="205"/>
      <c r="I9" s="205"/>
    </row>
    <row r="10" spans="1:11" ht="25.5" customHeight="1" x14ac:dyDescent="0.25">
      <c r="A10" s="32" t="s">
        <v>387</v>
      </c>
    </row>
    <row r="11" spans="1:11" x14ac:dyDescent="0.25">
      <c r="B11" s="218" t="s">
        <v>384</v>
      </c>
      <c r="C11" s="205"/>
      <c r="D11" s="205"/>
      <c r="E11" s="205"/>
      <c r="F11" s="205"/>
      <c r="G11" s="205"/>
      <c r="H11" s="205"/>
      <c r="I11" s="205"/>
    </row>
    <row r="12" spans="1:11" ht="26.4" customHeight="1" x14ac:dyDescent="0.25">
      <c r="B12" s="218" t="s">
        <v>385</v>
      </c>
      <c r="C12" s="205"/>
      <c r="D12" s="205"/>
      <c r="E12" s="205"/>
      <c r="F12" s="205"/>
      <c r="G12" s="205"/>
      <c r="H12" s="205"/>
      <c r="I12" s="205"/>
    </row>
    <row r="13" spans="1:11" ht="26.4" customHeight="1" x14ac:dyDescent="0.25">
      <c r="B13" s="218" t="s">
        <v>386</v>
      </c>
      <c r="C13" s="205"/>
      <c r="D13" s="205"/>
      <c r="E13" s="205"/>
      <c r="F13" s="205"/>
      <c r="G13" s="205"/>
      <c r="H13" s="205"/>
      <c r="I13" s="205"/>
      <c r="J13" s="76"/>
      <c r="K13" s="76"/>
    </row>
    <row r="14" spans="1:11" ht="26.4" customHeight="1" x14ac:dyDescent="0.25">
      <c r="B14" s="218" t="s">
        <v>599</v>
      </c>
      <c r="C14" s="205"/>
      <c r="D14" s="205"/>
      <c r="E14" s="205"/>
      <c r="F14" s="205"/>
      <c r="G14" s="205"/>
      <c r="H14" s="205"/>
      <c r="I14" s="205"/>
      <c r="J14" s="76"/>
      <c r="K14" s="76"/>
    </row>
  </sheetData>
  <mergeCells count="9">
    <mergeCell ref="B13:I13"/>
    <mergeCell ref="B14:I14"/>
    <mergeCell ref="B11:I11"/>
    <mergeCell ref="B12:I12"/>
    <mergeCell ref="A3:I3"/>
    <mergeCell ref="A4:I4"/>
    <mergeCell ref="A5:I5"/>
    <mergeCell ref="A7:I7"/>
    <mergeCell ref="A9:I9"/>
  </mergeCells>
  <phoneticPr fontId="4" type="noConversion"/>
  <pageMargins left="0.75" right="0.75" top="0.72" bottom="1" header="0.5" footer="0.5"/>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79998168889431442"/>
    <pageSetUpPr fitToPage="1"/>
  </sheetPr>
  <dimension ref="A1:S84"/>
  <sheetViews>
    <sheetView zoomScaleNormal="100" workbookViewId="0"/>
  </sheetViews>
  <sheetFormatPr defaultRowHeight="13.2" x14ac:dyDescent="0.25"/>
  <cols>
    <col min="1" max="1" width="3.44140625" style="39" customWidth="1"/>
    <col min="2" max="2" width="41.109375" customWidth="1"/>
    <col min="3" max="3" width="16.6640625" bestFit="1" customWidth="1"/>
    <col min="4" max="4" width="18.6640625" customWidth="1"/>
    <col min="5" max="6" width="18.6640625" bestFit="1" customWidth="1"/>
    <col min="7" max="7" width="5.6640625" customWidth="1"/>
    <col min="8" max="8" width="49.109375" customWidth="1"/>
    <col min="9" max="9" width="15.109375" bestFit="1" customWidth="1"/>
    <col min="10" max="10" width="13.6640625" bestFit="1" customWidth="1"/>
    <col min="11" max="11" width="11" bestFit="1" customWidth="1"/>
    <col min="12" max="12" width="13.6640625" bestFit="1" customWidth="1"/>
    <col min="16" max="16" width="13.6640625" bestFit="1" customWidth="1"/>
    <col min="17" max="17" width="11" bestFit="1" customWidth="1"/>
    <col min="18" max="18" width="11.77734375" bestFit="1" customWidth="1"/>
    <col min="19" max="19" width="7.6640625" bestFit="1" customWidth="1"/>
  </cols>
  <sheetData>
    <row r="1" spans="1:19" ht="52.8" x14ac:dyDescent="0.25">
      <c r="C1" s="75" t="s">
        <v>52</v>
      </c>
      <c r="D1" s="75" t="s">
        <v>53</v>
      </c>
      <c r="E1" s="48" t="s">
        <v>54</v>
      </c>
      <c r="F1" s="136" t="s">
        <v>55</v>
      </c>
      <c r="G1" s="63" t="s">
        <v>120</v>
      </c>
      <c r="H1" s="137" t="s">
        <v>583</v>
      </c>
    </row>
    <row r="2" spans="1:19" x14ac:dyDescent="0.25">
      <c r="B2" t="s">
        <v>56</v>
      </c>
      <c r="C2" s="70">
        <f>+'Rate Calculation'!B2</f>
        <v>0</v>
      </c>
      <c r="D2">
        <f t="shared" ref="D2:D7" si="0">+C2</f>
        <v>0</v>
      </c>
      <c r="E2">
        <f>+C2</f>
        <v>0</v>
      </c>
      <c r="F2">
        <f>+D2</f>
        <v>0</v>
      </c>
    </row>
    <row r="3" spans="1:19" x14ac:dyDescent="0.25">
      <c r="B3" s="32" t="s">
        <v>803</v>
      </c>
      <c r="C3" s="71" t="e">
        <f>VLOOKUP($C$2,'Lookup Info'!$A$1:$I$398,8,FALSE)</f>
        <v>#N/A</v>
      </c>
      <c r="D3" s="15" t="e">
        <f t="shared" si="0"/>
        <v>#N/A</v>
      </c>
      <c r="E3" s="15" t="e">
        <f>700*E7</f>
        <v>#N/A</v>
      </c>
      <c r="F3" s="61"/>
      <c r="G3" s="63" t="s">
        <v>120</v>
      </c>
      <c r="H3" s="220" t="e">
        <f>IF(C16&lt;700,CONCATENATE("Number of Proposed Additional Nursing Square Feet, This facility is under the per bed sq ft floor.  ",C12*(C15-C13)," sq ft would need to be added before the rate is impacted.  Adding ",ROUND(E3-C3,0)," square feet will reach the sq ft ceiling."),"This facility is already at the square foot ceiling cap.  Adding square footage will not impact the FRV rate.")</f>
        <v>#N/A</v>
      </c>
      <c r="I3" s="38"/>
      <c r="J3" s="38"/>
    </row>
    <row r="4" spans="1:19" x14ac:dyDescent="0.25">
      <c r="B4" s="32" t="s">
        <v>372</v>
      </c>
      <c r="C4" s="72" t="e">
        <f>VLOOKUP($C$2,'Lookup Info'!$A$1:$I$398,9,FALSE)</f>
        <v>#N/A</v>
      </c>
      <c r="D4" s="19" t="e">
        <f t="shared" si="0"/>
        <v>#N/A</v>
      </c>
      <c r="E4" s="15" t="e">
        <f>+E3/E7</f>
        <v>#N/A</v>
      </c>
      <c r="F4" s="74"/>
      <c r="G4" s="63"/>
      <c r="H4" s="220"/>
      <c r="I4" s="38"/>
      <c r="J4" s="38"/>
    </row>
    <row r="5" spans="1:19" x14ac:dyDescent="0.25">
      <c r="B5" t="s">
        <v>17</v>
      </c>
      <c r="C5" s="71" t="e">
        <f>VLOOKUP($C$2,'Lookup Info'!$A$1:$D$398,4,FALSE)</f>
        <v>#N/A</v>
      </c>
      <c r="D5" s="15" t="e">
        <f t="shared" si="0"/>
        <v>#N/A</v>
      </c>
      <c r="E5" s="15" t="e">
        <f>+C5</f>
        <v>#N/A</v>
      </c>
      <c r="F5" s="15" t="e">
        <f t="shared" ref="F5:F7" si="1">+D5</f>
        <v>#N/A</v>
      </c>
      <c r="H5" s="220"/>
      <c r="I5" s="38"/>
      <c r="J5" s="38"/>
    </row>
    <row r="6" spans="1:19" x14ac:dyDescent="0.25">
      <c r="B6" t="s">
        <v>20</v>
      </c>
      <c r="C6" s="70" t="e">
        <f>VLOOKUP(C2,'Lookup Info'!A2:E398,5,FALSE)</f>
        <v>#N/A</v>
      </c>
      <c r="D6" s="49" t="e">
        <f t="shared" si="0"/>
        <v>#N/A</v>
      </c>
      <c r="E6" s="49" t="e">
        <f>+C6</f>
        <v>#N/A</v>
      </c>
      <c r="F6" s="49" t="e">
        <f t="shared" si="1"/>
        <v>#N/A</v>
      </c>
      <c r="H6" s="220"/>
    </row>
    <row r="7" spans="1:19" x14ac:dyDescent="0.25">
      <c r="B7" t="s">
        <v>57</v>
      </c>
      <c r="C7" s="70" t="e">
        <f>VLOOKUP(C2,'Lookup Info'!A2:F398,6,FALSE)</f>
        <v>#N/A</v>
      </c>
      <c r="D7" s="15" t="e">
        <f t="shared" si="0"/>
        <v>#N/A</v>
      </c>
      <c r="E7" s="15" t="e">
        <f>+C7</f>
        <v>#N/A</v>
      </c>
      <c r="F7" s="15" t="e">
        <f t="shared" si="1"/>
        <v>#N/A</v>
      </c>
      <c r="G7" s="50"/>
      <c r="H7" s="50"/>
      <c r="I7" s="50"/>
      <c r="J7" s="50"/>
    </row>
    <row r="8" spans="1:19" x14ac:dyDescent="0.25">
      <c r="F8" s="62"/>
      <c r="G8" s="63" t="s">
        <v>120</v>
      </c>
      <c r="H8" s="219" t="e">
        <f>CONCATENATE("Cost of Proposed Renovation, a renovation costing approximately $",E68," will make this facility brand new.")</f>
        <v>#N/A</v>
      </c>
      <c r="I8" s="38"/>
      <c r="J8" s="38"/>
    </row>
    <row r="9" spans="1:19" ht="14.4" x14ac:dyDescent="0.3">
      <c r="B9" s="51" t="s">
        <v>58</v>
      </c>
      <c r="H9" s="219"/>
      <c r="I9" s="38"/>
      <c r="J9" s="38"/>
      <c r="P9" s="38"/>
    </row>
    <row r="10" spans="1:19" x14ac:dyDescent="0.25">
      <c r="A10" s="39" t="s">
        <v>37</v>
      </c>
      <c r="B10" t="s">
        <v>21</v>
      </c>
      <c r="C10" s="148">
        <f>+'RSMeans Factors'!O8</f>
        <v>256.13</v>
      </c>
      <c r="D10" s="148">
        <f>+C10</f>
        <v>256.13</v>
      </c>
      <c r="E10" s="148">
        <f>+D10</f>
        <v>256.13</v>
      </c>
      <c r="F10" s="148">
        <f>+E10</f>
        <v>256.13</v>
      </c>
      <c r="G10" s="22"/>
      <c r="H10" s="219"/>
      <c r="J10" s="7"/>
      <c r="L10" s="38"/>
      <c r="P10" s="7"/>
      <c r="R10" s="38"/>
    </row>
    <row r="11" spans="1:19" x14ac:dyDescent="0.25">
      <c r="A11" s="39" t="s">
        <v>38</v>
      </c>
      <c r="B11" s="32" t="s">
        <v>804</v>
      </c>
      <c r="C11" s="3" t="e">
        <f>+C3</f>
        <v>#N/A</v>
      </c>
      <c r="D11" s="3" t="e">
        <f>+D3</f>
        <v>#N/A</v>
      </c>
      <c r="E11" s="3" t="e">
        <f>+E3</f>
        <v>#N/A</v>
      </c>
      <c r="F11" s="3" t="e">
        <f>+F3+C3</f>
        <v>#N/A</v>
      </c>
      <c r="G11" s="22"/>
      <c r="I11" s="38"/>
      <c r="J11" s="38"/>
      <c r="L11" s="38"/>
      <c r="M11" s="38"/>
      <c r="P11" s="38"/>
      <c r="R11" s="38"/>
      <c r="S11" s="38"/>
    </row>
    <row r="12" spans="1:19" x14ac:dyDescent="0.25">
      <c r="A12" s="39" t="s">
        <v>39</v>
      </c>
      <c r="B12" s="32" t="s">
        <v>57</v>
      </c>
      <c r="C12" s="3" t="e">
        <f>+C7</f>
        <v>#N/A</v>
      </c>
      <c r="D12" s="3" t="e">
        <f>+D7</f>
        <v>#N/A</v>
      </c>
      <c r="E12" s="3" t="e">
        <f>+E7</f>
        <v>#N/A</v>
      </c>
      <c r="F12" s="3" t="e">
        <f>+F7</f>
        <v>#N/A</v>
      </c>
      <c r="G12" s="3"/>
      <c r="H12" s="7"/>
      <c r="I12" s="38"/>
      <c r="J12" s="38"/>
      <c r="L12" s="38"/>
      <c r="M12" s="38"/>
      <c r="P12" s="38"/>
      <c r="R12" s="38"/>
      <c r="S12" s="38"/>
    </row>
    <row r="13" spans="1:19" x14ac:dyDescent="0.25">
      <c r="A13" s="39" t="s">
        <v>40</v>
      </c>
      <c r="B13" t="s">
        <v>59</v>
      </c>
      <c r="C13" s="19" t="e">
        <f>+C11/C7</f>
        <v>#N/A</v>
      </c>
      <c r="D13" s="4" t="e">
        <f>+D11/D7</f>
        <v>#N/A</v>
      </c>
      <c r="E13" s="3" t="e">
        <f>+E11/E7</f>
        <v>#N/A</v>
      </c>
      <c r="F13" s="3" t="e">
        <f>+F11/F7</f>
        <v>#N/A</v>
      </c>
      <c r="G13" s="4"/>
      <c r="H13" s="4"/>
      <c r="I13" s="38"/>
      <c r="J13" s="38"/>
      <c r="L13" s="38"/>
      <c r="M13" s="38"/>
      <c r="P13" s="38"/>
      <c r="R13" s="38"/>
      <c r="S13" s="38"/>
    </row>
    <row r="14" spans="1:19" ht="14.4" x14ac:dyDescent="0.3">
      <c r="A14" s="39" t="s">
        <v>41</v>
      </c>
      <c r="B14" t="s">
        <v>60</v>
      </c>
      <c r="C14" s="72" t="e">
        <f>VLOOKUP(C2,'Lookup Info'!A2:G398,7,FALSE)</f>
        <v>#N/A</v>
      </c>
      <c r="D14" s="52">
        <v>1</v>
      </c>
      <c r="E14" s="52">
        <v>1</v>
      </c>
      <c r="F14" s="52" t="e">
        <f>+C71</f>
        <v>#N/A</v>
      </c>
      <c r="G14" s="147" t="e">
        <f>IF(C14=34.5," &lt;- This facility is at or above the maximum age.  Not all facility renovations may impact the FRV rate.","")</f>
        <v>#N/A</v>
      </c>
      <c r="I14" s="38"/>
      <c r="J14" s="38"/>
      <c r="L14" s="38"/>
      <c r="M14" s="38"/>
      <c r="P14" s="38"/>
      <c r="R14" s="38"/>
      <c r="S14" s="38"/>
    </row>
    <row r="15" spans="1:19" x14ac:dyDescent="0.25">
      <c r="A15" s="39" t="s">
        <v>42</v>
      </c>
      <c r="B15" t="s">
        <v>61</v>
      </c>
      <c r="C15" s="46" t="e">
        <f>VLOOKUP(C14,'RSMeans Factors'!$N$2:$O$6,2)</f>
        <v>#N/A</v>
      </c>
      <c r="D15" s="46">
        <f>VLOOKUP(D14,'RSMeans Factors'!$N$2:$O$6,2)</f>
        <v>425</v>
      </c>
      <c r="E15" s="46">
        <f>VLOOKUP(E14,'RSMeans Factors'!$N$2:$O$6,2)</f>
        <v>425</v>
      </c>
      <c r="F15" s="46" t="e">
        <f>VLOOKUP(F14,'RSMeans Factors'!$N$2:$O$6,2)</f>
        <v>#N/A</v>
      </c>
      <c r="H15" s="147" t="e">
        <f>IF(C14=34.5,CONCATENATE("Approximately $",ROUND(E68/C65*(C65-C14)*1.03/10000,0)*10000," would need to be spent before the rate would change."),"")</f>
        <v>#N/A</v>
      </c>
      <c r="I15" s="38"/>
      <c r="J15" s="38"/>
      <c r="L15" s="38"/>
      <c r="M15" s="38"/>
      <c r="P15" s="38"/>
      <c r="R15" s="38"/>
      <c r="S15" s="38"/>
    </row>
    <row r="16" spans="1:19" x14ac:dyDescent="0.25">
      <c r="A16" s="39" t="s">
        <v>43</v>
      </c>
      <c r="B16" t="s">
        <v>62</v>
      </c>
      <c r="C16" s="3" t="e">
        <f>MAX(MIN(700,C13),C15)</f>
        <v>#N/A</v>
      </c>
      <c r="D16" s="3" t="e">
        <f>MAX(MIN(700,D13),D15)</f>
        <v>#N/A</v>
      </c>
      <c r="E16" s="3" t="e">
        <f>MAX(MIN(700,E13),E15)</f>
        <v>#N/A</v>
      </c>
      <c r="F16" s="3" t="e">
        <f>MAX(MIN(700,F13),F15)</f>
        <v>#N/A</v>
      </c>
      <c r="I16" s="38"/>
      <c r="J16" s="38"/>
      <c r="L16" s="38"/>
      <c r="M16" s="38"/>
      <c r="P16" s="38"/>
      <c r="R16" s="38"/>
      <c r="S16" s="38"/>
    </row>
    <row r="17" spans="1:19" x14ac:dyDescent="0.25">
      <c r="A17" s="39" t="s">
        <v>44</v>
      </c>
      <c r="B17" s="32" t="s">
        <v>63</v>
      </c>
      <c r="C17" s="7" t="e">
        <f>VLOOKUP(VALUE(LEFT(C6,3)),'RSMeans Factors'!$A$3:$C$22,3,FALSE)</f>
        <v>#N/A</v>
      </c>
      <c r="D17" s="7" t="e">
        <f>VLOOKUP(VALUE(LEFT(D6,3)),'RSMeans Factors'!$A$3:$C$22,3,FALSE)</f>
        <v>#N/A</v>
      </c>
      <c r="E17" s="7" t="e">
        <f>VLOOKUP(VALUE(LEFT(E6,3)),'RSMeans Factors'!$A$3:$C$22,3,FALSE)</f>
        <v>#N/A</v>
      </c>
      <c r="F17" s="7" t="e">
        <f>VLOOKUP(VALUE(LEFT(F6,3)),'RSMeans Factors'!$A$3:$C$22,3,FALSE)</f>
        <v>#N/A</v>
      </c>
      <c r="I17" s="22"/>
      <c r="J17" s="38"/>
      <c r="L17" s="38"/>
      <c r="M17" s="38"/>
      <c r="P17" s="38"/>
      <c r="R17" s="38"/>
      <c r="S17" s="38"/>
    </row>
    <row r="18" spans="1:19" x14ac:dyDescent="0.25">
      <c r="A18" s="39" t="s">
        <v>45</v>
      </c>
      <c r="B18" t="s">
        <v>64</v>
      </c>
      <c r="C18" s="53" t="e">
        <f>+C17*C16*C7*C10</f>
        <v>#N/A</v>
      </c>
      <c r="D18" s="53" t="e">
        <f>+D17*D16*D7*D10</f>
        <v>#N/A</v>
      </c>
      <c r="E18" s="53" t="e">
        <f>+E17*E16*E7*E10</f>
        <v>#N/A</v>
      </c>
      <c r="F18" s="53" t="e">
        <f>+F17*F16*F7*F10</f>
        <v>#N/A</v>
      </c>
      <c r="J18" s="38"/>
      <c r="L18" s="38"/>
      <c r="M18" s="38"/>
      <c r="P18" s="38"/>
      <c r="R18" s="38"/>
      <c r="S18" s="38"/>
    </row>
    <row r="19" spans="1:19" x14ac:dyDescent="0.25">
      <c r="J19" s="38"/>
      <c r="L19" s="38"/>
      <c r="M19" s="38"/>
      <c r="P19" s="38"/>
      <c r="R19" s="38"/>
      <c r="S19" s="38"/>
    </row>
    <row r="20" spans="1:19" ht="14.4" x14ac:dyDescent="0.3">
      <c r="B20" s="51" t="s">
        <v>65</v>
      </c>
      <c r="J20" s="38"/>
      <c r="L20" s="38"/>
      <c r="M20" s="38"/>
      <c r="P20" s="38"/>
      <c r="R20" s="38"/>
      <c r="S20" s="38"/>
    </row>
    <row r="21" spans="1:19" x14ac:dyDescent="0.25">
      <c r="A21" s="39" t="s">
        <v>66</v>
      </c>
      <c r="B21" t="s">
        <v>19</v>
      </c>
      <c r="C21" s="43">
        <v>0.15</v>
      </c>
      <c r="D21" s="43">
        <v>0.15</v>
      </c>
      <c r="E21" s="43">
        <v>0.15</v>
      </c>
      <c r="F21" s="43">
        <v>0.15</v>
      </c>
      <c r="J21" s="38"/>
      <c r="L21" s="38"/>
      <c r="M21" s="38"/>
      <c r="P21" s="38"/>
      <c r="R21" s="38"/>
      <c r="S21" s="38"/>
    </row>
    <row r="22" spans="1:19" x14ac:dyDescent="0.25">
      <c r="A22" s="39" t="s">
        <v>67</v>
      </c>
      <c r="B22" t="s">
        <v>68</v>
      </c>
      <c r="C22" s="54" t="e">
        <f>+C21*C18</f>
        <v>#N/A</v>
      </c>
      <c r="D22" s="54" t="e">
        <f>+D21*D18</f>
        <v>#N/A</v>
      </c>
      <c r="E22" s="54" t="e">
        <f>+E21*E18</f>
        <v>#N/A</v>
      </c>
      <c r="F22" s="54" t="e">
        <f>+F21*F18</f>
        <v>#N/A</v>
      </c>
    </row>
    <row r="23" spans="1:19" x14ac:dyDescent="0.25">
      <c r="J23" s="38"/>
    </row>
    <row r="24" spans="1:19" ht="14.4" x14ac:dyDescent="0.3">
      <c r="B24" s="51" t="s">
        <v>69</v>
      </c>
      <c r="J24" s="7"/>
      <c r="L24" s="38"/>
    </row>
    <row r="25" spans="1:19" x14ac:dyDescent="0.25">
      <c r="A25" s="39" t="s">
        <v>70</v>
      </c>
      <c r="B25" t="s">
        <v>71</v>
      </c>
      <c r="C25" s="53">
        <v>9000</v>
      </c>
      <c r="D25" s="53">
        <v>9000</v>
      </c>
      <c r="E25" s="53">
        <v>9000</v>
      </c>
      <c r="F25" s="53">
        <v>9000</v>
      </c>
      <c r="J25" s="38"/>
      <c r="L25" s="38"/>
    </row>
    <row r="26" spans="1:19" x14ac:dyDescent="0.25">
      <c r="A26" s="39" t="s">
        <v>72</v>
      </c>
      <c r="B26" t="s">
        <v>73</v>
      </c>
      <c r="C26" s="53" t="e">
        <f>+C25*C12</f>
        <v>#N/A</v>
      </c>
      <c r="D26" s="53" t="e">
        <f>+D25*D12</f>
        <v>#N/A</v>
      </c>
      <c r="E26" s="53" t="e">
        <f>+E25*E12</f>
        <v>#N/A</v>
      </c>
      <c r="F26" s="53" t="e">
        <f>+F25*F12</f>
        <v>#N/A</v>
      </c>
      <c r="J26" s="38"/>
      <c r="L26" s="38"/>
    </row>
    <row r="27" spans="1:19" x14ac:dyDescent="0.25">
      <c r="J27" s="38"/>
      <c r="L27" s="38"/>
    </row>
    <row r="28" spans="1:19" ht="14.4" x14ac:dyDescent="0.3">
      <c r="B28" s="51" t="s">
        <v>74</v>
      </c>
      <c r="J28" s="38"/>
      <c r="L28" s="38"/>
    </row>
    <row r="29" spans="1:19" x14ac:dyDescent="0.25">
      <c r="A29" s="39" t="s">
        <v>75</v>
      </c>
      <c r="B29" t="s">
        <v>76</v>
      </c>
      <c r="C29" s="54" t="e">
        <f>+C18+C26</f>
        <v>#N/A</v>
      </c>
      <c r="D29" s="54" t="e">
        <f>+D18+D26</f>
        <v>#N/A</v>
      </c>
      <c r="E29" s="54" t="e">
        <f>+E18+E26</f>
        <v>#N/A</v>
      </c>
      <c r="F29" s="54" t="e">
        <f>+F18+F26</f>
        <v>#N/A</v>
      </c>
      <c r="J29" s="38"/>
      <c r="L29" s="38"/>
    </row>
    <row r="30" spans="1:19" x14ac:dyDescent="0.25">
      <c r="A30" s="39" t="s">
        <v>77</v>
      </c>
      <c r="B30" t="s">
        <v>78</v>
      </c>
      <c r="C30" s="7" t="e">
        <f>+C14</f>
        <v>#N/A</v>
      </c>
      <c r="D30" s="7">
        <f>+D14</f>
        <v>1</v>
      </c>
      <c r="E30" s="7">
        <f>+E14</f>
        <v>1</v>
      </c>
      <c r="F30" s="7" t="e">
        <f>+F14</f>
        <v>#N/A</v>
      </c>
      <c r="J30" s="38"/>
      <c r="L30" s="38"/>
    </row>
    <row r="31" spans="1:19" x14ac:dyDescent="0.25">
      <c r="A31" s="39" t="s">
        <v>79</v>
      </c>
      <c r="B31" t="s">
        <v>80</v>
      </c>
      <c r="C31" s="43">
        <v>0.02</v>
      </c>
      <c r="D31" s="43">
        <v>0.02</v>
      </c>
      <c r="E31" s="43">
        <v>0.02</v>
      </c>
      <c r="F31" s="43">
        <v>0.02</v>
      </c>
      <c r="J31" s="38"/>
      <c r="L31" s="38"/>
    </row>
    <row r="32" spans="1:19" x14ac:dyDescent="0.25">
      <c r="A32" s="39" t="s">
        <v>81</v>
      </c>
      <c r="B32" t="s">
        <v>82</v>
      </c>
      <c r="C32" s="53" t="e">
        <f>+C29*C30*C31</f>
        <v>#N/A</v>
      </c>
      <c r="D32" s="53" t="e">
        <f>+D29*D30*D31</f>
        <v>#N/A</v>
      </c>
      <c r="E32" s="53" t="e">
        <f>+E29*E30*E31</f>
        <v>#N/A</v>
      </c>
      <c r="F32" s="53" t="e">
        <f>+F29*F30*F31</f>
        <v>#N/A</v>
      </c>
      <c r="J32" s="38"/>
      <c r="L32" s="38"/>
    </row>
    <row r="33" spans="1:18" x14ac:dyDescent="0.25">
      <c r="A33" s="39" t="s">
        <v>83</v>
      </c>
      <c r="B33" t="s">
        <v>84</v>
      </c>
      <c r="C33" s="54" t="e">
        <f>+C29-C32</f>
        <v>#N/A</v>
      </c>
      <c r="D33" s="54" t="e">
        <f>+D29-D32</f>
        <v>#N/A</v>
      </c>
      <c r="E33" s="54" t="e">
        <f>+E29-E32</f>
        <v>#N/A</v>
      </c>
      <c r="F33" s="54" t="e">
        <f>+F29-F32</f>
        <v>#N/A</v>
      </c>
      <c r="J33" s="38"/>
      <c r="L33" s="38"/>
    </row>
    <row r="34" spans="1:18" x14ac:dyDescent="0.25">
      <c r="A34" s="39" t="s">
        <v>85</v>
      </c>
      <c r="B34" t="s">
        <v>86</v>
      </c>
      <c r="C34" s="54" t="e">
        <f>+C33+C22</f>
        <v>#N/A</v>
      </c>
      <c r="D34" s="54" t="e">
        <f>+D33+D22</f>
        <v>#N/A</v>
      </c>
      <c r="E34" s="54" t="e">
        <f>+E33+E22</f>
        <v>#N/A</v>
      </c>
      <c r="F34" s="54" t="e">
        <f>+F33+F22</f>
        <v>#N/A</v>
      </c>
    </row>
    <row r="36" spans="1:18" ht="14.4" x14ac:dyDescent="0.3">
      <c r="B36" s="51" t="s">
        <v>87</v>
      </c>
    </row>
    <row r="37" spans="1:18" x14ac:dyDescent="0.25">
      <c r="A37" s="39" t="s">
        <v>88</v>
      </c>
      <c r="B37" t="s">
        <v>89</v>
      </c>
      <c r="C37" s="44">
        <v>7.4999999999999997E-2</v>
      </c>
      <c r="D37" s="44">
        <v>7.4999999999999997E-2</v>
      </c>
      <c r="E37" s="44">
        <v>7.4999999999999997E-2</v>
      </c>
      <c r="F37" s="44">
        <v>7.4999999999999997E-2</v>
      </c>
    </row>
    <row r="38" spans="1:18" x14ac:dyDescent="0.25">
      <c r="A38" s="39" t="s">
        <v>90</v>
      </c>
      <c r="B38" t="s">
        <v>91</v>
      </c>
      <c r="C38" s="53" t="e">
        <f>+C34*C37</f>
        <v>#N/A</v>
      </c>
      <c r="D38" s="53" t="e">
        <f>+D34*D37</f>
        <v>#N/A</v>
      </c>
      <c r="E38" s="53" t="e">
        <f>+E34*E37</f>
        <v>#N/A</v>
      </c>
      <c r="F38" s="53" t="e">
        <f>+F34*F37</f>
        <v>#N/A</v>
      </c>
    </row>
    <row r="39" spans="1:18" x14ac:dyDescent="0.25">
      <c r="A39" s="39" t="s">
        <v>92</v>
      </c>
      <c r="B39" t="s">
        <v>17</v>
      </c>
      <c r="C39" s="46" t="e">
        <f>+C5</f>
        <v>#N/A</v>
      </c>
      <c r="D39" s="46" t="e">
        <f>+D5</f>
        <v>#N/A</v>
      </c>
      <c r="E39" s="46" t="e">
        <f>+E5</f>
        <v>#N/A</v>
      </c>
      <c r="F39" s="46" t="e">
        <f>+F5</f>
        <v>#N/A</v>
      </c>
    </row>
    <row r="40" spans="1:18" x14ac:dyDescent="0.25">
      <c r="A40" s="39" t="s">
        <v>93</v>
      </c>
      <c r="B40" s="32" t="s">
        <v>592</v>
      </c>
      <c r="C40" s="46" t="e">
        <f>+C12*366*0.85</f>
        <v>#N/A</v>
      </c>
      <c r="D40" s="46" t="e">
        <f>+D12*366*0.85</f>
        <v>#N/A</v>
      </c>
      <c r="E40" s="46" t="e">
        <f>+E12*366*0.85</f>
        <v>#N/A</v>
      </c>
      <c r="F40" s="46" t="e">
        <f>+F12*366*0.85</f>
        <v>#N/A</v>
      </c>
      <c r="L40" s="38"/>
    </row>
    <row r="41" spans="1:18" x14ac:dyDescent="0.25">
      <c r="A41" s="39" t="s">
        <v>94</v>
      </c>
      <c r="B41" t="s">
        <v>95</v>
      </c>
      <c r="C41" s="3" t="e">
        <f>MAX(C40,C39)</f>
        <v>#N/A</v>
      </c>
      <c r="D41" s="3" t="e">
        <f>MAX(D40,D39)</f>
        <v>#N/A</v>
      </c>
      <c r="E41" s="3" t="e">
        <f>MAX(E40,E39)</f>
        <v>#N/A</v>
      </c>
      <c r="F41" s="3" t="e">
        <f>MAX(F40,F39)</f>
        <v>#N/A</v>
      </c>
      <c r="L41" s="7"/>
      <c r="N41" s="38"/>
      <c r="P41" s="38"/>
      <c r="R41" s="38"/>
    </row>
    <row r="42" spans="1:18" ht="15" thickBot="1" x14ac:dyDescent="0.35">
      <c r="A42" s="39" t="s">
        <v>96</v>
      </c>
      <c r="B42" t="s">
        <v>97</v>
      </c>
      <c r="C42" s="55" t="e">
        <f>IF(C30&lt;34.5,ROUND(C38/C41,2),MIN(C38/C41,VLOOKUP(C2,'Lookup Info'!A1:M399,13,FALSE)+1))</f>
        <v>#N/A</v>
      </c>
      <c r="D42" s="55" t="e">
        <f>+D38/D41</f>
        <v>#N/A</v>
      </c>
      <c r="E42" s="55" t="e">
        <f>+E38/E41</f>
        <v>#N/A</v>
      </c>
      <c r="F42" s="55" t="e">
        <f>MAX(F38/F41,C42)</f>
        <v>#N/A</v>
      </c>
      <c r="G42" s="222" t="e">
        <f>IF(C30=34.5,"&lt;- The current year FRV rate can be no higher than the previous year FRV rate for facilities at our beyond the maximum age.","")</f>
        <v>#N/A</v>
      </c>
      <c r="H42" s="205"/>
      <c r="I42" s="205"/>
      <c r="J42" s="22"/>
      <c r="L42" s="53"/>
      <c r="N42" s="38"/>
      <c r="P42" s="38"/>
      <c r="R42" s="38"/>
    </row>
    <row r="43" spans="1:18" ht="13.8" thickTop="1" x14ac:dyDescent="0.25">
      <c r="G43" s="205"/>
      <c r="H43" s="205"/>
      <c r="I43" s="205"/>
      <c r="J43" s="4"/>
      <c r="L43" s="53"/>
      <c r="N43" s="38"/>
      <c r="P43" s="38"/>
      <c r="R43" s="38"/>
    </row>
    <row r="44" spans="1:18" x14ac:dyDescent="0.25">
      <c r="G44" s="41"/>
      <c r="H44" s="41"/>
      <c r="I44" s="41"/>
      <c r="J44" s="4"/>
      <c r="L44" s="53"/>
      <c r="N44" s="38"/>
      <c r="P44" s="38"/>
      <c r="R44" s="38"/>
    </row>
    <row r="45" spans="1:18" x14ac:dyDescent="0.25">
      <c r="G45" s="41"/>
      <c r="H45" s="41"/>
      <c r="I45" s="41"/>
      <c r="J45" s="4"/>
      <c r="L45" s="53"/>
      <c r="N45" s="38"/>
      <c r="P45" s="38"/>
      <c r="R45" s="38"/>
    </row>
    <row r="46" spans="1:18" x14ac:dyDescent="0.25">
      <c r="G46" s="41"/>
      <c r="H46" s="41"/>
      <c r="I46" s="41"/>
      <c r="J46" s="4"/>
      <c r="L46" s="53"/>
      <c r="N46" s="38"/>
      <c r="P46" s="38"/>
      <c r="R46" s="38"/>
    </row>
    <row r="47" spans="1:18" x14ac:dyDescent="0.25">
      <c r="G47" s="41"/>
      <c r="H47" s="41"/>
      <c r="I47" s="41"/>
      <c r="J47" s="4"/>
      <c r="L47" s="53"/>
      <c r="N47" s="38"/>
      <c r="P47" s="38"/>
      <c r="R47" s="38"/>
    </row>
    <row r="48" spans="1:18" x14ac:dyDescent="0.25">
      <c r="G48" s="41"/>
      <c r="H48" s="41"/>
      <c r="I48" s="41"/>
      <c r="J48" s="4"/>
      <c r="L48" s="53"/>
      <c r="N48" s="38"/>
      <c r="P48" s="38"/>
      <c r="R48" s="38"/>
    </row>
    <row r="49" spans="2:18" x14ac:dyDescent="0.25">
      <c r="G49" s="41"/>
      <c r="H49" s="41"/>
      <c r="I49" s="41"/>
      <c r="J49" s="4"/>
      <c r="L49" s="53"/>
      <c r="N49" s="38"/>
      <c r="P49" s="38"/>
      <c r="R49" s="38"/>
    </row>
    <row r="50" spans="2:18" x14ac:dyDescent="0.25">
      <c r="G50" s="41"/>
      <c r="H50" s="41"/>
      <c r="I50" s="41"/>
      <c r="J50" s="4"/>
      <c r="L50" s="53"/>
      <c r="N50" s="38"/>
      <c r="P50" s="38"/>
      <c r="R50" s="38"/>
    </row>
    <row r="51" spans="2:18" x14ac:dyDescent="0.25">
      <c r="G51" s="41"/>
      <c r="H51" s="41"/>
      <c r="I51" s="41"/>
      <c r="J51" s="4"/>
      <c r="L51" s="53"/>
      <c r="N51" s="38"/>
      <c r="P51" s="38"/>
      <c r="R51" s="38"/>
    </row>
    <row r="52" spans="2:18" x14ac:dyDescent="0.25">
      <c r="G52" s="41"/>
      <c r="H52" s="41"/>
      <c r="I52" s="41"/>
      <c r="J52" s="4"/>
      <c r="L52" s="53"/>
      <c r="N52" s="38"/>
      <c r="P52" s="38"/>
      <c r="R52" s="38"/>
    </row>
    <row r="53" spans="2:18" x14ac:dyDescent="0.25">
      <c r="G53" s="41"/>
      <c r="H53" s="41"/>
      <c r="I53" s="41"/>
      <c r="J53" s="4"/>
      <c r="L53" s="53"/>
      <c r="N53" s="38"/>
      <c r="P53" s="38"/>
      <c r="R53" s="38"/>
    </row>
    <row r="54" spans="2:18" x14ac:dyDescent="0.25">
      <c r="B54" t="s">
        <v>98</v>
      </c>
      <c r="D54" s="53" t="e">
        <f>+(D65-1)/(D65-D71)*D66</f>
        <v>#N/A</v>
      </c>
      <c r="E54" s="221" t="e">
        <f>IF($C$42-'Rate Calculation'!$B$13&gt;0.03,"This facility has a difference between the calculated FRV rate and the actual FRV rate.  In most cases, this happens for facilities with ages at or above the maximum FRV age.","")</f>
        <v>#N/A</v>
      </c>
      <c r="F54" s="221"/>
      <c r="G54" s="221"/>
      <c r="H54" s="221"/>
      <c r="J54" s="4"/>
      <c r="L54" s="53"/>
      <c r="N54" s="38"/>
      <c r="P54" s="38"/>
      <c r="R54" s="38"/>
    </row>
    <row r="55" spans="2:18" x14ac:dyDescent="0.25">
      <c r="B55" t="s">
        <v>99</v>
      </c>
      <c r="D55" s="38" t="e">
        <f>+D42-C42</f>
        <v>#N/A</v>
      </c>
      <c r="E55" s="221"/>
      <c r="F55" s="221"/>
      <c r="G55" s="221"/>
      <c r="H55" s="221"/>
      <c r="L55" s="53"/>
      <c r="N55" s="38"/>
      <c r="P55" s="38"/>
      <c r="R55" s="38"/>
    </row>
    <row r="56" spans="2:18" x14ac:dyDescent="0.25">
      <c r="D56" s="53"/>
      <c r="E56" s="221"/>
      <c r="F56" s="221"/>
      <c r="G56" s="221"/>
      <c r="H56" s="221"/>
      <c r="L56" s="53"/>
      <c r="N56" s="38"/>
      <c r="P56" s="38"/>
      <c r="R56" s="38"/>
    </row>
    <row r="57" spans="2:18" x14ac:dyDescent="0.25">
      <c r="B57" t="s">
        <v>100</v>
      </c>
      <c r="D57" s="53">
        <f>+F8</f>
        <v>0</v>
      </c>
      <c r="E57" s="221" t="e">
        <f>IF($C$42-'Rate Calculation'!$B$13&gt;0.03,"The calculations on this page are for facilities that have FRV ages below the maximum age.","")</f>
        <v>#N/A</v>
      </c>
      <c r="F57" s="221"/>
      <c r="G57" s="221"/>
      <c r="H57" s="221"/>
      <c r="L57" s="53"/>
      <c r="N57" s="38"/>
      <c r="P57" s="38"/>
      <c r="R57" s="38"/>
    </row>
    <row r="58" spans="2:18" x14ac:dyDescent="0.25">
      <c r="B58" t="s">
        <v>101</v>
      </c>
      <c r="D58" s="38" t="e">
        <f>+F42</f>
        <v>#N/A</v>
      </c>
      <c r="E58" s="221"/>
      <c r="F58" s="221"/>
      <c r="G58" s="221"/>
      <c r="H58" s="221"/>
      <c r="L58" s="53"/>
      <c r="N58" s="38"/>
      <c r="P58" s="38"/>
      <c r="R58" s="38"/>
    </row>
    <row r="59" spans="2:18" x14ac:dyDescent="0.25">
      <c r="B59" t="s">
        <v>102</v>
      </c>
      <c r="D59" s="38" t="e">
        <f>+F42-C42</f>
        <v>#N/A</v>
      </c>
      <c r="E59" s="221"/>
      <c r="F59" s="221"/>
      <c r="G59" s="221"/>
      <c r="H59" s="221"/>
      <c r="L59" s="53"/>
      <c r="N59" s="38"/>
      <c r="P59" s="38"/>
      <c r="R59" s="38"/>
    </row>
    <row r="60" spans="2:18" x14ac:dyDescent="0.25">
      <c r="D60" s="53"/>
      <c r="L60" s="53"/>
      <c r="N60" s="38"/>
      <c r="P60" s="38"/>
      <c r="R60" s="38"/>
    </row>
    <row r="61" spans="2:18" x14ac:dyDescent="0.25">
      <c r="B61" s="32" t="s">
        <v>609</v>
      </c>
      <c r="C61" s="38">
        <f>+'RSMeans Factors'!F3</f>
        <v>78065.930742476936</v>
      </c>
      <c r="L61" s="53"/>
      <c r="N61" s="38"/>
      <c r="P61" s="38"/>
    </row>
    <row r="63" spans="2:18" ht="14.4" x14ac:dyDescent="0.3">
      <c r="B63" s="56" t="s">
        <v>103</v>
      </c>
    </row>
    <row r="64" spans="2:18" x14ac:dyDescent="0.25">
      <c r="B64" t="s">
        <v>104</v>
      </c>
    </row>
    <row r="65" spans="2:6" ht="14.4" x14ac:dyDescent="0.3">
      <c r="B65" t="s">
        <v>105</v>
      </c>
      <c r="C65" s="7" t="e">
        <f>+D65</f>
        <v>#N/A</v>
      </c>
      <c r="D65" s="4" t="e">
        <f>VLOOKUP(D2,'Lookup Info'!A2:L399,12,FALSE)</f>
        <v>#N/A</v>
      </c>
      <c r="E65" s="4" t="e">
        <f>+D65/(D65-D71)*D66</f>
        <v>#N/A</v>
      </c>
    </row>
    <row r="66" spans="2:6" ht="14.4" x14ac:dyDescent="0.3">
      <c r="B66" t="s">
        <v>106</v>
      </c>
      <c r="C66" s="53">
        <f>+F8</f>
        <v>0</v>
      </c>
      <c r="D66">
        <v>10000</v>
      </c>
      <c r="E66" s="7"/>
    </row>
    <row r="67" spans="2:6" x14ac:dyDescent="0.25">
      <c r="B67" s="32" t="s">
        <v>584</v>
      </c>
      <c r="C67" s="53" t="e">
        <f>+C61*C69</f>
        <v>#N/A</v>
      </c>
      <c r="D67" s="54" t="e">
        <f>+C67</f>
        <v>#N/A</v>
      </c>
    </row>
    <row r="68" spans="2:6" x14ac:dyDescent="0.25">
      <c r="B68" s="32" t="s">
        <v>113</v>
      </c>
      <c r="C68" s="7" t="e">
        <f>MIN(C66/C67,C7)</f>
        <v>#N/A</v>
      </c>
      <c r="D68" s="139" t="e">
        <f>+D66/D67</f>
        <v>#N/A</v>
      </c>
      <c r="E68" s="53" t="e">
        <f>ROUND(C7/D68*D66,0)</f>
        <v>#N/A</v>
      </c>
    </row>
    <row r="69" spans="2:6" ht="14.4" x14ac:dyDescent="0.3">
      <c r="B69" t="s">
        <v>107</v>
      </c>
      <c r="C69" s="44" t="e">
        <f>+C65*C70</f>
        <v>#N/A</v>
      </c>
      <c r="E69" s="4"/>
    </row>
    <row r="70" spans="2:6" x14ac:dyDescent="0.25">
      <c r="B70" t="s">
        <v>108</v>
      </c>
      <c r="C70" s="44">
        <v>0.02</v>
      </c>
      <c r="E70" s="4"/>
    </row>
    <row r="71" spans="2:6" ht="14.4" x14ac:dyDescent="0.3">
      <c r="B71" s="32" t="s">
        <v>585</v>
      </c>
      <c r="C71" s="138" t="e">
        <f>(C68+(C7-C68)*C65)/C7</f>
        <v>#N/A</v>
      </c>
      <c r="D71" s="4" t="e">
        <f>+(D68+((C7-D68)*D65))/C7</f>
        <v>#N/A</v>
      </c>
      <c r="E71" s="4"/>
    </row>
    <row r="72" spans="2:6" x14ac:dyDescent="0.25">
      <c r="C72" s="4"/>
      <c r="D72" s="7"/>
      <c r="E72" s="53"/>
    </row>
    <row r="73" spans="2:6" ht="14.4" x14ac:dyDescent="0.3">
      <c r="B73" s="57" t="s">
        <v>109</v>
      </c>
    </row>
    <row r="74" spans="2:6" x14ac:dyDescent="0.25">
      <c r="B74" t="s">
        <v>110</v>
      </c>
      <c r="C74" s="103" t="e">
        <f>+C7</f>
        <v>#N/A</v>
      </c>
    </row>
    <row r="75" spans="2:6" x14ac:dyDescent="0.25">
      <c r="B75" t="s">
        <v>111</v>
      </c>
      <c r="C75" s="22" t="e">
        <f>+C61*C69</f>
        <v>#N/A</v>
      </c>
    </row>
    <row r="76" spans="2:6" x14ac:dyDescent="0.25">
      <c r="B76" t="s">
        <v>112</v>
      </c>
      <c r="C76" s="54">
        <f>+C66</f>
        <v>0</v>
      </c>
    </row>
    <row r="77" spans="2:6" x14ac:dyDescent="0.25">
      <c r="B77" t="s">
        <v>113</v>
      </c>
      <c r="C77" s="58" t="e">
        <f>MIN(C76/C75,C74)</f>
        <v>#N/A</v>
      </c>
    </row>
    <row r="79" spans="2:6" x14ac:dyDescent="0.25">
      <c r="B79" t="s">
        <v>114</v>
      </c>
      <c r="C79" s="58" t="e">
        <f>+C74-C77</f>
        <v>#N/A</v>
      </c>
      <c r="D79" t="e">
        <f>C65</f>
        <v>#N/A</v>
      </c>
      <c r="E79" s="58" t="e">
        <f>D79*C79</f>
        <v>#N/A</v>
      </c>
      <c r="F79" s="58"/>
    </row>
    <row r="80" spans="2:6" x14ac:dyDescent="0.25">
      <c r="B80" t="s">
        <v>115</v>
      </c>
      <c r="C80" s="59" t="e">
        <f>+C77</f>
        <v>#N/A</v>
      </c>
      <c r="D80">
        <v>1</v>
      </c>
      <c r="E80" s="58" t="e">
        <f>D80*C80</f>
        <v>#N/A</v>
      </c>
      <c r="F80" s="58"/>
    </row>
    <row r="81" spans="2:6" x14ac:dyDescent="0.25">
      <c r="C81" t="e">
        <f>SUM(C79:C80)</f>
        <v>#N/A</v>
      </c>
      <c r="E81" s="58" t="e">
        <f>SUM(E79:E80)</f>
        <v>#N/A</v>
      </c>
      <c r="F81" s="58"/>
    </row>
    <row r="82" spans="2:6" x14ac:dyDescent="0.25">
      <c r="B82" s="32" t="s">
        <v>561</v>
      </c>
      <c r="E82" s="105" t="e">
        <f>E81/C81</f>
        <v>#N/A</v>
      </c>
      <c r="F82" s="58"/>
    </row>
    <row r="83" spans="2:6" x14ac:dyDescent="0.25">
      <c r="B83" t="s">
        <v>116</v>
      </c>
      <c r="E83" s="59" t="e">
        <f>C65</f>
        <v>#N/A</v>
      </c>
      <c r="F83" s="58"/>
    </row>
    <row r="84" spans="2:6" ht="14.4" x14ac:dyDescent="0.3">
      <c r="B84" t="s">
        <v>117</v>
      </c>
      <c r="E84" s="106" t="e">
        <f>E83-E82</f>
        <v>#N/A</v>
      </c>
      <c r="F84" s="104"/>
    </row>
  </sheetData>
  <mergeCells count="5">
    <mergeCell ref="H3:H6"/>
    <mergeCell ref="H8:H10"/>
    <mergeCell ref="E54:H56"/>
    <mergeCell ref="E57:H59"/>
    <mergeCell ref="G42:I43"/>
  </mergeCells>
  <phoneticPr fontId="4" type="noConversion"/>
  <pageMargins left="0.75" right="0.68" top="0.65" bottom="0.57999999999999996" header="0.5" footer="0.45"/>
  <pageSetup scale="9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5A23-7A96-4A9F-9494-D9E92FCD0EBA}">
  <sheetPr>
    <tabColor theme="6" tint="0.79998168889431442"/>
  </sheetPr>
  <dimension ref="A1:D20"/>
  <sheetViews>
    <sheetView workbookViewId="0">
      <selection activeCell="A4" sqref="A4"/>
    </sheetView>
  </sheetViews>
  <sheetFormatPr defaultRowHeight="13.2" x14ac:dyDescent="0.25"/>
  <cols>
    <col min="1" max="1" width="14" customWidth="1"/>
    <col min="2" max="2" width="18.33203125" bestFit="1" customWidth="1"/>
    <col min="3" max="3" width="17.77734375" bestFit="1" customWidth="1"/>
    <col min="4" max="4" width="14" bestFit="1" customWidth="1"/>
  </cols>
  <sheetData>
    <row r="1" spans="1:4" x14ac:dyDescent="0.25">
      <c r="A1" s="32" t="s">
        <v>562</v>
      </c>
    </row>
    <row r="3" spans="1:4" x14ac:dyDescent="0.25">
      <c r="A3" s="5" t="s">
        <v>564</v>
      </c>
    </row>
    <row r="4" spans="1:4" x14ac:dyDescent="0.25">
      <c r="A4" s="108" t="e">
        <f>+'Rate Calculation'!B4</f>
        <v>#N/A</v>
      </c>
      <c r="B4" s="101"/>
    </row>
    <row r="6" spans="1:4" x14ac:dyDescent="0.25">
      <c r="A6" s="5" t="s">
        <v>56</v>
      </c>
      <c r="B6" s="109">
        <f>+'Rate Calculation'!B2</f>
        <v>0</v>
      </c>
    </row>
    <row r="7" spans="1:4" x14ac:dyDescent="0.25">
      <c r="A7" s="5"/>
      <c r="C7" s="101"/>
    </row>
    <row r="8" spans="1:4" x14ac:dyDescent="0.25">
      <c r="B8" s="5" t="s">
        <v>543</v>
      </c>
      <c r="C8" s="5" t="s">
        <v>544</v>
      </c>
      <c r="D8" s="5" t="s">
        <v>545</v>
      </c>
    </row>
    <row r="9" spans="1:4" x14ac:dyDescent="0.25">
      <c r="A9" s="5" t="s">
        <v>542</v>
      </c>
      <c r="B9" s="46" t="e">
        <f>VLOOKUP($B$6,'2016 and newer renovations'!$B$4:$Y$411,2,FALSE)</f>
        <v>#N/A</v>
      </c>
      <c r="C9" s="102" t="e">
        <f>VLOOKUP($B$6,'2016 and newer renovations'!$B$4:$Y$411,3,FALSE)</f>
        <v>#N/A</v>
      </c>
      <c r="D9" s="46" t="e">
        <f>VLOOKUP($B$6,'2016 and newer renovations'!$B$4:$Y$411,4,FALSE)</f>
        <v>#N/A</v>
      </c>
    </row>
    <row r="10" spans="1:4" x14ac:dyDescent="0.25">
      <c r="A10" s="5" t="s">
        <v>546</v>
      </c>
      <c r="B10" s="46" t="e">
        <f>VLOOKUP($B$6,'2016 and newer renovations'!$B$4:$Y$411,6,FALSE)</f>
        <v>#N/A</v>
      </c>
      <c r="C10" s="102" t="e">
        <f>VLOOKUP($B$6,'2016 and newer renovations'!$B$4:$Y$411,7,FALSE)</f>
        <v>#N/A</v>
      </c>
      <c r="D10" s="46" t="e">
        <f>VLOOKUP($B$6,'2016 and newer renovations'!$B$4:$Y$411,8,FALSE)</f>
        <v>#N/A</v>
      </c>
    </row>
    <row r="11" spans="1:4" x14ac:dyDescent="0.25">
      <c r="A11" s="5" t="s">
        <v>547</v>
      </c>
      <c r="B11" s="46" t="e">
        <f>VLOOKUP($B$6,'2016 and newer renovations'!$B$4:$Y$411,10,FALSE)</f>
        <v>#N/A</v>
      </c>
      <c r="C11" s="102" t="e">
        <f>VLOOKUP($B$6,'2016 and newer renovations'!$B$4:$Y$411,11,FALSE)</f>
        <v>#N/A</v>
      </c>
      <c r="D11" s="46" t="e">
        <f>VLOOKUP($B$6,'2016 and newer renovations'!$B$4:$Y$411,12,FALSE)</f>
        <v>#N/A</v>
      </c>
    </row>
    <row r="12" spans="1:4" x14ac:dyDescent="0.25">
      <c r="A12" s="5" t="s">
        <v>548</v>
      </c>
      <c r="B12" s="46" t="e">
        <f>VLOOKUP($B$6,'2016 and newer renovations'!$B$4:$Y$411,14,FALSE)</f>
        <v>#N/A</v>
      </c>
      <c r="C12" s="102" t="e">
        <f>VLOOKUP($B$6,'2016 and newer renovations'!$B$4:$Y$411,15,FALSE)</f>
        <v>#N/A</v>
      </c>
      <c r="D12" s="46" t="e">
        <f>VLOOKUP($B$6,'2016 and newer renovations'!$B$4:$Y$411,16,FALSE)</f>
        <v>#N/A</v>
      </c>
    </row>
    <row r="13" spans="1:4" x14ac:dyDescent="0.25">
      <c r="A13" s="5" t="s">
        <v>549</v>
      </c>
      <c r="B13" s="46" t="e">
        <f>VLOOKUP($B$6,'2016 and newer renovations'!$B$4:$Y$411,18,FALSE)</f>
        <v>#N/A</v>
      </c>
      <c r="C13" s="102" t="e">
        <f>VLOOKUP($B$6,'2016 and newer renovations'!$B$4:$Y$411,19,FALSE)</f>
        <v>#N/A</v>
      </c>
      <c r="D13" s="46" t="e">
        <f>VLOOKUP($B$6,'2016 and newer renovations'!$B$4:$Y$411,20,FALSE)</f>
        <v>#N/A</v>
      </c>
    </row>
    <row r="14" spans="1:4" x14ac:dyDescent="0.25">
      <c r="A14" s="5" t="s">
        <v>550</v>
      </c>
      <c r="B14" s="46" t="e">
        <f>VLOOKUP($B$6,'2016 and newer renovations'!$B$4:$Y$411,22,FALSE)</f>
        <v>#N/A</v>
      </c>
      <c r="C14" s="102" t="e">
        <f>VLOOKUP($B$6,'2016 and newer renovations'!$B$4:$Y$411,23,FALSE)</f>
        <v>#N/A</v>
      </c>
      <c r="D14" s="46" t="e">
        <f>VLOOKUP($B$6,'2016 and newer renovations'!$B$4:$Y$411,24,FALSE)</f>
        <v>#N/A</v>
      </c>
    </row>
    <row r="15" spans="1:4" x14ac:dyDescent="0.25">
      <c r="A15" s="5" t="s">
        <v>798</v>
      </c>
      <c r="B15" s="46" t="e">
        <f>VLOOKUP($B$6,'2016 and newer renovations'!$B$4:$AM$411,26,FALSE)</f>
        <v>#N/A</v>
      </c>
      <c r="C15" s="102" t="e">
        <f>VLOOKUP($B$6,'2016 and newer renovations'!$B$4:$AM$411,27,FALSE)</f>
        <v>#N/A</v>
      </c>
      <c r="D15" s="46" t="e">
        <f>VLOOKUP($B$6,'2016 and newer renovations'!$B$4:$AM$411,28,FALSE)</f>
        <v>#N/A</v>
      </c>
    </row>
    <row r="17" spans="1:2" x14ac:dyDescent="0.25">
      <c r="A17" s="32" t="s">
        <v>551</v>
      </c>
    </row>
    <row r="18" spans="1:2" x14ac:dyDescent="0.25">
      <c r="B18" s="32" t="s">
        <v>552</v>
      </c>
    </row>
    <row r="19" spans="1:2" x14ac:dyDescent="0.25">
      <c r="B19" s="32" t="s">
        <v>553</v>
      </c>
    </row>
    <row r="20" spans="1:2" x14ac:dyDescent="0.25">
      <c r="B20" s="32" t="s">
        <v>554</v>
      </c>
    </row>
  </sheetData>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3299-6342-4D66-AB1B-2E46837B089F}">
  <dimension ref="A1:AC411"/>
  <sheetViews>
    <sheetView workbookViewId="0"/>
  </sheetViews>
  <sheetFormatPr defaultRowHeight="13.2" x14ac:dyDescent="0.25"/>
  <cols>
    <col min="1" max="1" width="54.5546875" style="77" bestFit="1" customWidth="1"/>
    <col min="2" max="2" width="11" style="77" bestFit="1" customWidth="1"/>
    <col min="3" max="3" width="16.33203125" style="100" bestFit="1" customWidth="1"/>
    <col min="4" max="4" width="5" style="100" bestFit="1" customWidth="1"/>
    <col min="5" max="5" width="10.44140625" style="198" bestFit="1" customWidth="1"/>
    <col min="6" max="6" width="2.33203125" style="100" bestFit="1" customWidth="1"/>
    <col min="7" max="7" width="5.21875" style="100" bestFit="1" customWidth="1"/>
    <col min="8" max="8" width="5" style="100" bestFit="1" customWidth="1"/>
    <col min="9" max="9" width="10.44140625" style="198" bestFit="1" customWidth="1"/>
    <col min="10" max="10" width="2.33203125" style="100" bestFit="1" customWidth="1"/>
    <col min="11" max="11" width="5.21875" style="100" bestFit="1" customWidth="1"/>
    <col min="12" max="12" width="5" style="100" bestFit="1" customWidth="1"/>
    <col min="13" max="13" width="10.44140625" style="198" bestFit="1" customWidth="1"/>
    <col min="14" max="14" width="2.33203125" style="100" bestFit="1" customWidth="1"/>
    <col min="15" max="15" width="5.21875" style="100" bestFit="1" customWidth="1"/>
    <col min="16" max="16" width="5" style="100" bestFit="1" customWidth="1"/>
    <col min="17" max="17" width="10.44140625" style="198" bestFit="1" customWidth="1"/>
    <col min="18" max="18" width="2.33203125" style="100" bestFit="1" customWidth="1"/>
    <col min="19" max="19" width="5.21875" style="100" bestFit="1" customWidth="1"/>
    <col min="20" max="20" width="5" style="100" bestFit="1" customWidth="1"/>
    <col min="21" max="21" width="10.44140625" style="198" bestFit="1" customWidth="1"/>
    <col min="22" max="22" width="3" style="100" customWidth="1"/>
    <col min="23" max="23" width="9.77734375" style="100" bestFit="1" customWidth="1"/>
    <col min="24" max="24" width="5" style="100" bestFit="1" customWidth="1"/>
    <col min="25" max="25" width="10.44140625" style="198" bestFit="1" customWidth="1"/>
    <col min="26" max="26" width="3" style="100" customWidth="1"/>
    <col min="27" max="27" width="9.77734375" style="100" bestFit="1" customWidth="1"/>
    <col min="28" max="28" width="5" style="100" bestFit="1" customWidth="1"/>
    <col min="29" max="29" width="8.88671875" style="198" bestFit="1" customWidth="1"/>
  </cols>
  <sheetData>
    <row r="1" spans="1:29" x14ac:dyDescent="0.25">
      <c r="C1" s="78" t="s">
        <v>388</v>
      </c>
      <c r="D1" s="78"/>
      <c r="E1" s="195"/>
      <c r="F1" s="79"/>
      <c r="G1" s="78" t="s">
        <v>389</v>
      </c>
      <c r="H1" s="78"/>
      <c r="I1" s="195"/>
      <c r="J1" s="79"/>
      <c r="K1" s="78" t="s">
        <v>390</v>
      </c>
      <c r="L1" s="78"/>
      <c r="M1" s="195"/>
      <c r="N1" s="79"/>
      <c r="O1" s="78" t="s">
        <v>391</v>
      </c>
      <c r="P1" s="78"/>
      <c r="Q1" s="195"/>
      <c r="R1" s="79"/>
      <c r="S1" s="78" t="s">
        <v>392</v>
      </c>
      <c r="T1" s="78"/>
      <c r="U1" s="195"/>
      <c r="V1" s="79"/>
      <c r="W1" s="78" t="s">
        <v>393</v>
      </c>
      <c r="X1" s="78"/>
      <c r="Y1" s="195"/>
      <c r="Z1" s="79"/>
      <c r="AA1" s="78" t="s">
        <v>796</v>
      </c>
      <c r="AB1" s="78"/>
      <c r="AC1" s="195"/>
    </row>
    <row r="2" spans="1:29" ht="39.6" x14ac:dyDescent="0.25">
      <c r="A2" s="80"/>
      <c r="B2" s="80"/>
      <c r="C2" s="81" t="s">
        <v>394</v>
      </c>
      <c r="D2" s="82"/>
      <c r="E2" s="196"/>
      <c r="F2" s="83"/>
      <c r="G2" s="81" t="s">
        <v>394</v>
      </c>
      <c r="H2" s="82"/>
      <c r="I2" s="196"/>
      <c r="J2" s="83"/>
      <c r="K2" s="81" t="s">
        <v>394</v>
      </c>
      <c r="L2" s="82"/>
      <c r="M2" s="196"/>
      <c r="N2" s="83"/>
      <c r="O2" s="81" t="s">
        <v>394</v>
      </c>
      <c r="P2" s="82"/>
      <c r="Q2" s="196"/>
      <c r="R2" s="83"/>
      <c r="S2" s="81" t="s">
        <v>394</v>
      </c>
      <c r="T2" s="82"/>
      <c r="U2" s="196"/>
      <c r="V2" s="83"/>
      <c r="W2" s="81" t="s">
        <v>394</v>
      </c>
      <c r="X2" s="82"/>
      <c r="Y2" s="196"/>
      <c r="Z2" s="83"/>
      <c r="AA2" s="81" t="s">
        <v>394</v>
      </c>
      <c r="AB2" s="82"/>
      <c r="AC2" s="196"/>
    </row>
    <row r="3" spans="1:29" ht="26.4" x14ac:dyDescent="0.25">
      <c r="A3" s="80" t="s">
        <v>395</v>
      </c>
      <c r="B3" s="80"/>
      <c r="C3" s="84" t="s">
        <v>16</v>
      </c>
      <c r="D3" s="82" t="s">
        <v>15</v>
      </c>
      <c r="E3" s="196" t="s">
        <v>112</v>
      </c>
      <c r="F3" s="83"/>
      <c r="G3" s="84" t="s">
        <v>16</v>
      </c>
      <c r="H3" s="82" t="s">
        <v>15</v>
      </c>
      <c r="I3" s="196" t="s">
        <v>112</v>
      </c>
      <c r="J3" s="83"/>
      <c r="K3" s="84" t="s">
        <v>16</v>
      </c>
      <c r="L3" s="82" t="s">
        <v>15</v>
      </c>
      <c r="M3" s="196" t="s">
        <v>112</v>
      </c>
      <c r="N3" s="83"/>
      <c r="O3" s="84" t="s">
        <v>16</v>
      </c>
      <c r="P3" s="82" t="s">
        <v>15</v>
      </c>
      <c r="Q3" s="196" t="s">
        <v>112</v>
      </c>
      <c r="R3" s="83"/>
      <c r="S3" s="84" t="s">
        <v>16</v>
      </c>
      <c r="T3" s="82" t="s">
        <v>15</v>
      </c>
      <c r="U3" s="196" t="s">
        <v>112</v>
      </c>
      <c r="V3" s="83"/>
      <c r="W3" s="84" t="s">
        <v>16</v>
      </c>
      <c r="X3" s="82" t="s">
        <v>15</v>
      </c>
      <c r="Y3" s="196" t="s">
        <v>112</v>
      </c>
      <c r="Z3" s="83"/>
      <c r="AA3" s="84" t="s">
        <v>16</v>
      </c>
      <c r="AB3" s="82" t="s">
        <v>15</v>
      </c>
      <c r="AC3" s="196" t="s">
        <v>112</v>
      </c>
    </row>
    <row r="4" spans="1:29" x14ac:dyDescent="0.25">
      <c r="A4" s="85" t="s">
        <v>396</v>
      </c>
      <c r="B4" s="85">
        <v>1285687962</v>
      </c>
      <c r="C4" s="86"/>
      <c r="D4" s="86"/>
      <c r="E4" s="197"/>
      <c r="F4" s="87" t="s">
        <v>370</v>
      </c>
      <c r="G4" s="86"/>
      <c r="H4" s="86"/>
      <c r="I4" s="197"/>
      <c r="J4" s="87" t="s">
        <v>370</v>
      </c>
      <c r="K4" s="86"/>
      <c r="L4" s="86"/>
      <c r="M4" s="197"/>
      <c r="N4" s="87" t="s">
        <v>370</v>
      </c>
      <c r="O4" s="86"/>
      <c r="P4" s="86"/>
      <c r="Q4" s="197"/>
      <c r="R4" s="87" t="s">
        <v>370</v>
      </c>
      <c r="S4" s="86"/>
      <c r="T4" s="86"/>
      <c r="U4" s="197"/>
      <c r="V4" s="87" t="s">
        <v>370</v>
      </c>
      <c r="W4" s="86"/>
      <c r="X4" s="86"/>
      <c r="Y4" s="197"/>
      <c r="Z4" s="87" t="s">
        <v>370</v>
      </c>
      <c r="AA4" s="86"/>
      <c r="AB4" s="86"/>
      <c r="AC4" s="197"/>
    </row>
    <row r="5" spans="1:29" x14ac:dyDescent="0.25">
      <c r="A5" s="88" t="s">
        <v>121</v>
      </c>
      <c r="B5" s="85">
        <v>1245227578</v>
      </c>
      <c r="C5" s="86">
        <v>2</v>
      </c>
      <c r="D5" s="86">
        <v>2017</v>
      </c>
      <c r="E5" s="197">
        <v>96</v>
      </c>
      <c r="F5" s="87" t="s">
        <v>370</v>
      </c>
      <c r="G5" s="86">
        <v>2</v>
      </c>
      <c r="H5" s="86">
        <v>2019</v>
      </c>
      <c r="I5" s="197">
        <v>78</v>
      </c>
      <c r="J5" s="87" t="s">
        <v>370</v>
      </c>
      <c r="K5" s="86">
        <v>3</v>
      </c>
      <c r="L5" s="86">
        <v>2019</v>
      </c>
      <c r="M5" s="197">
        <v>120547</v>
      </c>
      <c r="N5" s="87" t="s">
        <v>370</v>
      </c>
      <c r="O5" s="86">
        <v>3</v>
      </c>
      <c r="P5" s="86">
        <v>2021</v>
      </c>
      <c r="Q5" s="197">
        <v>300845</v>
      </c>
      <c r="R5" s="87" t="s">
        <v>370</v>
      </c>
      <c r="S5" s="86">
        <v>3</v>
      </c>
      <c r="T5" s="86">
        <v>2022</v>
      </c>
      <c r="U5" s="197">
        <v>153696</v>
      </c>
      <c r="V5" s="87" t="s">
        <v>370</v>
      </c>
      <c r="W5" s="86"/>
      <c r="X5" s="86"/>
      <c r="Y5" s="197"/>
      <c r="Z5" s="87" t="s">
        <v>370</v>
      </c>
      <c r="AA5" s="86"/>
      <c r="AB5" s="86"/>
      <c r="AC5" s="197"/>
    </row>
    <row r="6" spans="1:29" x14ac:dyDescent="0.25">
      <c r="A6" s="85" t="s">
        <v>122</v>
      </c>
      <c r="B6" s="85">
        <v>1427608959</v>
      </c>
      <c r="C6" s="86">
        <v>3</v>
      </c>
      <c r="D6" s="86">
        <v>2020</v>
      </c>
      <c r="E6" s="197">
        <v>178898</v>
      </c>
      <c r="F6" s="87" t="s">
        <v>370</v>
      </c>
      <c r="G6" s="86">
        <v>3</v>
      </c>
      <c r="H6" s="86">
        <v>2021</v>
      </c>
      <c r="I6" s="197">
        <v>150104</v>
      </c>
      <c r="J6" s="87" t="s">
        <v>370</v>
      </c>
      <c r="K6" s="86">
        <v>3</v>
      </c>
      <c r="L6" s="86">
        <v>2022</v>
      </c>
      <c r="M6" s="197">
        <v>510216</v>
      </c>
      <c r="N6" s="87" t="s">
        <v>370</v>
      </c>
      <c r="O6" s="86"/>
      <c r="P6" s="86"/>
      <c r="Q6" s="197"/>
      <c r="R6" s="87" t="s">
        <v>370</v>
      </c>
      <c r="S6" s="86"/>
      <c r="T6" s="86"/>
      <c r="U6" s="197"/>
      <c r="V6" s="87" t="s">
        <v>370</v>
      </c>
      <c r="W6" s="86"/>
      <c r="X6" s="86"/>
      <c r="Y6" s="197"/>
      <c r="Z6" s="87" t="s">
        <v>370</v>
      </c>
      <c r="AA6" s="86"/>
      <c r="AB6" s="86"/>
      <c r="AC6" s="197"/>
    </row>
    <row r="7" spans="1:29" x14ac:dyDescent="0.25">
      <c r="A7" s="85" t="s">
        <v>397</v>
      </c>
      <c r="B7" s="85">
        <v>1063919652</v>
      </c>
      <c r="C7" s="86">
        <v>3</v>
      </c>
      <c r="D7" s="86">
        <v>2016</v>
      </c>
      <c r="E7" s="197">
        <v>102564</v>
      </c>
      <c r="F7" s="87" t="s">
        <v>370</v>
      </c>
      <c r="G7" s="86">
        <v>3</v>
      </c>
      <c r="H7" s="86">
        <v>2017</v>
      </c>
      <c r="I7" s="197">
        <v>146951.57999999999</v>
      </c>
      <c r="J7" s="87" t="s">
        <v>370</v>
      </c>
      <c r="K7" s="86">
        <v>3</v>
      </c>
      <c r="L7" s="86">
        <v>2018</v>
      </c>
      <c r="M7" s="197">
        <v>90336</v>
      </c>
      <c r="N7" s="87" t="s">
        <v>370</v>
      </c>
      <c r="O7" s="86">
        <v>3</v>
      </c>
      <c r="P7" s="86">
        <v>2019</v>
      </c>
      <c r="Q7" s="197">
        <v>535380</v>
      </c>
      <c r="R7" s="87" t="s">
        <v>370</v>
      </c>
      <c r="S7" s="86">
        <v>3</v>
      </c>
      <c r="T7" s="86">
        <v>2020</v>
      </c>
      <c r="U7" s="197">
        <v>154670</v>
      </c>
      <c r="V7" s="87" t="s">
        <v>370</v>
      </c>
      <c r="W7" s="86">
        <v>3</v>
      </c>
      <c r="X7" s="86">
        <v>2021</v>
      </c>
      <c r="Y7" s="197">
        <v>681876</v>
      </c>
      <c r="Z7" s="87" t="s">
        <v>370</v>
      </c>
      <c r="AA7" s="86">
        <v>3</v>
      </c>
      <c r="AB7" s="86">
        <v>2022</v>
      </c>
      <c r="AC7" s="197">
        <v>113922</v>
      </c>
    </row>
    <row r="8" spans="1:29" x14ac:dyDescent="0.25">
      <c r="A8" s="88" t="s">
        <v>123</v>
      </c>
      <c r="B8" s="85">
        <v>1518435650</v>
      </c>
      <c r="C8" s="86">
        <v>3</v>
      </c>
      <c r="D8" s="86">
        <v>2016</v>
      </c>
      <c r="E8" s="197">
        <v>78591</v>
      </c>
      <c r="F8" s="87" t="s">
        <v>370</v>
      </c>
      <c r="G8" s="86">
        <v>3</v>
      </c>
      <c r="H8" s="86">
        <v>2017</v>
      </c>
      <c r="I8" s="197">
        <v>104699.96</v>
      </c>
      <c r="J8" s="87" t="s">
        <v>370</v>
      </c>
      <c r="K8" s="86">
        <v>3</v>
      </c>
      <c r="L8" s="86">
        <v>2019</v>
      </c>
      <c r="M8" s="197">
        <v>172175</v>
      </c>
      <c r="N8" s="87" t="s">
        <v>370</v>
      </c>
      <c r="O8" s="86">
        <v>3</v>
      </c>
      <c r="P8" s="86">
        <v>2020</v>
      </c>
      <c r="Q8" s="197">
        <v>275202</v>
      </c>
      <c r="R8" s="87" t="s">
        <v>370</v>
      </c>
      <c r="S8" s="86">
        <v>3</v>
      </c>
      <c r="T8" s="86">
        <v>2021</v>
      </c>
      <c r="U8" s="197">
        <v>949895</v>
      </c>
      <c r="V8" s="87" t="s">
        <v>370</v>
      </c>
      <c r="W8" s="86">
        <v>3</v>
      </c>
      <c r="X8" s="86">
        <v>2022</v>
      </c>
      <c r="Y8" s="197">
        <v>891342</v>
      </c>
      <c r="Z8" s="87" t="s">
        <v>370</v>
      </c>
      <c r="AA8" s="86"/>
      <c r="AB8" s="86"/>
      <c r="AC8" s="197"/>
    </row>
    <row r="9" spans="1:29" x14ac:dyDescent="0.25">
      <c r="A9" s="88" t="s">
        <v>398</v>
      </c>
      <c r="B9" s="85">
        <v>1669991865</v>
      </c>
      <c r="C9" s="86">
        <v>3</v>
      </c>
      <c r="D9" s="86">
        <v>2016</v>
      </c>
      <c r="E9" s="197">
        <v>153270</v>
      </c>
      <c r="F9" s="87" t="s">
        <v>370</v>
      </c>
      <c r="G9" s="86">
        <v>3</v>
      </c>
      <c r="H9" s="86">
        <v>2018</v>
      </c>
      <c r="I9" s="197">
        <v>138865</v>
      </c>
      <c r="J9" s="87" t="s">
        <v>370</v>
      </c>
      <c r="K9" s="86">
        <v>3</v>
      </c>
      <c r="L9" s="86">
        <v>2019</v>
      </c>
      <c r="M9" s="197">
        <v>105032</v>
      </c>
      <c r="N9" s="87" t="s">
        <v>370</v>
      </c>
      <c r="O9" s="86">
        <v>3</v>
      </c>
      <c r="P9" s="86">
        <v>2020</v>
      </c>
      <c r="Q9" s="197">
        <v>192756</v>
      </c>
      <c r="R9" s="87" t="s">
        <v>370</v>
      </c>
      <c r="S9" s="86">
        <v>3</v>
      </c>
      <c r="T9" s="86">
        <v>2021</v>
      </c>
      <c r="U9" s="197">
        <v>91148</v>
      </c>
      <c r="V9" s="87" t="s">
        <v>370</v>
      </c>
      <c r="W9" s="86">
        <v>3</v>
      </c>
      <c r="X9" s="86">
        <v>2022</v>
      </c>
      <c r="Y9" s="197">
        <v>1593379</v>
      </c>
      <c r="Z9" s="87" t="s">
        <v>370</v>
      </c>
      <c r="AA9" s="86"/>
      <c r="AB9" s="86"/>
      <c r="AC9" s="197"/>
    </row>
    <row r="10" spans="1:29" x14ac:dyDescent="0.25">
      <c r="A10" s="85" t="s">
        <v>124</v>
      </c>
      <c r="B10" s="85">
        <v>1871143305</v>
      </c>
      <c r="C10" s="86">
        <v>3</v>
      </c>
      <c r="D10" s="86">
        <v>2020</v>
      </c>
      <c r="E10" s="197">
        <v>176312</v>
      </c>
      <c r="F10" s="87" t="s">
        <v>370</v>
      </c>
      <c r="G10" s="86">
        <v>3</v>
      </c>
      <c r="H10" s="86">
        <v>2021</v>
      </c>
      <c r="I10" s="197">
        <v>405785</v>
      </c>
      <c r="J10" s="87" t="s">
        <v>370</v>
      </c>
      <c r="K10" s="86">
        <v>3</v>
      </c>
      <c r="L10" s="86">
        <v>2022</v>
      </c>
      <c r="M10" s="197">
        <v>799958</v>
      </c>
      <c r="N10" s="87" t="s">
        <v>370</v>
      </c>
      <c r="O10" s="86"/>
      <c r="P10" s="86"/>
      <c r="Q10" s="197"/>
      <c r="R10" s="87" t="s">
        <v>370</v>
      </c>
      <c r="S10" s="86"/>
      <c r="T10" s="86"/>
      <c r="U10" s="197"/>
      <c r="V10" s="87" t="s">
        <v>370</v>
      </c>
      <c r="W10" s="86"/>
      <c r="X10" s="86"/>
      <c r="Y10" s="197"/>
      <c r="Z10" s="87" t="s">
        <v>370</v>
      </c>
      <c r="AA10" s="86"/>
      <c r="AB10" s="86"/>
      <c r="AC10" s="197"/>
    </row>
    <row r="11" spans="1:29" x14ac:dyDescent="0.25">
      <c r="A11" s="88" t="s">
        <v>399</v>
      </c>
      <c r="B11" s="85">
        <v>1992242119</v>
      </c>
      <c r="C11" s="86">
        <v>3</v>
      </c>
      <c r="D11" s="86">
        <v>2016</v>
      </c>
      <c r="E11" s="197">
        <v>693189</v>
      </c>
      <c r="F11" s="87" t="s">
        <v>370</v>
      </c>
      <c r="G11" s="86">
        <v>3</v>
      </c>
      <c r="H11" s="86">
        <v>2017</v>
      </c>
      <c r="I11" s="197">
        <v>753948</v>
      </c>
      <c r="J11" s="87" t="s">
        <v>370</v>
      </c>
      <c r="K11" s="86">
        <v>3</v>
      </c>
      <c r="L11" s="86">
        <v>2018</v>
      </c>
      <c r="M11" s="197">
        <v>158468</v>
      </c>
      <c r="N11" s="87" t="s">
        <v>370</v>
      </c>
      <c r="O11" s="86">
        <v>3</v>
      </c>
      <c r="P11" s="86">
        <v>2019</v>
      </c>
      <c r="Q11" s="197">
        <v>142226</v>
      </c>
      <c r="R11" s="87" t="s">
        <v>370</v>
      </c>
      <c r="S11" s="86">
        <v>3</v>
      </c>
      <c r="T11" s="86">
        <v>2020</v>
      </c>
      <c r="U11" s="197">
        <v>418967</v>
      </c>
      <c r="V11" s="87" t="s">
        <v>370</v>
      </c>
      <c r="W11" s="86">
        <v>3</v>
      </c>
      <c r="X11" s="86">
        <v>2021</v>
      </c>
      <c r="Y11" s="197">
        <v>1019331</v>
      </c>
      <c r="Z11" s="87" t="s">
        <v>370</v>
      </c>
      <c r="AA11" s="86">
        <v>3</v>
      </c>
      <c r="AB11" s="86">
        <v>2022</v>
      </c>
      <c r="AC11" s="197">
        <v>150078</v>
      </c>
    </row>
    <row r="12" spans="1:29" x14ac:dyDescent="0.25">
      <c r="A12" s="88" t="s">
        <v>400</v>
      </c>
      <c r="B12" s="85">
        <v>1043703945</v>
      </c>
      <c r="C12" s="86">
        <v>3</v>
      </c>
      <c r="D12" s="86">
        <v>2016</v>
      </c>
      <c r="E12" s="197">
        <v>633652</v>
      </c>
      <c r="F12" s="87" t="s">
        <v>370</v>
      </c>
      <c r="G12" s="86">
        <v>3</v>
      </c>
      <c r="H12" s="86">
        <v>2018</v>
      </c>
      <c r="I12" s="197">
        <v>78972</v>
      </c>
      <c r="J12" s="87" t="s">
        <v>370</v>
      </c>
      <c r="K12" s="86">
        <v>3</v>
      </c>
      <c r="L12" s="86">
        <v>2019</v>
      </c>
      <c r="M12" s="197">
        <v>548406</v>
      </c>
      <c r="N12" s="87" t="s">
        <v>370</v>
      </c>
      <c r="O12" s="86">
        <v>3</v>
      </c>
      <c r="P12" s="86">
        <v>2020</v>
      </c>
      <c r="Q12" s="197">
        <v>584611</v>
      </c>
      <c r="R12" s="87" t="s">
        <v>370</v>
      </c>
      <c r="S12" s="86">
        <v>3</v>
      </c>
      <c r="T12" s="86">
        <v>2021</v>
      </c>
      <c r="U12" s="197">
        <v>566239</v>
      </c>
      <c r="V12" s="87" t="s">
        <v>370</v>
      </c>
      <c r="W12" s="86"/>
      <c r="X12" s="86"/>
      <c r="Y12" s="197"/>
      <c r="Z12" s="87" t="s">
        <v>370</v>
      </c>
      <c r="AA12" s="86"/>
      <c r="AB12" s="86"/>
      <c r="AC12" s="197"/>
    </row>
    <row r="13" spans="1:29" x14ac:dyDescent="0.25">
      <c r="A13" s="88" t="s">
        <v>125</v>
      </c>
      <c r="B13" s="85">
        <v>1831649268</v>
      </c>
      <c r="C13" s="86">
        <v>3</v>
      </c>
      <c r="D13" s="86">
        <v>2017</v>
      </c>
      <c r="E13" s="197">
        <v>361829</v>
      </c>
      <c r="F13" s="87" t="s">
        <v>370</v>
      </c>
      <c r="G13" s="86">
        <v>3</v>
      </c>
      <c r="H13" s="86">
        <v>2018</v>
      </c>
      <c r="I13" s="197">
        <v>172880</v>
      </c>
      <c r="J13" s="87" t="s">
        <v>370</v>
      </c>
      <c r="K13" s="86">
        <v>3</v>
      </c>
      <c r="L13" s="86">
        <v>2019</v>
      </c>
      <c r="M13" s="197">
        <v>89920</v>
      </c>
      <c r="N13" s="87" t="s">
        <v>370</v>
      </c>
      <c r="O13" s="86">
        <v>3</v>
      </c>
      <c r="P13" s="86">
        <v>2020</v>
      </c>
      <c r="Q13" s="197">
        <v>234039</v>
      </c>
      <c r="R13" s="87" t="s">
        <v>370</v>
      </c>
      <c r="S13" s="86">
        <v>3</v>
      </c>
      <c r="T13" s="86">
        <v>2021</v>
      </c>
      <c r="U13" s="197">
        <v>109816</v>
      </c>
      <c r="V13" s="87" t="s">
        <v>370</v>
      </c>
      <c r="W13" s="86">
        <v>3</v>
      </c>
      <c r="X13" s="86">
        <v>2022</v>
      </c>
      <c r="Y13" s="197">
        <v>79875</v>
      </c>
      <c r="Z13" s="87" t="s">
        <v>370</v>
      </c>
      <c r="AA13" s="86"/>
      <c r="AB13" s="86"/>
      <c r="AC13" s="197"/>
    </row>
    <row r="14" spans="1:29" x14ac:dyDescent="0.25">
      <c r="A14" s="88" t="s">
        <v>126</v>
      </c>
      <c r="B14" s="85">
        <v>1689147035</v>
      </c>
      <c r="C14" s="86">
        <v>3</v>
      </c>
      <c r="D14" s="86">
        <v>2017</v>
      </c>
      <c r="E14" s="197">
        <v>87224.7</v>
      </c>
      <c r="F14" s="87" t="s">
        <v>370</v>
      </c>
      <c r="G14" s="86">
        <v>3</v>
      </c>
      <c r="H14" s="86">
        <v>2019</v>
      </c>
      <c r="I14" s="197">
        <v>140606</v>
      </c>
      <c r="J14" s="87" t="s">
        <v>370</v>
      </c>
      <c r="K14" s="86">
        <v>3</v>
      </c>
      <c r="L14" s="86">
        <v>2020</v>
      </c>
      <c r="M14" s="197">
        <v>381647</v>
      </c>
      <c r="N14" s="87" t="s">
        <v>370</v>
      </c>
      <c r="O14" s="86">
        <v>3</v>
      </c>
      <c r="P14" s="86">
        <v>2022</v>
      </c>
      <c r="Q14" s="197">
        <v>59050</v>
      </c>
      <c r="R14" s="87" t="s">
        <v>370</v>
      </c>
      <c r="S14" s="86"/>
      <c r="T14" s="86"/>
      <c r="U14" s="197"/>
      <c r="V14" s="87" t="s">
        <v>370</v>
      </c>
      <c r="W14" s="86"/>
      <c r="X14" s="86"/>
      <c r="Y14" s="197"/>
      <c r="Z14" s="87" t="s">
        <v>370</v>
      </c>
      <c r="AA14" s="86"/>
      <c r="AB14" s="86"/>
      <c r="AC14" s="197"/>
    </row>
    <row r="15" spans="1:29" x14ac:dyDescent="0.25">
      <c r="A15" s="88" t="s">
        <v>127</v>
      </c>
      <c r="B15" s="85">
        <v>1295391795</v>
      </c>
      <c r="C15" s="86">
        <v>3</v>
      </c>
      <c r="D15" s="86">
        <v>2019</v>
      </c>
      <c r="E15" s="197">
        <v>187909</v>
      </c>
      <c r="F15" s="87" t="s">
        <v>370</v>
      </c>
      <c r="G15" s="86">
        <v>3</v>
      </c>
      <c r="H15" s="86">
        <v>2020</v>
      </c>
      <c r="I15" s="197">
        <v>252674</v>
      </c>
      <c r="J15" s="87" t="s">
        <v>370</v>
      </c>
      <c r="K15" s="86">
        <v>3</v>
      </c>
      <c r="L15" s="86">
        <v>2021</v>
      </c>
      <c r="M15" s="197">
        <v>1057941</v>
      </c>
      <c r="N15" s="87" t="s">
        <v>370</v>
      </c>
      <c r="O15" s="86">
        <v>3</v>
      </c>
      <c r="P15" s="86">
        <v>2022</v>
      </c>
      <c r="Q15" s="197">
        <v>181215</v>
      </c>
      <c r="R15" s="87" t="s">
        <v>370</v>
      </c>
      <c r="S15" s="86"/>
      <c r="T15" s="86"/>
      <c r="U15" s="197"/>
      <c r="V15" s="87" t="s">
        <v>370</v>
      </c>
      <c r="W15" s="86"/>
      <c r="X15" s="86"/>
      <c r="Y15" s="197"/>
      <c r="Z15" s="87" t="s">
        <v>370</v>
      </c>
      <c r="AA15" s="86"/>
      <c r="AB15" s="86"/>
      <c r="AC15" s="197"/>
    </row>
    <row r="16" spans="1:29" x14ac:dyDescent="0.25">
      <c r="A16" s="88" t="s">
        <v>401</v>
      </c>
      <c r="B16" s="85">
        <v>1598262198</v>
      </c>
      <c r="C16" s="86">
        <v>3</v>
      </c>
      <c r="D16" s="86">
        <v>2017</v>
      </c>
      <c r="E16" s="197">
        <v>77358.929999999993</v>
      </c>
      <c r="F16" s="87" t="s">
        <v>370</v>
      </c>
      <c r="G16" s="86">
        <v>3</v>
      </c>
      <c r="H16" s="86">
        <v>2018</v>
      </c>
      <c r="I16" s="197">
        <v>101071</v>
      </c>
      <c r="J16" s="87" t="s">
        <v>370</v>
      </c>
      <c r="K16" s="86">
        <v>3</v>
      </c>
      <c r="L16" s="86">
        <v>2019</v>
      </c>
      <c r="M16" s="197">
        <v>352500</v>
      </c>
      <c r="N16" s="87" t="s">
        <v>370</v>
      </c>
      <c r="O16" s="86">
        <v>3</v>
      </c>
      <c r="P16" s="86">
        <v>2020</v>
      </c>
      <c r="Q16" s="197">
        <v>257580</v>
      </c>
      <c r="R16" s="87" t="s">
        <v>370</v>
      </c>
      <c r="S16" s="86">
        <v>3</v>
      </c>
      <c r="T16" s="86">
        <v>2021</v>
      </c>
      <c r="U16" s="197">
        <v>66573</v>
      </c>
      <c r="V16" s="87" t="s">
        <v>370</v>
      </c>
      <c r="W16" s="86"/>
      <c r="X16" s="86"/>
      <c r="Y16" s="197"/>
      <c r="Z16" s="87" t="s">
        <v>370</v>
      </c>
      <c r="AA16" s="86"/>
      <c r="AB16" s="86"/>
      <c r="AC16" s="197"/>
    </row>
    <row r="17" spans="1:29" x14ac:dyDescent="0.25">
      <c r="A17" s="88" t="s">
        <v>128</v>
      </c>
      <c r="B17" s="85">
        <v>1437627593</v>
      </c>
      <c r="C17" s="86">
        <v>3</v>
      </c>
      <c r="D17" s="86">
        <v>2016</v>
      </c>
      <c r="E17" s="197">
        <v>93526</v>
      </c>
      <c r="F17" s="87" t="s">
        <v>370</v>
      </c>
      <c r="G17" s="86">
        <v>3</v>
      </c>
      <c r="H17" s="86">
        <v>2019</v>
      </c>
      <c r="I17" s="197">
        <v>154581</v>
      </c>
      <c r="J17" s="87" t="s">
        <v>370</v>
      </c>
      <c r="K17" s="86">
        <v>3</v>
      </c>
      <c r="L17" s="86">
        <v>2020</v>
      </c>
      <c r="M17" s="197">
        <v>461468</v>
      </c>
      <c r="N17" s="87" t="s">
        <v>370</v>
      </c>
      <c r="O17" s="86">
        <v>3</v>
      </c>
      <c r="P17" s="86">
        <v>2021</v>
      </c>
      <c r="Q17" s="197">
        <v>161121</v>
      </c>
      <c r="R17" s="87" t="s">
        <v>370</v>
      </c>
      <c r="S17" s="86">
        <v>3</v>
      </c>
      <c r="T17" s="86">
        <v>2022</v>
      </c>
      <c r="U17" s="197">
        <v>64500</v>
      </c>
      <c r="V17" s="87" t="s">
        <v>370</v>
      </c>
      <c r="W17" s="86"/>
      <c r="X17" s="86"/>
      <c r="Y17" s="197"/>
      <c r="Z17" s="87" t="s">
        <v>370</v>
      </c>
      <c r="AA17" s="86"/>
      <c r="AB17" s="86"/>
      <c r="AC17" s="197"/>
    </row>
    <row r="18" spans="1:29" x14ac:dyDescent="0.25">
      <c r="A18" s="88" t="s">
        <v>129</v>
      </c>
      <c r="B18" s="85">
        <v>1598233645</v>
      </c>
      <c r="C18" s="86">
        <v>3</v>
      </c>
      <c r="D18" s="86">
        <v>2016</v>
      </c>
      <c r="E18" s="197">
        <v>75833</v>
      </c>
      <c r="F18" s="87" t="s">
        <v>370</v>
      </c>
      <c r="G18" s="86">
        <v>3</v>
      </c>
      <c r="H18" s="86">
        <v>2017</v>
      </c>
      <c r="I18" s="197">
        <v>41699.5</v>
      </c>
      <c r="J18" s="87" t="s">
        <v>370</v>
      </c>
      <c r="K18" s="86">
        <v>3</v>
      </c>
      <c r="L18" s="86">
        <v>2019</v>
      </c>
      <c r="M18" s="197">
        <v>141317</v>
      </c>
      <c r="N18" s="87" t="s">
        <v>370</v>
      </c>
      <c r="O18" s="86">
        <v>3</v>
      </c>
      <c r="P18" s="86">
        <v>2020</v>
      </c>
      <c r="Q18" s="197">
        <v>429326</v>
      </c>
      <c r="R18" s="87" t="s">
        <v>370</v>
      </c>
      <c r="S18" s="86">
        <v>3</v>
      </c>
      <c r="T18" s="86">
        <v>2021</v>
      </c>
      <c r="U18" s="197">
        <v>73943</v>
      </c>
      <c r="V18" s="87" t="s">
        <v>370</v>
      </c>
      <c r="W18" s="86"/>
      <c r="X18" s="86"/>
      <c r="Y18" s="197"/>
      <c r="Z18" s="87" t="s">
        <v>370</v>
      </c>
      <c r="AA18" s="86"/>
      <c r="AB18" s="86"/>
      <c r="AC18" s="197"/>
    </row>
    <row r="19" spans="1:29" x14ac:dyDescent="0.25">
      <c r="A19" s="88" t="s">
        <v>130</v>
      </c>
      <c r="B19" s="85">
        <v>1659849701</v>
      </c>
      <c r="C19" s="86">
        <v>3</v>
      </c>
      <c r="D19" s="86">
        <v>2016</v>
      </c>
      <c r="E19" s="197">
        <v>71266</v>
      </c>
      <c r="F19" s="87" t="s">
        <v>370</v>
      </c>
      <c r="G19" s="86">
        <v>3</v>
      </c>
      <c r="H19" s="86">
        <v>2017</v>
      </c>
      <c r="I19" s="197">
        <v>104838.39</v>
      </c>
      <c r="J19" s="87" t="s">
        <v>370</v>
      </c>
      <c r="K19" s="86">
        <v>3</v>
      </c>
      <c r="L19" s="86">
        <v>2019</v>
      </c>
      <c r="M19" s="197">
        <v>162370</v>
      </c>
      <c r="N19" s="87" t="s">
        <v>370</v>
      </c>
      <c r="O19" s="86">
        <v>3</v>
      </c>
      <c r="P19" s="86">
        <v>2020</v>
      </c>
      <c r="Q19" s="197">
        <v>466161</v>
      </c>
      <c r="R19" s="87" t="s">
        <v>370</v>
      </c>
      <c r="S19" s="86">
        <v>3</v>
      </c>
      <c r="T19" s="86">
        <v>2021</v>
      </c>
      <c r="U19" s="197">
        <v>543486</v>
      </c>
      <c r="V19" s="87" t="s">
        <v>370</v>
      </c>
      <c r="W19" s="86">
        <v>3</v>
      </c>
      <c r="X19" s="86">
        <v>2022</v>
      </c>
      <c r="Y19" s="197">
        <v>148527</v>
      </c>
      <c r="Z19" s="87" t="s">
        <v>370</v>
      </c>
      <c r="AA19" s="86"/>
      <c r="AB19" s="86"/>
      <c r="AC19" s="197"/>
    </row>
    <row r="20" spans="1:29" x14ac:dyDescent="0.25">
      <c r="A20" s="88" t="s">
        <v>131</v>
      </c>
      <c r="B20" s="85">
        <v>1770149270</v>
      </c>
      <c r="C20" s="86">
        <v>3</v>
      </c>
      <c r="D20" s="86">
        <v>2019</v>
      </c>
      <c r="E20" s="197">
        <v>134210</v>
      </c>
      <c r="F20" s="87" t="s">
        <v>370</v>
      </c>
      <c r="G20" s="86">
        <v>3</v>
      </c>
      <c r="H20" s="86">
        <v>2020</v>
      </c>
      <c r="I20" s="197">
        <v>126779</v>
      </c>
      <c r="J20" s="87" t="s">
        <v>370</v>
      </c>
      <c r="K20" s="86">
        <v>3</v>
      </c>
      <c r="L20" s="86">
        <v>2021</v>
      </c>
      <c r="M20" s="197">
        <v>455216</v>
      </c>
      <c r="N20" s="87" t="s">
        <v>370</v>
      </c>
      <c r="O20" s="86">
        <v>3</v>
      </c>
      <c r="P20" s="86">
        <v>2022</v>
      </c>
      <c r="Q20" s="197">
        <v>244721</v>
      </c>
      <c r="R20" s="87" t="s">
        <v>370</v>
      </c>
      <c r="S20" s="86"/>
      <c r="T20" s="86"/>
      <c r="U20" s="197"/>
      <c r="V20" s="87" t="s">
        <v>370</v>
      </c>
      <c r="W20" s="86"/>
      <c r="X20" s="86"/>
      <c r="Y20" s="197"/>
      <c r="Z20" s="87" t="s">
        <v>370</v>
      </c>
      <c r="AA20" s="86"/>
      <c r="AB20" s="86"/>
      <c r="AC20" s="197"/>
    </row>
    <row r="21" spans="1:29" x14ac:dyDescent="0.25">
      <c r="A21" s="88" t="s">
        <v>132</v>
      </c>
      <c r="B21" s="85">
        <v>1699310839</v>
      </c>
      <c r="C21" s="86">
        <v>3</v>
      </c>
      <c r="D21" s="86">
        <v>2016</v>
      </c>
      <c r="E21" s="197">
        <v>50007</v>
      </c>
      <c r="F21" s="87" t="s">
        <v>370</v>
      </c>
      <c r="G21" s="86">
        <v>3</v>
      </c>
      <c r="H21" s="86">
        <v>2017</v>
      </c>
      <c r="I21" s="197">
        <v>95997</v>
      </c>
      <c r="J21" s="87" t="s">
        <v>370</v>
      </c>
      <c r="K21" s="86">
        <v>3</v>
      </c>
      <c r="L21" s="86">
        <v>2018</v>
      </c>
      <c r="M21" s="197">
        <v>51312</v>
      </c>
      <c r="N21" s="87" t="s">
        <v>370</v>
      </c>
      <c r="O21" s="86">
        <v>3</v>
      </c>
      <c r="P21" s="86">
        <v>2019</v>
      </c>
      <c r="Q21" s="197">
        <v>43134</v>
      </c>
      <c r="R21" s="87" t="s">
        <v>370</v>
      </c>
      <c r="S21" s="86">
        <v>3</v>
      </c>
      <c r="T21" s="86">
        <v>2020</v>
      </c>
      <c r="U21" s="197">
        <v>108761</v>
      </c>
      <c r="V21" s="87" t="s">
        <v>370</v>
      </c>
      <c r="W21" s="86"/>
      <c r="X21" s="86"/>
      <c r="Y21" s="197"/>
      <c r="Z21" s="87" t="s">
        <v>370</v>
      </c>
      <c r="AA21" s="86"/>
      <c r="AB21" s="86"/>
      <c r="AC21" s="197"/>
    </row>
    <row r="22" spans="1:29" x14ac:dyDescent="0.25">
      <c r="A22" s="88" t="s">
        <v>402</v>
      </c>
      <c r="B22" s="85">
        <v>1932606530</v>
      </c>
      <c r="C22" s="86">
        <v>3</v>
      </c>
      <c r="D22" s="86">
        <v>2016</v>
      </c>
      <c r="E22" s="197">
        <v>153165</v>
      </c>
      <c r="F22" s="87" t="s">
        <v>370</v>
      </c>
      <c r="G22" s="86">
        <v>3</v>
      </c>
      <c r="H22" s="86">
        <v>2017</v>
      </c>
      <c r="I22" s="197">
        <v>120286.43</v>
      </c>
      <c r="J22" s="87" t="s">
        <v>370</v>
      </c>
      <c r="K22" s="86">
        <v>3</v>
      </c>
      <c r="L22" s="86">
        <v>2018</v>
      </c>
      <c r="M22" s="197">
        <v>132573</v>
      </c>
      <c r="N22" s="87" t="s">
        <v>370</v>
      </c>
      <c r="O22" s="86">
        <v>3</v>
      </c>
      <c r="P22" s="86">
        <v>2019</v>
      </c>
      <c r="Q22" s="197">
        <v>611219</v>
      </c>
      <c r="R22" s="87" t="s">
        <v>370</v>
      </c>
      <c r="S22" s="86">
        <v>3</v>
      </c>
      <c r="T22" s="86">
        <v>2020</v>
      </c>
      <c r="U22" s="197">
        <v>501168</v>
      </c>
      <c r="V22" s="87" t="s">
        <v>370</v>
      </c>
      <c r="W22" s="86">
        <v>3</v>
      </c>
      <c r="X22" s="86">
        <v>2021</v>
      </c>
      <c r="Y22" s="197">
        <v>64676</v>
      </c>
      <c r="Z22" s="87" t="s">
        <v>370</v>
      </c>
      <c r="AA22" s="86"/>
      <c r="AB22" s="86"/>
      <c r="AC22" s="197"/>
    </row>
    <row r="23" spans="1:29" x14ac:dyDescent="0.25">
      <c r="A23" s="88" t="s">
        <v>403</v>
      </c>
      <c r="B23" s="85">
        <v>1528505757</v>
      </c>
      <c r="C23" s="86">
        <v>3</v>
      </c>
      <c r="D23" s="86">
        <v>2018</v>
      </c>
      <c r="E23" s="197">
        <v>81507</v>
      </c>
      <c r="F23" s="90" t="s">
        <v>370</v>
      </c>
      <c r="G23" s="86">
        <v>3</v>
      </c>
      <c r="H23" s="86">
        <v>2019</v>
      </c>
      <c r="I23" s="197">
        <v>55410</v>
      </c>
      <c r="J23" s="87" t="s">
        <v>370</v>
      </c>
      <c r="K23" s="86">
        <v>3</v>
      </c>
      <c r="L23" s="86">
        <v>2020</v>
      </c>
      <c r="M23" s="197">
        <v>63984</v>
      </c>
      <c r="N23" s="87" t="s">
        <v>370</v>
      </c>
      <c r="O23" s="89">
        <v>3</v>
      </c>
      <c r="P23" s="89">
        <v>2021</v>
      </c>
      <c r="Q23" s="199">
        <v>37479</v>
      </c>
      <c r="R23" s="87" t="s">
        <v>370</v>
      </c>
      <c r="S23" s="91"/>
      <c r="T23" s="91"/>
      <c r="U23" s="200"/>
      <c r="V23" s="87" t="s">
        <v>370</v>
      </c>
      <c r="W23" s="91"/>
      <c r="X23" s="91"/>
      <c r="Y23" s="200"/>
      <c r="Z23" s="87" t="s">
        <v>370</v>
      </c>
      <c r="AA23" s="91"/>
      <c r="AB23" s="91"/>
      <c r="AC23" s="200"/>
    </row>
    <row r="24" spans="1:29" x14ac:dyDescent="0.25">
      <c r="A24" s="88" t="s">
        <v>133</v>
      </c>
      <c r="B24" s="85">
        <v>1972071033</v>
      </c>
      <c r="C24" s="86">
        <v>3</v>
      </c>
      <c r="D24" s="86">
        <v>2016</v>
      </c>
      <c r="E24" s="197">
        <v>88007</v>
      </c>
      <c r="F24" s="87" t="s">
        <v>370</v>
      </c>
      <c r="G24" s="86">
        <v>3</v>
      </c>
      <c r="H24" s="86">
        <v>2019</v>
      </c>
      <c r="I24" s="197">
        <v>136181</v>
      </c>
      <c r="J24" s="87" t="s">
        <v>370</v>
      </c>
      <c r="K24" s="86">
        <v>3</v>
      </c>
      <c r="L24" s="86">
        <v>2020</v>
      </c>
      <c r="M24" s="197">
        <v>458634</v>
      </c>
      <c r="N24" s="87" t="s">
        <v>370</v>
      </c>
      <c r="O24" s="86">
        <v>3</v>
      </c>
      <c r="P24" s="86">
        <v>2021</v>
      </c>
      <c r="Q24" s="197">
        <v>645975</v>
      </c>
      <c r="R24" s="87" t="s">
        <v>370</v>
      </c>
      <c r="S24" s="86">
        <v>3</v>
      </c>
      <c r="T24" s="86">
        <v>2022</v>
      </c>
      <c r="U24" s="197">
        <v>461321</v>
      </c>
      <c r="V24" s="87" t="s">
        <v>370</v>
      </c>
      <c r="W24" s="86"/>
      <c r="X24" s="86"/>
      <c r="Y24" s="197"/>
      <c r="Z24" s="87" t="s">
        <v>370</v>
      </c>
      <c r="AA24" s="86"/>
      <c r="AB24" s="86"/>
      <c r="AC24" s="197"/>
    </row>
    <row r="25" spans="1:29" x14ac:dyDescent="0.25">
      <c r="A25" s="85" t="s">
        <v>134</v>
      </c>
      <c r="B25" s="85">
        <v>1841840378</v>
      </c>
      <c r="C25" s="86">
        <v>3</v>
      </c>
      <c r="D25" s="86">
        <v>2020</v>
      </c>
      <c r="E25" s="197">
        <v>133403</v>
      </c>
      <c r="F25" s="87" t="s">
        <v>370</v>
      </c>
      <c r="G25" s="86">
        <v>3</v>
      </c>
      <c r="H25" s="86">
        <v>2021</v>
      </c>
      <c r="I25" s="197">
        <v>745472</v>
      </c>
      <c r="J25" s="87" t="s">
        <v>370</v>
      </c>
      <c r="K25" s="86">
        <v>3</v>
      </c>
      <c r="L25" s="86">
        <v>2022</v>
      </c>
      <c r="M25" s="197">
        <v>386498</v>
      </c>
      <c r="N25" s="87" t="s">
        <v>370</v>
      </c>
      <c r="O25" s="86"/>
      <c r="P25" s="86"/>
      <c r="Q25" s="197"/>
      <c r="R25" s="87" t="s">
        <v>370</v>
      </c>
      <c r="S25" s="86"/>
      <c r="T25" s="86"/>
      <c r="U25" s="197"/>
      <c r="V25" s="87" t="s">
        <v>370</v>
      </c>
      <c r="W25" s="86"/>
      <c r="X25" s="86"/>
      <c r="Y25" s="197"/>
      <c r="Z25" s="87" t="s">
        <v>370</v>
      </c>
      <c r="AA25" s="86"/>
      <c r="AB25" s="86"/>
      <c r="AC25" s="197"/>
    </row>
    <row r="26" spans="1:29" x14ac:dyDescent="0.25">
      <c r="A26" s="88" t="s">
        <v>404</v>
      </c>
      <c r="B26" s="85">
        <v>1245737840</v>
      </c>
      <c r="C26" s="86">
        <v>3</v>
      </c>
      <c r="D26" s="86">
        <v>2016</v>
      </c>
      <c r="E26" s="197">
        <v>89128</v>
      </c>
      <c r="F26" s="87" t="s">
        <v>370</v>
      </c>
      <c r="G26" s="86">
        <v>3</v>
      </c>
      <c r="H26" s="86">
        <v>2017</v>
      </c>
      <c r="I26" s="197">
        <v>85457.51</v>
      </c>
      <c r="J26" s="87" t="s">
        <v>370</v>
      </c>
      <c r="K26" s="86">
        <v>3</v>
      </c>
      <c r="L26" s="86">
        <v>2018</v>
      </c>
      <c r="M26" s="197">
        <v>136125</v>
      </c>
      <c r="N26" s="87" t="s">
        <v>370</v>
      </c>
      <c r="O26" s="86">
        <v>3</v>
      </c>
      <c r="P26" s="86">
        <v>2019</v>
      </c>
      <c r="Q26" s="197">
        <v>809057</v>
      </c>
      <c r="R26" s="87" t="s">
        <v>370</v>
      </c>
      <c r="S26" s="86">
        <v>3</v>
      </c>
      <c r="T26" s="86">
        <v>2020</v>
      </c>
      <c r="U26" s="197">
        <v>399690</v>
      </c>
      <c r="V26" s="87" t="s">
        <v>370</v>
      </c>
      <c r="W26" s="86">
        <v>3</v>
      </c>
      <c r="X26" s="86">
        <v>2021</v>
      </c>
      <c r="Y26" s="197">
        <v>3026487</v>
      </c>
      <c r="Z26" s="87" t="s">
        <v>370</v>
      </c>
      <c r="AA26" s="86">
        <v>3</v>
      </c>
      <c r="AB26" s="86">
        <v>2022</v>
      </c>
      <c r="AC26" s="197">
        <v>164516</v>
      </c>
    </row>
    <row r="27" spans="1:29" x14ac:dyDescent="0.25">
      <c r="A27" s="85" t="s">
        <v>135</v>
      </c>
      <c r="B27" s="85">
        <v>1760032296</v>
      </c>
      <c r="C27" s="86">
        <v>3</v>
      </c>
      <c r="D27" s="86">
        <v>2020</v>
      </c>
      <c r="E27" s="197">
        <v>145462</v>
      </c>
      <c r="F27" s="87" t="s">
        <v>370</v>
      </c>
      <c r="G27" s="86">
        <v>3</v>
      </c>
      <c r="H27" s="86">
        <v>2021</v>
      </c>
      <c r="I27" s="197">
        <v>73207</v>
      </c>
      <c r="J27" s="87" t="s">
        <v>370</v>
      </c>
      <c r="K27" s="86">
        <v>3</v>
      </c>
      <c r="L27" s="86">
        <v>2022</v>
      </c>
      <c r="M27" s="197">
        <v>92170</v>
      </c>
      <c r="N27" s="87" t="s">
        <v>370</v>
      </c>
      <c r="O27" s="86"/>
      <c r="P27" s="86"/>
      <c r="Q27" s="197"/>
      <c r="R27" s="87" t="s">
        <v>370</v>
      </c>
      <c r="S27" s="86"/>
      <c r="T27" s="86"/>
      <c r="U27" s="197"/>
      <c r="V27" s="87" t="s">
        <v>370</v>
      </c>
      <c r="W27" s="86"/>
      <c r="X27" s="86"/>
      <c r="Y27" s="197"/>
      <c r="Z27" s="87" t="s">
        <v>370</v>
      </c>
      <c r="AA27" s="86"/>
      <c r="AB27" s="86"/>
      <c r="AC27" s="197"/>
    </row>
    <row r="28" spans="1:29" x14ac:dyDescent="0.25">
      <c r="A28" s="88" t="s">
        <v>405</v>
      </c>
      <c r="B28" s="85">
        <v>1205357878</v>
      </c>
      <c r="C28" s="86">
        <v>3</v>
      </c>
      <c r="D28" s="86">
        <v>2016</v>
      </c>
      <c r="E28" s="197">
        <v>62373</v>
      </c>
      <c r="F28" s="87" t="s">
        <v>370</v>
      </c>
      <c r="G28" s="86">
        <v>3</v>
      </c>
      <c r="H28" s="86">
        <v>2017</v>
      </c>
      <c r="I28" s="197">
        <v>47940.05</v>
      </c>
      <c r="J28" s="87" t="s">
        <v>370</v>
      </c>
      <c r="K28" s="86">
        <v>3</v>
      </c>
      <c r="L28" s="86">
        <v>2018</v>
      </c>
      <c r="M28" s="197">
        <v>57359</v>
      </c>
      <c r="N28" s="87" t="s">
        <v>370</v>
      </c>
      <c r="O28" s="86">
        <v>3</v>
      </c>
      <c r="P28" s="86">
        <v>2019</v>
      </c>
      <c r="Q28" s="197">
        <v>374060</v>
      </c>
      <c r="R28" s="87" t="s">
        <v>370</v>
      </c>
      <c r="S28" s="86">
        <v>3</v>
      </c>
      <c r="T28" s="86">
        <v>2020</v>
      </c>
      <c r="U28" s="197">
        <v>405365</v>
      </c>
      <c r="V28" s="87" t="s">
        <v>370</v>
      </c>
      <c r="W28" s="86">
        <v>3</v>
      </c>
      <c r="X28" s="86">
        <v>2021</v>
      </c>
      <c r="Y28" s="197">
        <v>754596</v>
      </c>
      <c r="Z28" s="87" t="s">
        <v>370</v>
      </c>
      <c r="AA28" s="86">
        <v>3</v>
      </c>
      <c r="AB28" s="86">
        <v>2022</v>
      </c>
      <c r="AC28" s="197">
        <v>136136</v>
      </c>
    </row>
    <row r="29" spans="1:29" x14ac:dyDescent="0.25">
      <c r="A29" s="85" t="s">
        <v>406</v>
      </c>
      <c r="B29" s="85">
        <v>1578059085</v>
      </c>
      <c r="C29" s="86">
        <v>3</v>
      </c>
      <c r="D29" s="86">
        <v>2018</v>
      </c>
      <c r="E29" s="197">
        <v>70312</v>
      </c>
      <c r="F29" s="87" t="s">
        <v>370</v>
      </c>
      <c r="G29" s="86">
        <v>3</v>
      </c>
      <c r="H29" s="86">
        <v>2019</v>
      </c>
      <c r="I29" s="197">
        <v>148548</v>
      </c>
      <c r="J29" s="87" t="s">
        <v>370</v>
      </c>
      <c r="K29" s="86">
        <v>3</v>
      </c>
      <c r="L29" s="86">
        <v>2020</v>
      </c>
      <c r="M29" s="197">
        <v>157863</v>
      </c>
      <c r="N29" s="87" t="s">
        <v>370</v>
      </c>
      <c r="O29" s="86">
        <v>3</v>
      </c>
      <c r="P29" s="86">
        <v>2021</v>
      </c>
      <c r="Q29" s="197">
        <v>49706</v>
      </c>
      <c r="R29" s="87" t="s">
        <v>370</v>
      </c>
      <c r="S29" s="86">
        <v>3</v>
      </c>
      <c r="T29" s="86">
        <v>2022</v>
      </c>
      <c r="U29" s="197">
        <v>136727</v>
      </c>
      <c r="V29" s="87" t="s">
        <v>370</v>
      </c>
      <c r="W29" s="86"/>
      <c r="X29" s="86"/>
      <c r="Y29" s="197"/>
      <c r="Z29" s="87" t="s">
        <v>370</v>
      </c>
      <c r="AA29" s="86"/>
      <c r="AB29" s="86"/>
      <c r="AC29" s="197"/>
    </row>
    <row r="30" spans="1:29" x14ac:dyDescent="0.25">
      <c r="A30" s="88" t="s">
        <v>407</v>
      </c>
      <c r="B30" s="85">
        <v>1366552739</v>
      </c>
      <c r="C30" s="86">
        <v>3</v>
      </c>
      <c r="D30" s="86">
        <v>2021</v>
      </c>
      <c r="E30" s="197">
        <v>77785</v>
      </c>
      <c r="F30" s="87" t="s">
        <v>370</v>
      </c>
      <c r="G30" s="86">
        <v>3</v>
      </c>
      <c r="H30" s="86">
        <v>2022</v>
      </c>
      <c r="I30" s="197">
        <v>173208</v>
      </c>
      <c r="J30" s="87" t="s">
        <v>370</v>
      </c>
      <c r="K30" s="86"/>
      <c r="L30" s="86"/>
      <c r="M30" s="197"/>
      <c r="N30" s="87" t="s">
        <v>370</v>
      </c>
      <c r="O30" s="86"/>
      <c r="P30" s="86"/>
      <c r="Q30" s="197"/>
      <c r="R30" s="87" t="s">
        <v>370</v>
      </c>
      <c r="S30" s="86"/>
      <c r="T30" s="86"/>
      <c r="U30" s="197"/>
      <c r="V30" s="87" t="s">
        <v>370</v>
      </c>
      <c r="W30" s="86"/>
      <c r="X30" s="86"/>
      <c r="Y30" s="197"/>
      <c r="Z30" s="87" t="s">
        <v>370</v>
      </c>
      <c r="AA30" s="86"/>
      <c r="AB30" s="86"/>
      <c r="AC30" s="197"/>
    </row>
    <row r="31" spans="1:29" x14ac:dyDescent="0.25">
      <c r="A31" s="88" t="s">
        <v>136</v>
      </c>
      <c r="B31" s="85">
        <v>1114501442</v>
      </c>
      <c r="C31" s="86">
        <v>3</v>
      </c>
      <c r="D31" s="86">
        <v>2017</v>
      </c>
      <c r="E31" s="197">
        <v>712842</v>
      </c>
      <c r="F31" s="87" t="s">
        <v>370</v>
      </c>
      <c r="G31" s="86">
        <v>3</v>
      </c>
      <c r="H31" s="86">
        <v>2018</v>
      </c>
      <c r="I31" s="197">
        <v>104599</v>
      </c>
      <c r="J31" s="87" t="s">
        <v>370</v>
      </c>
      <c r="K31" s="86">
        <v>3</v>
      </c>
      <c r="L31" s="86">
        <v>2019</v>
      </c>
      <c r="M31" s="197">
        <v>188123</v>
      </c>
      <c r="N31" s="87" t="s">
        <v>370</v>
      </c>
      <c r="O31" s="86">
        <v>3</v>
      </c>
      <c r="P31" s="86">
        <v>2020</v>
      </c>
      <c r="Q31" s="197">
        <v>127397</v>
      </c>
      <c r="R31" s="87" t="s">
        <v>370</v>
      </c>
      <c r="S31" s="86"/>
      <c r="T31" s="86"/>
      <c r="U31" s="197"/>
      <c r="V31" s="87" t="s">
        <v>370</v>
      </c>
      <c r="W31" s="86"/>
      <c r="X31" s="86"/>
      <c r="Y31" s="197"/>
      <c r="Z31" s="87" t="s">
        <v>370</v>
      </c>
      <c r="AA31" s="86"/>
      <c r="AB31" s="86"/>
      <c r="AC31" s="197"/>
    </row>
    <row r="32" spans="1:29" x14ac:dyDescent="0.25">
      <c r="A32" s="85" t="s">
        <v>137</v>
      </c>
      <c r="B32" s="85">
        <v>1245337880</v>
      </c>
      <c r="C32" s="86">
        <v>3</v>
      </c>
      <c r="D32" s="86">
        <v>2016</v>
      </c>
      <c r="E32" s="197">
        <v>35414</v>
      </c>
      <c r="F32" s="87" t="s">
        <v>370</v>
      </c>
      <c r="G32" s="86">
        <v>3</v>
      </c>
      <c r="H32" s="86">
        <v>2017</v>
      </c>
      <c r="I32" s="197">
        <v>37342</v>
      </c>
      <c r="J32" s="87" t="s">
        <v>370</v>
      </c>
      <c r="K32" s="86">
        <v>3</v>
      </c>
      <c r="L32" s="86">
        <v>2018</v>
      </c>
      <c r="M32" s="197">
        <v>95628</v>
      </c>
      <c r="N32" s="87" t="s">
        <v>370</v>
      </c>
      <c r="O32" s="86">
        <v>3</v>
      </c>
      <c r="P32" s="86">
        <v>2022</v>
      </c>
      <c r="Q32" s="197">
        <v>48718</v>
      </c>
      <c r="R32" s="87" t="s">
        <v>370</v>
      </c>
      <c r="S32" s="86"/>
      <c r="T32" s="86"/>
      <c r="U32" s="197"/>
      <c r="V32" s="87" t="s">
        <v>370</v>
      </c>
      <c r="W32" s="86"/>
      <c r="X32" s="86"/>
      <c r="Y32" s="197"/>
      <c r="Z32" s="87" t="s">
        <v>370</v>
      </c>
      <c r="AA32" s="86"/>
      <c r="AB32" s="86"/>
      <c r="AC32" s="197"/>
    </row>
    <row r="33" spans="1:29" x14ac:dyDescent="0.25">
      <c r="A33" s="85" t="s">
        <v>408</v>
      </c>
      <c r="B33" s="85">
        <v>1639122328</v>
      </c>
      <c r="C33" s="86">
        <v>3</v>
      </c>
      <c r="D33" s="86">
        <v>2017</v>
      </c>
      <c r="E33" s="197">
        <v>131963</v>
      </c>
      <c r="F33" s="87" t="s">
        <v>370</v>
      </c>
      <c r="G33" s="86">
        <v>3</v>
      </c>
      <c r="H33" s="86">
        <v>2020</v>
      </c>
      <c r="I33" s="197">
        <v>192586</v>
      </c>
      <c r="J33" s="87" t="s">
        <v>370</v>
      </c>
      <c r="K33" s="86">
        <v>3</v>
      </c>
      <c r="L33" s="86">
        <v>2021</v>
      </c>
      <c r="M33" s="197">
        <v>97432</v>
      </c>
      <c r="N33" s="87" t="s">
        <v>370</v>
      </c>
      <c r="O33" s="86"/>
      <c r="P33" s="86"/>
      <c r="Q33" s="197"/>
      <c r="R33" s="87" t="s">
        <v>370</v>
      </c>
      <c r="S33" s="86"/>
      <c r="T33" s="86"/>
      <c r="U33" s="197"/>
      <c r="V33" s="87" t="s">
        <v>370</v>
      </c>
      <c r="W33" s="86"/>
      <c r="X33" s="86"/>
      <c r="Y33" s="197"/>
      <c r="Z33" s="87" t="s">
        <v>370</v>
      </c>
      <c r="AA33" s="86"/>
      <c r="AB33" s="86"/>
      <c r="AC33" s="197"/>
    </row>
    <row r="34" spans="1:29" x14ac:dyDescent="0.25">
      <c r="A34" s="85" t="s">
        <v>138</v>
      </c>
      <c r="B34" s="85">
        <v>1023671765</v>
      </c>
      <c r="C34" s="86">
        <v>3</v>
      </c>
      <c r="D34" s="86">
        <v>2021</v>
      </c>
      <c r="E34" s="197">
        <v>476954</v>
      </c>
      <c r="F34" s="87" t="s">
        <v>370</v>
      </c>
      <c r="G34" s="86"/>
      <c r="H34" s="86"/>
      <c r="I34" s="197"/>
      <c r="J34" s="87" t="s">
        <v>370</v>
      </c>
      <c r="K34" s="86"/>
      <c r="L34" s="86"/>
      <c r="M34" s="197"/>
      <c r="N34" s="87" t="s">
        <v>370</v>
      </c>
      <c r="O34" s="86"/>
      <c r="P34" s="86"/>
      <c r="Q34" s="197"/>
      <c r="R34" s="87" t="s">
        <v>370</v>
      </c>
      <c r="S34" s="86"/>
      <c r="T34" s="86"/>
      <c r="U34" s="197"/>
      <c r="V34" s="87" t="s">
        <v>370</v>
      </c>
      <c r="W34" s="86"/>
      <c r="X34" s="86"/>
      <c r="Y34" s="197"/>
      <c r="Z34" s="87" t="s">
        <v>370</v>
      </c>
      <c r="AA34" s="86"/>
      <c r="AB34" s="86"/>
      <c r="AC34" s="197"/>
    </row>
    <row r="35" spans="1:29" x14ac:dyDescent="0.25">
      <c r="A35" s="88" t="s">
        <v>139</v>
      </c>
      <c r="B35" s="85">
        <v>1962509505</v>
      </c>
      <c r="C35" s="86">
        <v>3</v>
      </c>
      <c r="D35" s="86">
        <v>2017</v>
      </c>
      <c r="E35" s="197">
        <v>110234</v>
      </c>
      <c r="F35" s="87" t="s">
        <v>370</v>
      </c>
      <c r="G35" s="86">
        <v>3</v>
      </c>
      <c r="H35" s="86">
        <v>2019</v>
      </c>
      <c r="I35" s="197">
        <v>52500</v>
      </c>
      <c r="J35" s="87" t="s">
        <v>370</v>
      </c>
      <c r="K35" s="86"/>
      <c r="L35" s="86"/>
      <c r="M35" s="197"/>
      <c r="N35" s="87" t="s">
        <v>370</v>
      </c>
      <c r="O35" s="86"/>
      <c r="P35" s="86"/>
      <c r="Q35" s="197"/>
      <c r="R35" s="87" t="s">
        <v>370</v>
      </c>
      <c r="S35" s="86"/>
      <c r="T35" s="86"/>
      <c r="U35" s="197"/>
      <c r="V35" s="87" t="s">
        <v>370</v>
      </c>
      <c r="W35" s="86"/>
      <c r="X35" s="86"/>
      <c r="Y35" s="197"/>
      <c r="Z35" s="87" t="s">
        <v>370</v>
      </c>
      <c r="AA35" s="86"/>
      <c r="AB35" s="86"/>
      <c r="AC35" s="197"/>
    </row>
    <row r="36" spans="1:29" x14ac:dyDescent="0.25">
      <c r="A36" s="88" t="s">
        <v>409</v>
      </c>
      <c r="B36" s="85">
        <v>1487060893</v>
      </c>
      <c r="C36" s="86">
        <v>3</v>
      </c>
      <c r="D36" s="86">
        <v>2016</v>
      </c>
      <c r="E36" s="197">
        <v>569351</v>
      </c>
      <c r="F36" s="87" t="s">
        <v>370</v>
      </c>
      <c r="G36" s="86">
        <v>3</v>
      </c>
      <c r="H36" s="86">
        <v>2017</v>
      </c>
      <c r="I36" s="197">
        <v>110453</v>
      </c>
      <c r="J36" s="87" t="s">
        <v>370</v>
      </c>
      <c r="K36" s="86">
        <v>3</v>
      </c>
      <c r="L36" s="86">
        <v>2019</v>
      </c>
      <c r="M36" s="197">
        <v>75148</v>
      </c>
      <c r="N36" s="87" t="s">
        <v>370</v>
      </c>
      <c r="O36" s="86">
        <v>3</v>
      </c>
      <c r="P36" s="86">
        <v>2021</v>
      </c>
      <c r="Q36" s="197">
        <v>47500</v>
      </c>
      <c r="R36" s="87" t="s">
        <v>370</v>
      </c>
      <c r="S36" s="86">
        <v>3</v>
      </c>
      <c r="T36" s="86">
        <v>2022</v>
      </c>
      <c r="U36" s="197">
        <v>373178</v>
      </c>
      <c r="V36" s="87" t="s">
        <v>370</v>
      </c>
      <c r="W36" s="86"/>
      <c r="X36" s="86"/>
      <c r="Y36" s="197"/>
      <c r="Z36" s="87" t="s">
        <v>370</v>
      </c>
      <c r="AA36" s="86"/>
      <c r="AB36" s="86"/>
      <c r="AC36" s="197"/>
    </row>
    <row r="37" spans="1:29" x14ac:dyDescent="0.25">
      <c r="A37" s="88" t="s">
        <v>410</v>
      </c>
      <c r="B37" s="85">
        <v>1992998504</v>
      </c>
      <c r="C37" s="86"/>
      <c r="D37" s="86"/>
      <c r="E37" s="197"/>
      <c r="F37" s="92" t="s">
        <v>370</v>
      </c>
      <c r="G37" s="86"/>
      <c r="H37" s="86"/>
      <c r="I37" s="197"/>
      <c r="J37" s="92" t="s">
        <v>370</v>
      </c>
      <c r="K37" s="86"/>
      <c r="L37" s="86"/>
      <c r="M37" s="197"/>
      <c r="N37" s="92" t="s">
        <v>370</v>
      </c>
      <c r="O37" s="86"/>
      <c r="P37" s="86"/>
      <c r="Q37" s="197"/>
      <c r="R37" s="92" t="s">
        <v>370</v>
      </c>
      <c r="S37" s="86"/>
      <c r="T37" s="86"/>
      <c r="U37" s="197"/>
      <c r="V37" s="87" t="s">
        <v>370</v>
      </c>
      <c r="W37" s="86"/>
      <c r="X37" s="86"/>
      <c r="Y37" s="197"/>
      <c r="Z37" s="87" t="s">
        <v>370</v>
      </c>
      <c r="AA37" s="86"/>
      <c r="AB37" s="86"/>
      <c r="AC37" s="197"/>
    </row>
    <row r="38" spans="1:29" x14ac:dyDescent="0.25">
      <c r="A38" s="88" t="s">
        <v>411</v>
      </c>
      <c r="B38" s="85">
        <v>1982130811</v>
      </c>
      <c r="C38" s="86"/>
      <c r="D38" s="86"/>
      <c r="E38" s="197"/>
      <c r="F38" s="87" t="s">
        <v>370</v>
      </c>
      <c r="G38" s="86"/>
      <c r="H38" s="86"/>
      <c r="I38" s="197"/>
      <c r="J38" s="87" t="s">
        <v>370</v>
      </c>
      <c r="K38" s="86"/>
      <c r="L38" s="86"/>
      <c r="M38" s="197"/>
      <c r="N38" s="87" t="s">
        <v>370</v>
      </c>
      <c r="O38" s="86"/>
      <c r="P38" s="86"/>
      <c r="Q38" s="197"/>
      <c r="R38" s="87" t="s">
        <v>370</v>
      </c>
      <c r="S38" s="86"/>
      <c r="T38" s="86"/>
      <c r="U38" s="197"/>
      <c r="V38" s="87" t="s">
        <v>370</v>
      </c>
      <c r="W38" s="86"/>
      <c r="X38" s="86"/>
      <c r="Y38" s="197"/>
      <c r="Z38" s="87" t="s">
        <v>370</v>
      </c>
      <c r="AA38" s="86"/>
      <c r="AB38" s="86"/>
      <c r="AC38" s="197"/>
    </row>
    <row r="39" spans="1:29" x14ac:dyDescent="0.25">
      <c r="A39" s="88" t="s">
        <v>140</v>
      </c>
      <c r="B39" s="85">
        <v>1194722629</v>
      </c>
      <c r="C39" s="86">
        <v>3</v>
      </c>
      <c r="D39" s="86">
        <v>2018</v>
      </c>
      <c r="E39" s="197">
        <v>186231</v>
      </c>
      <c r="F39" s="87" t="s">
        <v>370</v>
      </c>
      <c r="G39" s="86">
        <v>3</v>
      </c>
      <c r="H39" s="86">
        <v>2019</v>
      </c>
      <c r="I39" s="197">
        <v>257515</v>
      </c>
      <c r="J39" s="87" t="s">
        <v>370</v>
      </c>
      <c r="K39" s="86">
        <v>3</v>
      </c>
      <c r="L39" s="86">
        <v>2021</v>
      </c>
      <c r="M39" s="197">
        <v>162836</v>
      </c>
      <c r="N39" s="87" t="s">
        <v>370</v>
      </c>
      <c r="O39" s="86"/>
      <c r="P39" s="86"/>
      <c r="Q39" s="197"/>
      <c r="R39" s="87" t="s">
        <v>370</v>
      </c>
      <c r="S39" s="86"/>
      <c r="T39" s="86"/>
      <c r="U39" s="197"/>
      <c r="V39" s="87" t="s">
        <v>370</v>
      </c>
      <c r="W39" s="86"/>
      <c r="X39" s="86"/>
      <c r="Y39" s="197"/>
      <c r="Z39" s="87" t="s">
        <v>370</v>
      </c>
      <c r="AA39" s="86"/>
      <c r="AB39" s="86"/>
      <c r="AC39" s="197"/>
    </row>
    <row r="40" spans="1:29" x14ac:dyDescent="0.25">
      <c r="A40" s="85" t="s">
        <v>141</v>
      </c>
      <c r="B40" s="85">
        <v>1255878245</v>
      </c>
      <c r="C40" s="86"/>
      <c r="D40" s="86"/>
      <c r="E40" s="197"/>
      <c r="F40" s="87" t="s">
        <v>370</v>
      </c>
      <c r="G40" s="86"/>
      <c r="H40" s="86"/>
      <c r="I40" s="197"/>
      <c r="J40" s="87" t="s">
        <v>370</v>
      </c>
      <c r="K40" s="86"/>
      <c r="L40" s="86"/>
      <c r="M40" s="197"/>
      <c r="N40" s="87" t="s">
        <v>370</v>
      </c>
      <c r="O40" s="86"/>
      <c r="P40" s="86"/>
      <c r="Q40" s="197"/>
      <c r="R40" s="87" t="s">
        <v>370</v>
      </c>
      <c r="S40" s="86"/>
      <c r="T40" s="86"/>
      <c r="U40" s="197"/>
      <c r="V40" s="87" t="s">
        <v>370</v>
      </c>
      <c r="W40" s="86"/>
      <c r="X40" s="86"/>
      <c r="Y40" s="197"/>
      <c r="Z40" s="87" t="s">
        <v>370</v>
      </c>
      <c r="AA40" s="86"/>
      <c r="AB40" s="86"/>
      <c r="AC40" s="197"/>
    </row>
    <row r="41" spans="1:29" x14ac:dyDescent="0.25">
      <c r="A41" s="88" t="s">
        <v>412</v>
      </c>
      <c r="B41" s="85">
        <v>1376932889</v>
      </c>
      <c r="C41" s="86">
        <v>3</v>
      </c>
      <c r="D41" s="86">
        <v>2018</v>
      </c>
      <c r="E41" s="197">
        <v>85530</v>
      </c>
      <c r="F41" s="92" t="s">
        <v>370</v>
      </c>
      <c r="G41" s="86">
        <v>3</v>
      </c>
      <c r="H41" s="86">
        <v>2019</v>
      </c>
      <c r="I41" s="197">
        <v>85530</v>
      </c>
      <c r="J41" s="92" t="s">
        <v>370</v>
      </c>
      <c r="K41" s="86">
        <v>3</v>
      </c>
      <c r="L41" s="86">
        <v>2021</v>
      </c>
      <c r="M41" s="197">
        <v>70471</v>
      </c>
      <c r="N41" s="92" t="s">
        <v>370</v>
      </c>
      <c r="O41" s="86">
        <v>3</v>
      </c>
      <c r="P41" s="86">
        <v>2022</v>
      </c>
      <c r="Q41" s="197">
        <v>55393</v>
      </c>
      <c r="R41" s="92" t="s">
        <v>370</v>
      </c>
      <c r="S41" s="86"/>
      <c r="T41" s="86"/>
      <c r="U41" s="197"/>
      <c r="V41" s="87" t="s">
        <v>370</v>
      </c>
      <c r="W41" s="86"/>
      <c r="X41" s="86"/>
      <c r="Y41" s="197"/>
      <c r="Z41" s="87" t="s">
        <v>370</v>
      </c>
      <c r="AA41" s="86"/>
      <c r="AB41" s="86"/>
      <c r="AC41" s="197"/>
    </row>
    <row r="42" spans="1:29" x14ac:dyDescent="0.25">
      <c r="A42" s="85" t="s">
        <v>142</v>
      </c>
      <c r="B42" s="85">
        <v>1275519506</v>
      </c>
      <c r="C42" s="86">
        <v>3</v>
      </c>
      <c r="D42" s="86">
        <v>2018</v>
      </c>
      <c r="E42" s="197">
        <v>854447</v>
      </c>
      <c r="F42" s="87" t="s">
        <v>370</v>
      </c>
      <c r="G42" s="86">
        <v>3</v>
      </c>
      <c r="H42" s="86">
        <v>2020</v>
      </c>
      <c r="I42" s="197">
        <v>60304</v>
      </c>
      <c r="J42" s="87" t="s">
        <v>370</v>
      </c>
      <c r="K42" s="86">
        <v>3</v>
      </c>
      <c r="L42" s="86">
        <v>2022</v>
      </c>
      <c r="M42" s="197">
        <v>111452</v>
      </c>
      <c r="N42" s="87" t="s">
        <v>370</v>
      </c>
      <c r="O42" s="86"/>
      <c r="P42" s="86"/>
      <c r="Q42" s="197"/>
      <c r="R42" s="87" t="s">
        <v>370</v>
      </c>
      <c r="S42" s="86"/>
      <c r="T42" s="86"/>
      <c r="U42" s="197"/>
      <c r="V42" s="87" t="s">
        <v>370</v>
      </c>
      <c r="W42" s="86"/>
      <c r="X42" s="86"/>
      <c r="Y42" s="197"/>
      <c r="Z42" s="87" t="s">
        <v>370</v>
      </c>
      <c r="AA42" s="86"/>
      <c r="AB42" s="86"/>
      <c r="AC42" s="197"/>
    </row>
    <row r="43" spans="1:29" x14ac:dyDescent="0.25">
      <c r="A43" s="88" t="s">
        <v>413</v>
      </c>
      <c r="B43" s="85">
        <v>1114463932</v>
      </c>
      <c r="C43" s="86">
        <v>3</v>
      </c>
      <c r="D43" s="86">
        <v>2018</v>
      </c>
      <c r="E43" s="197">
        <v>82956</v>
      </c>
      <c r="F43" s="87" t="s">
        <v>370</v>
      </c>
      <c r="G43" s="86">
        <v>3</v>
      </c>
      <c r="H43" s="86">
        <v>2021</v>
      </c>
      <c r="I43" s="197">
        <v>78210</v>
      </c>
      <c r="J43" s="87" t="s">
        <v>370</v>
      </c>
      <c r="K43" s="86"/>
      <c r="L43" s="86"/>
      <c r="M43" s="197"/>
      <c r="N43" s="87" t="s">
        <v>370</v>
      </c>
      <c r="O43" s="86"/>
      <c r="P43" s="86"/>
      <c r="Q43" s="197"/>
      <c r="R43" s="87" t="s">
        <v>370</v>
      </c>
      <c r="S43" s="86"/>
      <c r="T43" s="86"/>
      <c r="U43" s="197"/>
      <c r="V43" s="87" t="s">
        <v>370</v>
      </c>
      <c r="W43" s="86"/>
      <c r="X43" s="86"/>
      <c r="Y43" s="197"/>
      <c r="Z43" s="87" t="s">
        <v>370</v>
      </c>
      <c r="AA43" s="86"/>
      <c r="AB43" s="86"/>
      <c r="AC43" s="197"/>
    </row>
    <row r="44" spans="1:29" x14ac:dyDescent="0.25">
      <c r="A44" s="88" t="s">
        <v>143</v>
      </c>
      <c r="B44" s="85">
        <v>1609852375</v>
      </c>
      <c r="C44" s="86">
        <v>3</v>
      </c>
      <c r="D44" s="86">
        <v>2018</v>
      </c>
      <c r="E44" s="197">
        <v>165953</v>
      </c>
      <c r="F44" s="87" t="s">
        <v>370</v>
      </c>
      <c r="G44" s="86">
        <v>3</v>
      </c>
      <c r="H44" s="86">
        <v>2019</v>
      </c>
      <c r="I44" s="197">
        <v>79546</v>
      </c>
      <c r="J44" s="87" t="s">
        <v>370</v>
      </c>
      <c r="K44" s="86">
        <v>3</v>
      </c>
      <c r="L44" s="86">
        <v>2021</v>
      </c>
      <c r="M44" s="197">
        <v>110808</v>
      </c>
      <c r="N44" s="87" t="s">
        <v>370</v>
      </c>
      <c r="O44" s="86">
        <v>3</v>
      </c>
      <c r="P44" s="86">
        <v>2022</v>
      </c>
      <c r="Q44" s="197">
        <v>100557</v>
      </c>
      <c r="R44" s="87" t="s">
        <v>370</v>
      </c>
      <c r="S44" s="86"/>
      <c r="T44" s="86"/>
      <c r="U44" s="197"/>
      <c r="V44" s="87" t="s">
        <v>370</v>
      </c>
      <c r="W44" s="86"/>
      <c r="X44" s="86"/>
      <c r="Y44" s="197"/>
      <c r="Z44" s="87" t="s">
        <v>370</v>
      </c>
      <c r="AA44" s="86"/>
      <c r="AB44" s="86"/>
      <c r="AC44" s="197"/>
    </row>
    <row r="45" spans="1:29" x14ac:dyDescent="0.25">
      <c r="A45" s="85" t="s">
        <v>144</v>
      </c>
      <c r="B45" s="85">
        <v>1093791337</v>
      </c>
      <c r="C45" s="86">
        <v>3</v>
      </c>
      <c r="D45" s="86">
        <v>2018</v>
      </c>
      <c r="E45" s="197">
        <v>501525</v>
      </c>
      <c r="F45" s="87" t="s">
        <v>370</v>
      </c>
      <c r="G45" s="86">
        <v>3</v>
      </c>
      <c r="H45" s="86">
        <v>2020</v>
      </c>
      <c r="I45" s="197">
        <v>71770</v>
      </c>
      <c r="J45" s="87" t="s">
        <v>370</v>
      </c>
      <c r="K45" s="86">
        <v>3</v>
      </c>
      <c r="L45" s="86">
        <v>2021</v>
      </c>
      <c r="M45" s="197">
        <v>76979</v>
      </c>
      <c r="N45" s="87" t="s">
        <v>370</v>
      </c>
      <c r="O45" s="86"/>
      <c r="P45" s="86"/>
      <c r="Q45" s="197"/>
      <c r="R45" s="87" t="s">
        <v>370</v>
      </c>
      <c r="S45" s="86"/>
      <c r="T45" s="86"/>
      <c r="U45" s="197"/>
      <c r="V45" s="87" t="s">
        <v>370</v>
      </c>
      <c r="W45" s="86"/>
      <c r="X45" s="86"/>
      <c r="Y45" s="197"/>
      <c r="Z45" s="87" t="s">
        <v>370</v>
      </c>
      <c r="AA45" s="86"/>
      <c r="AB45" s="86"/>
      <c r="AC45" s="197"/>
    </row>
    <row r="46" spans="1:29" x14ac:dyDescent="0.25">
      <c r="A46" s="85" t="s">
        <v>145</v>
      </c>
      <c r="B46" s="85">
        <v>1073599635</v>
      </c>
      <c r="C46" s="86">
        <v>3</v>
      </c>
      <c r="D46" s="86">
        <v>2017</v>
      </c>
      <c r="E46" s="197">
        <v>106450</v>
      </c>
      <c r="F46" s="87" t="s">
        <v>370</v>
      </c>
      <c r="G46" s="86">
        <v>3</v>
      </c>
      <c r="H46" s="86">
        <v>2018</v>
      </c>
      <c r="I46" s="197">
        <v>117490</v>
      </c>
      <c r="J46" s="87" t="s">
        <v>370</v>
      </c>
      <c r="K46" s="86">
        <v>3</v>
      </c>
      <c r="L46" s="86">
        <v>2020</v>
      </c>
      <c r="M46" s="197">
        <v>100647</v>
      </c>
      <c r="N46" s="87" t="s">
        <v>370</v>
      </c>
      <c r="O46" s="86">
        <v>3</v>
      </c>
      <c r="P46" s="86">
        <v>2022</v>
      </c>
      <c r="Q46" s="197">
        <v>211423</v>
      </c>
      <c r="R46" s="87" t="s">
        <v>370</v>
      </c>
      <c r="S46" s="86"/>
      <c r="T46" s="86"/>
      <c r="U46" s="197"/>
      <c r="V46" s="87" t="s">
        <v>370</v>
      </c>
      <c r="W46" s="86"/>
      <c r="X46" s="86"/>
      <c r="Y46" s="197"/>
      <c r="Z46" s="87" t="s">
        <v>370</v>
      </c>
      <c r="AA46" s="86"/>
      <c r="AB46" s="86"/>
      <c r="AC46" s="197"/>
    </row>
    <row r="47" spans="1:29" x14ac:dyDescent="0.25">
      <c r="A47" s="88" t="s">
        <v>146</v>
      </c>
      <c r="B47" s="85">
        <v>1053396788</v>
      </c>
      <c r="C47" s="86">
        <v>3</v>
      </c>
      <c r="D47" s="86">
        <v>2017</v>
      </c>
      <c r="E47" s="197">
        <v>41131</v>
      </c>
      <c r="F47" s="87" t="s">
        <v>370</v>
      </c>
      <c r="G47" s="86">
        <v>3</v>
      </c>
      <c r="H47" s="86">
        <v>2018</v>
      </c>
      <c r="I47" s="197">
        <v>67976</v>
      </c>
      <c r="J47" s="87" t="s">
        <v>370</v>
      </c>
      <c r="K47" s="86">
        <v>3</v>
      </c>
      <c r="L47" s="86">
        <v>2019</v>
      </c>
      <c r="M47" s="197">
        <v>44116</v>
      </c>
      <c r="N47" s="87" t="s">
        <v>370</v>
      </c>
      <c r="O47" s="86">
        <v>3</v>
      </c>
      <c r="P47" s="86">
        <v>2020</v>
      </c>
      <c r="Q47" s="197">
        <v>75708</v>
      </c>
      <c r="R47" s="87" t="s">
        <v>370</v>
      </c>
      <c r="S47" s="86">
        <v>3</v>
      </c>
      <c r="T47" s="86">
        <v>2021</v>
      </c>
      <c r="U47" s="197">
        <v>96270</v>
      </c>
      <c r="V47" s="87" t="s">
        <v>370</v>
      </c>
      <c r="W47" s="86">
        <v>3</v>
      </c>
      <c r="X47" s="86">
        <v>2022</v>
      </c>
      <c r="Y47" s="197">
        <v>97993</v>
      </c>
      <c r="Z47" s="87" t="s">
        <v>370</v>
      </c>
      <c r="AA47" s="86"/>
      <c r="AB47" s="86"/>
      <c r="AC47" s="197"/>
    </row>
    <row r="48" spans="1:29" x14ac:dyDescent="0.25">
      <c r="A48" s="85" t="s">
        <v>147</v>
      </c>
      <c r="B48" s="85">
        <v>1851377543</v>
      </c>
      <c r="C48" s="86">
        <v>3</v>
      </c>
      <c r="D48" s="86">
        <v>2017</v>
      </c>
      <c r="E48" s="197">
        <v>71007</v>
      </c>
      <c r="F48" s="87" t="s">
        <v>370</v>
      </c>
      <c r="G48" s="86">
        <v>3</v>
      </c>
      <c r="H48" s="86">
        <v>2018</v>
      </c>
      <c r="I48" s="197">
        <v>680929</v>
      </c>
      <c r="J48" s="87" t="s">
        <v>370</v>
      </c>
      <c r="K48" s="86">
        <v>3</v>
      </c>
      <c r="L48" s="86">
        <v>2020</v>
      </c>
      <c r="M48" s="197">
        <v>92808</v>
      </c>
      <c r="N48" s="87" t="s">
        <v>370</v>
      </c>
      <c r="O48" s="86"/>
      <c r="P48" s="86"/>
      <c r="Q48" s="197"/>
      <c r="R48" s="87" t="s">
        <v>370</v>
      </c>
      <c r="S48" s="86"/>
      <c r="T48" s="86"/>
      <c r="U48" s="197"/>
      <c r="V48" s="87" t="s">
        <v>370</v>
      </c>
      <c r="W48" s="86"/>
      <c r="X48" s="86"/>
      <c r="Y48" s="197"/>
      <c r="Z48" s="87" t="s">
        <v>370</v>
      </c>
      <c r="AA48" s="86"/>
      <c r="AB48" s="86"/>
      <c r="AC48" s="197"/>
    </row>
    <row r="49" spans="1:29" x14ac:dyDescent="0.25">
      <c r="A49" s="88" t="s">
        <v>148</v>
      </c>
      <c r="B49" s="85">
        <v>1508842295</v>
      </c>
      <c r="C49" s="86">
        <v>3</v>
      </c>
      <c r="D49" s="86">
        <v>2018</v>
      </c>
      <c r="E49" s="197">
        <v>104008</v>
      </c>
      <c r="F49" s="87" t="s">
        <v>370</v>
      </c>
      <c r="G49" s="86">
        <v>3</v>
      </c>
      <c r="H49" s="86">
        <v>2019</v>
      </c>
      <c r="I49" s="197">
        <v>65513</v>
      </c>
      <c r="J49" s="87" t="s">
        <v>370</v>
      </c>
      <c r="K49" s="86">
        <v>3</v>
      </c>
      <c r="L49" s="86">
        <v>2020</v>
      </c>
      <c r="M49" s="197">
        <v>52423</v>
      </c>
      <c r="N49" s="87" t="s">
        <v>370</v>
      </c>
      <c r="O49" s="86">
        <v>3</v>
      </c>
      <c r="P49" s="86">
        <v>2022</v>
      </c>
      <c r="Q49" s="197">
        <v>127634</v>
      </c>
      <c r="R49" s="87" t="s">
        <v>370</v>
      </c>
      <c r="S49" s="86"/>
      <c r="T49" s="86"/>
      <c r="U49" s="197"/>
      <c r="V49" s="87" t="s">
        <v>370</v>
      </c>
      <c r="W49" s="86"/>
      <c r="X49" s="86"/>
      <c r="Y49" s="197"/>
      <c r="Z49" s="87" t="s">
        <v>370</v>
      </c>
      <c r="AA49" s="86"/>
      <c r="AB49" s="86"/>
      <c r="AC49" s="197"/>
    </row>
    <row r="50" spans="1:29" x14ac:dyDescent="0.25">
      <c r="A50" s="88" t="s">
        <v>149</v>
      </c>
      <c r="B50" s="85">
        <v>1639155302</v>
      </c>
      <c r="C50" s="86">
        <v>3</v>
      </c>
      <c r="D50" s="86">
        <v>2018</v>
      </c>
      <c r="E50" s="197">
        <v>192313</v>
      </c>
      <c r="F50" s="87" t="s">
        <v>370</v>
      </c>
      <c r="G50" s="86">
        <v>3</v>
      </c>
      <c r="H50" s="86">
        <v>2019</v>
      </c>
      <c r="I50" s="197">
        <v>87748</v>
      </c>
      <c r="J50" s="87" t="s">
        <v>370</v>
      </c>
      <c r="K50" s="86">
        <v>3</v>
      </c>
      <c r="L50" s="86">
        <v>2020</v>
      </c>
      <c r="M50" s="197">
        <v>232217</v>
      </c>
      <c r="N50" s="87" t="s">
        <v>370</v>
      </c>
      <c r="O50" s="86">
        <v>3</v>
      </c>
      <c r="P50" s="86">
        <v>2022</v>
      </c>
      <c r="Q50" s="197">
        <v>52844</v>
      </c>
      <c r="R50" s="87" t="s">
        <v>370</v>
      </c>
      <c r="S50" s="86"/>
      <c r="T50" s="86"/>
      <c r="U50" s="197"/>
      <c r="V50" s="87" t="s">
        <v>370</v>
      </c>
      <c r="W50" s="86"/>
      <c r="X50" s="86"/>
      <c r="Y50" s="197"/>
      <c r="Z50" s="87" t="s">
        <v>370</v>
      </c>
      <c r="AA50" s="86"/>
      <c r="AB50" s="86"/>
      <c r="AC50" s="197"/>
    </row>
    <row r="51" spans="1:29" x14ac:dyDescent="0.25">
      <c r="A51" s="85" t="s">
        <v>150</v>
      </c>
      <c r="B51" s="85">
        <v>1346226040</v>
      </c>
      <c r="C51" s="86">
        <v>3</v>
      </c>
      <c r="D51" s="86">
        <v>2018</v>
      </c>
      <c r="E51" s="197">
        <v>83213</v>
      </c>
      <c r="F51" s="87" t="s">
        <v>370</v>
      </c>
      <c r="G51" s="86">
        <v>1</v>
      </c>
      <c r="H51" s="86">
        <v>2018</v>
      </c>
      <c r="I51" s="197">
        <v>-30</v>
      </c>
      <c r="J51" s="87" t="s">
        <v>370</v>
      </c>
      <c r="K51" s="86">
        <v>3</v>
      </c>
      <c r="L51" s="86">
        <v>2018</v>
      </c>
      <c r="M51" s="197">
        <v>297526</v>
      </c>
      <c r="N51" s="87" t="s">
        <v>370</v>
      </c>
      <c r="O51" s="86">
        <v>3</v>
      </c>
      <c r="P51" s="86">
        <v>2021</v>
      </c>
      <c r="Q51" s="197">
        <v>69734</v>
      </c>
      <c r="R51" s="87" t="s">
        <v>370</v>
      </c>
      <c r="S51" s="86">
        <v>3</v>
      </c>
      <c r="T51" s="86">
        <v>2022</v>
      </c>
      <c r="U51" s="197">
        <v>112634</v>
      </c>
      <c r="V51" s="87" t="s">
        <v>370</v>
      </c>
      <c r="W51" s="86"/>
      <c r="X51" s="86"/>
      <c r="Y51" s="197"/>
      <c r="Z51" s="87" t="s">
        <v>370</v>
      </c>
      <c r="AA51" s="86"/>
      <c r="AB51" s="86"/>
      <c r="AC51" s="197"/>
    </row>
    <row r="52" spans="1:29" x14ac:dyDescent="0.25">
      <c r="A52" s="88" t="s">
        <v>151</v>
      </c>
      <c r="B52" s="85">
        <v>1730722240</v>
      </c>
      <c r="C52" s="86">
        <v>3</v>
      </c>
      <c r="D52" s="86">
        <v>2018</v>
      </c>
      <c r="E52" s="197">
        <v>71463</v>
      </c>
      <c r="F52" s="87" t="s">
        <v>370</v>
      </c>
      <c r="G52" s="86">
        <v>3</v>
      </c>
      <c r="H52" s="86">
        <v>2019</v>
      </c>
      <c r="I52" s="197">
        <v>65529</v>
      </c>
      <c r="J52" s="87" t="s">
        <v>370</v>
      </c>
      <c r="K52" s="86">
        <v>3</v>
      </c>
      <c r="L52" s="86">
        <v>2020</v>
      </c>
      <c r="M52" s="197">
        <v>63311</v>
      </c>
      <c r="N52" s="87" t="s">
        <v>370</v>
      </c>
      <c r="O52" s="86">
        <v>3</v>
      </c>
      <c r="P52" s="86">
        <v>2021</v>
      </c>
      <c r="Q52" s="197">
        <v>345594</v>
      </c>
      <c r="R52" s="87" t="s">
        <v>370</v>
      </c>
      <c r="S52" s="86">
        <v>3</v>
      </c>
      <c r="T52" s="86">
        <v>2022</v>
      </c>
      <c r="U52" s="197">
        <v>150564</v>
      </c>
      <c r="V52" s="87" t="s">
        <v>370</v>
      </c>
      <c r="W52" s="86"/>
      <c r="X52" s="86"/>
      <c r="Y52" s="197"/>
      <c r="Z52" s="87" t="s">
        <v>370</v>
      </c>
      <c r="AA52" s="86"/>
      <c r="AB52" s="86"/>
      <c r="AC52" s="197"/>
    </row>
    <row r="53" spans="1:29" x14ac:dyDescent="0.25">
      <c r="A53" s="85" t="s">
        <v>152</v>
      </c>
      <c r="B53" s="85">
        <v>1528044294</v>
      </c>
      <c r="C53" s="86">
        <v>3</v>
      </c>
      <c r="D53" s="86">
        <v>2018</v>
      </c>
      <c r="E53" s="197">
        <v>63418</v>
      </c>
      <c r="F53" s="87" t="s">
        <v>370</v>
      </c>
      <c r="G53" s="86">
        <v>3</v>
      </c>
      <c r="H53" s="86">
        <v>2018</v>
      </c>
      <c r="I53" s="197">
        <v>225346</v>
      </c>
      <c r="J53" s="87" t="s">
        <v>370</v>
      </c>
      <c r="K53" s="86">
        <v>3</v>
      </c>
      <c r="L53" s="86">
        <v>2021</v>
      </c>
      <c r="M53" s="197">
        <v>91463</v>
      </c>
      <c r="N53" s="87" t="s">
        <v>370</v>
      </c>
      <c r="O53" s="86"/>
      <c r="P53" s="86"/>
      <c r="Q53" s="197"/>
      <c r="R53" s="87" t="s">
        <v>370</v>
      </c>
      <c r="S53" s="86"/>
      <c r="T53" s="86"/>
      <c r="U53" s="197"/>
      <c r="V53" s="87" t="s">
        <v>370</v>
      </c>
      <c r="W53" s="86"/>
      <c r="X53" s="86"/>
      <c r="Y53" s="197"/>
      <c r="Z53" s="87" t="s">
        <v>370</v>
      </c>
      <c r="AA53" s="86"/>
      <c r="AB53" s="86"/>
      <c r="AC53" s="197"/>
    </row>
    <row r="54" spans="1:29" x14ac:dyDescent="0.25">
      <c r="A54" s="88" t="s">
        <v>414</v>
      </c>
      <c r="B54" s="85">
        <v>1356372650</v>
      </c>
      <c r="C54" s="86">
        <v>3</v>
      </c>
      <c r="D54" s="86">
        <v>2016</v>
      </c>
      <c r="E54" s="197">
        <v>48022</v>
      </c>
      <c r="F54" s="87" t="s">
        <v>370</v>
      </c>
      <c r="G54" s="86">
        <v>3</v>
      </c>
      <c r="H54" s="86">
        <v>2019</v>
      </c>
      <c r="I54" s="197">
        <v>58255</v>
      </c>
      <c r="J54" s="87" t="s">
        <v>370</v>
      </c>
      <c r="K54" s="86">
        <v>3</v>
      </c>
      <c r="L54" s="86">
        <v>2021</v>
      </c>
      <c r="M54" s="197">
        <v>99807</v>
      </c>
      <c r="N54" s="87" t="s">
        <v>370</v>
      </c>
      <c r="O54" s="86">
        <v>3</v>
      </c>
      <c r="P54" s="86">
        <v>2022</v>
      </c>
      <c r="Q54" s="197">
        <v>103729</v>
      </c>
      <c r="R54" s="87" t="s">
        <v>370</v>
      </c>
      <c r="S54" s="86"/>
      <c r="T54" s="86"/>
      <c r="U54" s="197"/>
      <c r="V54" s="87" t="s">
        <v>370</v>
      </c>
      <c r="W54" s="86"/>
      <c r="X54" s="86"/>
      <c r="Y54" s="197"/>
      <c r="Z54" s="87" t="s">
        <v>370</v>
      </c>
      <c r="AA54" s="86"/>
      <c r="AB54" s="86"/>
      <c r="AC54" s="197"/>
    </row>
    <row r="55" spans="1:29" x14ac:dyDescent="0.25">
      <c r="A55" s="88" t="s">
        <v>415</v>
      </c>
      <c r="B55" s="85">
        <v>1255682522</v>
      </c>
      <c r="C55" s="86">
        <v>3</v>
      </c>
      <c r="D55" s="86">
        <v>2018</v>
      </c>
      <c r="E55" s="197">
        <v>184391</v>
      </c>
      <c r="F55" s="87" t="s">
        <v>370</v>
      </c>
      <c r="G55" s="86">
        <v>3</v>
      </c>
      <c r="H55" s="86">
        <v>2019</v>
      </c>
      <c r="I55" s="197">
        <v>54354</v>
      </c>
      <c r="J55" s="87" t="s">
        <v>370</v>
      </c>
      <c r="K55" s="86">
        <v>3</v>
      </c>
      <c r="L55" s="86">
        <v>2022</v>
      </c>
      <c r="M55" s="197">
        <v>596146</v>
      </c>
      <c r="N55" s="87" t="s">
        <v>370</v>
      </c>
      <c r="O55" s="86"/>
      <c r="P55" s="86"/>
      <c r="Q55" s="197"/>
      <c r="R55" s="87" t="s">
        <v>370</v>
      </c>
      <c r="S55" s="86"/>
      <c r="T55" s="86"/>
      <c r="U55" s="197"/>
      <c r="V55" s="87" t="s">
        <v>370</v>
      </c>
      <c r="W55" s="86"/>
      <c r="X55" s="86"/>
      <c r="Y55" s="197"/>
      <c r="Z55" s="87" t="s">
        <v>370</v>
      </c>
      <c r="AA55" s="86"/>
      <c r="AB55" s="86"/>
      <c r="AC55" s="197"/>
    </row>
    <row r="56" spans="1:29" x14ac:dyDescent="0.25">
      <c r="A56" s="85" t="s">
        <v>416</v>
      </c>
      <c r="B56" s="85">
        <v>1225064777</v>
      </c>
      <c r="C56" s="86">
        <v>3</v>
      </c>
      <c r="D56" s="86">
        <v>2017</v>
      </c>
      <c r="E56" s="197">
        <v>83747</v>
      </c>
      <c r="F56" s="87" t="s">
        <v>370</v>
      </c>
      <c r="G56" s="86">
        <v>3</v>
      </c>
      <c r="H56" s="86">
        <v>2021</v>
      </c>
      <c r="I56" s="197">
        <v>520171</v>
      </c>
      <c r="J56" s="87" t="s">
        <v>370</v>
      </c>
      <c r="K56" s="86">
        <v>3</v>
      </c>
      <c r="L56" s="86">
        <v>2022</v>
      </c>
      <c r="M56" s="197">
        <v>187029</v>
      </c>
      <c r="N56" s="87" t="s">
        <v>370</v>
      </c>
      <c r="O56" s="86"/>
      <c r="P56" s="86"/>
      <c r="Q56" s="197"/>
      <c r="R56" s="87" t="s">
        <v>370</v>
      </c>
      <c r="S56" s="86"/>
      <c r="T56" s="86"/>
      <c r="U56" s="197"/>
      <c r="V56" s="87" t="s">
        <v>370</v>
      </c>
      <c r="W56" s="86"/>
      <c r="X56" s="86"/>
      <c r="Y56" s="197"/>
      <c r="Z56" s="87" t="s">
        <v>370</v>
      </c>
      <c r="AA56" s="86"/>
      <c r="AB56" s="86"/>
      <c r="AC56" s="197"/>
    </row>
    <row r="57" spans="1:29" x14ac:dyDescent="0.25">
      <c r="A57" s="85" t="s">
        <v>153</v>
      </c>
      <c r="B57" s="85">
        <v>1649254582</v>
      </c>
      <c r="C57" s="86">
        <v>3</v>
      </c>
      <c r="D57" s="86">
        <v>2016</v>
      </c>
      <c r="E57" s="197">
        <v>526977</v>
      </c>
      <c r="F57" s="87" t="s">
        <v>370</v>
      </c>
      <c r="G57" s="86">
        <v>3</v>
      </c>
      <c r="H57" s="86">
        <v>2021</v>
      </c>
      <c r="I57" s="197">
        <v>87802</v>
      </c>
      <c r="J57" s="87" t="s">
        <v>370</v>
      </c>
      <c r="K57" s="86">
        <v>3</v>
      </c>
      <c r="L57" s="86">
        <v>2022</v>
      </c>
      <c r="M57" s="197">
        <v>67865</v>
      </c>
      <c r="N57" s="87" t="s">
        <v>370</v>
      </c>
      <c r="O57" s="86"/>
      <c r="P57" s="86"/>
      <c r="Q57" s="197"/>
      <c r="R57" s="87" t="s">
        <v>370</v>
      </c>
      <c r="S57" s="86"/>
      <c r="T57" s="86"/>
      <c r="U57" s="197"/>
      <c r="V57" s="87" t="s">
        <v>370</v>
      </c>
      <c r="W57" s="86"/>
      <c r="X57" s="86"/>
      <c r="Y57" s="197"/>
      <c r="Z57" s="87" t="s">
        <v>370</v>
      </c>
      <c r="AA57" s="86"/>
      <c r="AB57" s="86"/>
      <c r="AC57" s="197"/>
    </row>
    <row r="58" spans="1:29" x14ac:dyDescent="0.25">
      <c r="A58" s="88" t="s">
        <v>154</v>
      </c>
      <c r="B58" s="85">
        <v>1316512346</v>
      </c>
      <c r="C58" s="86">
        <v>3</v>
      </c>
      <c r="D58" s="86">
        <v>2016</v>
      </c>
      <c r="E58" s="197">
        <v>127016</v>
      </c>
      <c r="F58" s="87" t="s">
        <v>370</v>
      </c>
      <c r="G58" s="86">
        <v>3</v>
      </c>
      <c r="H58" s="86">
        <v>2018</v>
      </c>
      <c r="I58" s="197">
        <v>506422</v>
      </c>
      <c r="J58" s="87" t="s">
        <v>370</v>
      </c>
      <c r="K58" s="86">
        <v>3</v>
      </c>
      <c r="L58" s="86">
        <v>2019</v>
      </c>
      <c r="M58" s="197">
        <v>192779</v>
      </c>
      <c r="N58" s="87" t="s">
        <v>370</v>
      </c>
      <c r="O58" s="86">
        <v>3</v>
      </c>
      <c r="P58" s="86">
        <v>2020</v>
      </c>
      <c r="Q58" s="197">
        <v>94083</v>
      </c>
      <c r="R58" s="87" t="s">
        <v>370</v>
      </c>
      <c r="S58" s="86">
        <v>3</v>
      </c>
      <c r="T58" s="86">
        <v>2021</v>
      </c>
      <c r="U58" s="197">
        <v>109890</v>
      </c>
      <c r="V58" s="87" t="s">
        <v>370</v>
      </c>
      <c r="W58" s="86"/>
      <c r="X58" s="86"/>
      <c r="Y58" s="197"/>
      <c r="Z58" s="87" t="s">
        <v>370</v>
      </c>
      <c r="AA58" s="86"/>
      <c r="AB58" s="86"/>
      <c r="AC58" s="197"/>
    </row>
    <row r="59" spans="1:29" x14ac:dyDescent="0.25">
      <c r="A59" s="88" t="s">
        <v>417</v>
      </c>
      <c r="B59" s="85">
        <v>1093228397</v>
      </c>
      <c r="C59" s="86"/>
      <c r="D59" s="86"/>
      <c r="E59" s="197"/>
      <c r="F59" s="92" t="s">
        <v>370</v>
      </c>
      <c r="G59" s="86"/>
      <c r="H59" s="86"/>
      <c r="I59" s="197"/>
      <c r="J59" s="92" t="s">
        <v>370</v>
      </c>
      <c r="K59" s="86"/>
      <c r="L59" s="86"/>
      <c r="M59" s="197"/>
      <c r="N59" s="92" t="s">
        <v>370</v>
      </c>
      <c r="O59" s="86"/>
      <c r="P59" s="86"/>
      <c r="Q59" s="197"/>
      <c r="R59" s="92" t="s">
        <v>370</v>
      </c>
      <c r="S59" s="86"/>
      <c r="T59" s="86"/>
      <c r="U59" s="197"/>
      <c r="V59" s="87" t="s">
        <v>370</v>
      </c>
      <c r="W59" s="86"/>
      <c r="X59" s="86"/>
      <c r="Y59" s="197"/>
      <c r="Z59" s="87" t="s">
        <v>370</v>
      </c>
      <c r="AA59" s="86"/>
      <c r="AB59" s="86"/>
      <c r="AC59" s="197"/>
    </row>
    <row r="60" spans="1:29" x14ac:dyDescent="0.25">
      <c r="A60" s="88" t="s">
        <v>155</v>
      </c>
      <c r="B60" s="85">
        <v>1891908687</v>
      </c>
      <c r="C60" s="86">
        <v>3</v>
      </c>
      <c r="D60" s="86">
        <v>2019</v>
      </c>
      <c r="E60" s="197">
        <v>238237</v>
      </c>
      <c r="F60" s="87" t="s">
        <v>370</v>
      </c>
      <c r="G60" s="86"/>
      <c r="H60" s="86"/>
      <c r="I60" s="197"/>
      <c r="J60" s="87" t="s">
        <v>370</v>
      </c>
      <c r="K60" s="86"/>
      <c r="L60" s="86"/>
      <c r="M60" s="197"/>
      <c r="N60" s="87" t="s">
        <v>370</v>
      </c>
      <c r="O60" s="86"/>
      <c r="P60" s="86"/>
      <c r="Q60" s="197"/>
      <c r="R60" s="87" t="s">
        <v>370</v>
      </c>
      <c r="S60" s="86"/>
      <c r="T60" s="86"/>
      <c r="U60" s="197"/>
      <c r="V60" s="87" t="s">
        <v>370</v>
      </c>
      <c r="W60" s="86"/>
      <c r="X60" s="86"/>
      <c r="Y60" s="197"/>
      <c r="Z60" s="87" t="s">
        <v>370</v>
      </c>
      <c r="AA60" s="86"/>
      <c r="AB60" s="86"/>
      <c r="AC60" s="197"/>
    </row>
    <row r="61" spans="1:29" x14ac:dyDescent="0.25">
      <c r="A61" s="88" t="s">
        <v>418</v>
      </c>
      <c r="B61" s="85">
        <v>1841617552</v>
      </c>
      <c r="C61" s="86"/>
      <c r="D61" s="86"/>
      <c r="E61" s="197"/>
      <c r="F61" s="92" t="s">
        <v>370</v>
      </c>
      <c r="G61" s="86"/>
      <c r="H61" s="86"/>
      <c r="I61" s="197"/>
      <c r="J61" s="92" t="s">
        <v>370</v>
      </c>
      <c r="K61" s="86"/>
      <c r="L61" s="86"/>
      <c r="M61" s="197"/>
      <c r="N61" s="92" t="s">
        <v>370</v>
      </c>
      <c r="O61" s="86"/>
      <c r="P61" s="86"/>
      <c r="Q61" s="197"/>
      <c r="R61" s="92" t="s">
        <v>370</v>
      </c>
      <c r="S61" s="86"/>
      <c r="T61" s="86"/>
      <c r="U61" s="197"/>
      <c r="V61" s="87" t="s">
        <v>370</v>
      </c>
      <c r="W61" s="86"/>
      <c r="X61" s="86"/>
      <c r="Y61" s="197"/>
      <c r="Z61" s="87" t="s">
        <v>370</v>
      </c>
      <c r="AA61" s="86"/>
      <c r="AB61" s="86"/>
      <c r="AC61" s="197"/>
    </row>
    <row r="62" spans="1:29" x14ac:dyDescent="0.25">
      <c r="A62" s="85" t="s">
        <v>419</v>
      </c>
      <c r="B62" s="85">
        <v>1235175175</v>
      </c>
      <c r="C62" s="86">
        <v>3</v>
      </c>
      <c r="D62" s="86">
        <v>2021</v>
      </c>
      <c r="E62" s="197">
        <v>264331</v>
      </c>
      <c r="F62" s="87" t="s">
        <v>370</v>
      </c>
      <c r="G62" s="86"/>
      <c r="H62" s="86"/>
      <c r="I62" s="197"/>
      <c r="J62" s="87" t="s">
        <v>370</v>
      </c>
      <c r="K62" s="86"/>
      <c r="L62" s="86"/>
      <c r="M62" s="197"/>
      <c r="N62" s="87" t="s">
        <v>370</v>
      </c>
      <c r="O62" s="86"/>
      <c r="P62" s="86"/>
      <c r="Q62" s="197"/>
      <c r="R62" s="87" t="s">
        <v>370</v>
      </c>
      <c r="S62" s="86"/>
      <c r="T62" s="86"/>
      <c r="U62" s="197"/>
      <c r="V62" s="87" t="s">
        <v>370</v>
      </c>
      <c r="W62" s="86"/>
      <c r="X62" s="86"/>
      <c r="Y62" s="197"/>
      <c r="Z62" s="87" t="s">
        <v>370</v>
      </c>
      <c r="AA62" s="86"/>
      <c r="AB62" s="86"/>
      <c r="AC62" s="197"/>
    </row>
    <row r="63" spans="1:29" x14ac:dyDescent="0.25">
      <c r="A63" s="88" t="s">
        <v>156</v>
      </c>
      <c r="B63" s="85">
        <v>1992724157</v>
      </c>
      <c r="C63" s="86">
        <v>3</v>
      </c>
      <c r="D63" s="86">
        <v>2019</v>
      </c>
      <c r="E63" s="197">
        <v>59623</v>
      </c>
      <c r="F63" s="87" t="s">
        <v>370</v>
      </c>
      <c r="G63" s="86">
        <v>3</v>
      </c>
      <c r="H63" s="86">
        <v>2020</v>
      </c>
      <c r="I63" s="197">
        <v>158322</v>
      </c>
      <c r="J63" s="87" t="s">
        <v>370</v>
      </c>
      <c r="K63" s="86">
        <v>3</v>
      </c>
      <c r="L63" s="86">
        <v>2022</v>
      </c>
      <c r="M63" s="197">
        <v>83093</v>
      </c>
      <c r="N63" s="87" t="s">
        <v>370</v>
      </c>
      <c r="O63" s="86"/>
      <c r="P63" s="86"/>
      <c r="Q63" s="197"/>
      <c r="R63" s="87" t="s">
        <v>370</v>
      </c>
      <c r="S63" s="86"/>
      <c r="T63" s="86"/>
      <c r="U63" s="197"/>
      <c r="V63" s="87" t="s">
        <v>370</v>
      </c>
      <c r="W63" s="86"/>
      <c r="X63" s="86"/>
      <c r="Y63" s="197"/>
      <c r="Z63" s="87" t="s">
        <v>370</v>
      </c>
      <c r="AA63" s="86"/>
      <c r="AB63" s="86"/>
      <c r="AC63" s="197"/>
    </row>
    <row r="64" spans="1:29" x14ac:dyDescent="0.25">
      <c r="A64" s="85" t="s">
        <v>157</v>
      </c>
      <c r="B64" s="85">
        <v>1174608350</v>
      </c>
      <c r="C64" s="86">
        <v>3</v>
      </c>
      <c r="D64" s="86">
        <v>2016</v>
      </c>
      <c r="E64" s="197">
        <v>49323</v>
      </c>
      <c r="F64" s="87" t="s">
        <v>370</v>
      </c>
      <c r="G64" s="86">
        <v>3</v>
      </c>
      <c r="H64" s="86">
        <v>2017</v>
      </c>
      <c r="I64" s="197">
        <v>100973</v>
      </c>
      <c r="J64" s="87" t="s">
        <v>370</v>
      </c>
      <c r="K64" s="86">
        <v>3</v>
      </c>
      <c r="L64" s="86">
        <v>2020</v>
      </c>
      <c r="M64" s="197">
        <v>37032</v>
      </c>
      <c r="N64" s="87" t="s">
        <v>370</v>
      </c>
      <c r="O64" s="86"/>
      <c r="P64" s="86"/>
      <c r="Q64" s="197"/>
      <c r="R64" s="87" t="s">
        <v>370</v>
      </c>
      <c r="S64" s="86"/>
      <c r="T64" s="86"/>
      <c r="U64" s="197"/>
      <c r="V64" s="87" t="s">
        <v>370</v>
      </c>
      <c r="W64" s="86"/>
      <c r="X64" s="86"/>
      <c r="Y64" s="197"/>
      <c r="Z64" s="87" t="s">
        <v>370</v>
      </c>
      <c r="AA64" s="86"/>
      <c r="AB64" s="86"/>
      <c r="AC64" s="197"/>
    </row>
    <row r="65" spans="1:29" x14ac:dyDescent="0.25">
      <c r="A65" s="85" t="s">
        <v>420</v>
      </c>
      <c r="B65" s="85">
        <v>1497283899</v>
      </c>
      <c r="C65" s="86"/>
      <c r="D65" s="86"/>
      <c r="E65" s="197"/>
      <c r="F65" s="87" t="s">
        <v>370</v>
      </c>
      <c r="G65" s="86"/>
      <c r="H65" s="86"/>
      <c r="I65" s="197"/>
      <c r="J65" s="87" t="s">
        <v>370</v>
      </c>
      <c r="K65" s="86"/>
      <c r="L65" s="86"/>
      <c r="M65" s="197"/>
      <c r="N65" s="87" t="s">
        <v>370</v>
      </c>
      <c r="O65" s="86"/>
      <c r="P65" s="86"/>
      <c r="Q65" s="197"/>
      <c r="R65" s="87" t="s">
        <v>370</v>
      </c>
      <c r="S65" s="86"/>
      <c r="T65" s="86"/>
      <c r="U65" s="197"/>
      <c r="V65" s="87" t="s">
        <v>370</v>
      </c>
      <c r="W65" s="86"/>
      <c r="X65" s="86"/>
      <c r="Y65" s="197"/>
      <c r="Z65" s="87" t="s">
        <v>370</v>
      </c>
      <c r="AA65" s="86"/>
      <c r="AB65" s="86"/>
      <c r="AC65" s="197"/>
    </row>
    <row r="66" spans="1:29" x14ac:dyDescent="0.25">
      <c r="A66" s="85" t="s">
        <v>421</v>
      </c>
      <c r="B66" s="85">
        <v>1578013876</v>
      </c>
      <c r="C66" s="86">
        <v>3</v>
      </c>
      <c r="D66" s="86">
        <v>2017</v>
      </c>
      <c r="E66" s="197">
        <v>92566.11</v>
      </c>
      <c r="F66" s="87" t="s">
        <v>370</v>
      </c>
      <c r="G66" s="86"/>
      <c r="H66" s="86"/>
      <c r="I66" s="197"/>
      <c r="J66" s="87" t="s">
        <v>370</v>
      </c>
      <c r="K66" s="86"/>
      <c r="L66" s="86"/>
      <c r="M66" s="197"/>
      <c r="N66" s="87" t="s">
        <v>370</v>
      </c>
      <c r="O66" s="86"/>
      <c r="P66" s="86"/>
      <c r="Q66" s="197"/>
      <c r="R66" s="87" t="s">
        <v>370</v>
      </c>
      <c r="S66" s="86"/>
      <c r="T66" s="86"/>
      <c r="U66" s="197"/>
      <c r="V66" s="87" t="s">
        <v>370</v>
      </c>
      <c r="W66" s="86"/>
      <c r="X66" s="86"/>
      <c r="Y66" s="197"/>
      <c r="Z66" s="87" t="s">
        <v>370</v>
      </c>
      <c r="AA66" s="86"/>
      <c r="AB66" s="86"/>
      <c r="AC66" s="197"/>
    </row>
    <row r="67" spans="1:29" x14ac:dyDescent="0.25">
      <c r="A67" s="85" t="s">
        <v>158</v>
      </c>
      <c r="B67" s="85">
        <v>1265441208</v>
      </c>
      <c r="C67" s="86">
        <v>3</v>
      </c>
      <c r="D67" s="86">
        <v>2016</v>
      </c>
      <c r="E67" s="197">
        <v>62830</v>
      </c>
      <c r="F67" s="87" t="s">
        <v>370</v>
      </c>
      <c r="G67" s="86">
        <v>3</v>
      </c>
      <c r="H67" s="86">
        <v>2021</v>
      </c>
      <c r="I67" s="197">
        <v>55068</v>
      </c>
      <c r="J67" s="87" t="s">
        <v>370</v>
      </c>
      <c r="K67" s="86">
        <v>3</v>
      </c>
      <c r="L67" s="86">
        <v>2022</v>
      </c>
      <c r="M67" s="197">
        <v>394004</v>
      </c>
      <c r="N67" s="87" t="s">
        <v>370</v>
      </c>
      <c r="O67" s="86"/>
      <c r="P67" s="86"/>
      <c r="Q67" s="197"/>
      <c r="R67" s="87" t="s">
        <v>370</v>
      </c>
      <c r="S67" s="86"/>
      <c r="T67" s="86"/>
      <c r="U67" s="197"/>
      <c r="V67" s="87" t="s">
        <v>370</v>
      </c>
      <c r="W67" s="86"/>
      <c r="X67" s="86"/>
      <c r="Y67" s="197"/>
      <c r="Z67" s="87" t="s">
        <v>370</v>
      </c>
      <c r="AA67" s="86"/>
      <c r="AB67" s="86"/>
      <c r="AC67" s="197"/>
    </row>
    <row r="68" spans="1:29" x14ac:dyDescent="0.25">
      <c r="A68" s="85" t="s">
        <v>159</v>
      </c>
      <c r="B68" s="85">
        <v>1831219781</v>
      </c>
      <c r="C68" s="86">
        <v>3</v>
      </c>
      <c r="D68" s="86">
        <v>2016</v>
      </c>
      <c r="E68" s="197">
        <v>67121</v>
      </c>
      <c r="F68" s="87" t="s">
        <v>370</v>
      </c>
      <c r="G68" s="86">
        <v>3</v>
      </c>
      <c r="H68" s="86">
        <v>2017</v>
      </c>
      <c r="I68" s="197">
        <v>60392.480000000003</v>
      </c>
      <c r="J68" s="87" t="s">
        <v>370</v>
      </c>
      <c r="K68" s="86">
        <v>3</v>
      </c>
      <c r="L68" s="86">
        <v>2020</v>
      </c>
      <c r="M68" s="197">
        <v>50472</v>
      </c>
      <c r="N68" s="87" t="s">
        <v>370</v>
      </c>
      <c r="O68" s="86">
        <v>3</v>
      </c>
      <c r="P68" s="86">
        <v>2021</v>
      </c>
      <c r="Q68" s="197">
        <v>213346</v>
      </c>
      <c r="R68" s="87" t="s">
        <v>370</v>
      </c>
      <c r="S68" s="86"/>
      <c r="T68" s="86"/>
      <c r="U68" s="197"/>
      <c r="V68" s="87" t="s">
        <v>370</v>
      </c>
      <c r="W68" s="86"/>
      <c r="X68" s="86"/>
      <c r="Y68" s="197"/>
      <c r="Z68" s="87" t="s">
        <v>370</v>
      </c>
      <c r="AA68" s="86"/>
      <c r="AB68" s="86"/>
      <c r="AC68" s="197"/>
    </row>
    <row r="69" spans="1:29" x14ac:dyDescent="0.25">
      <c r="A69" s="88" t="s">
        <v>788</v>
      </c>
      <c r="B69" s="85">
        <v>1518088830</v>
      </c>
      <c r="C69" s="86">
        <v>3</v>
      </c>
      <c r="D69" s="86">
        <v>2016</v>
      </c>
      <c r="E69" s="197">
        <v>195605</v>
      </c>
      <c r="F69" s="87" t="s">
        <v>370</v>
      </c>
      <c r="G69" s="86">
        <v>3</v>
      </c>
      <c r="H69" s="86">
        <v>2017</v>
      </c>
      <c r="I69" s="197">
        <v>174886.68</v>
      </c>
      <c r="J69" s="87" t="s">
        <v>370</v>
      </c>
      <c r="K69" s="86">
        <v>3</v>
      </c>
      <c r="L69" s="86">
        <v>2020</v>
      </c>
      <c r="M69" s="197">
        <v>81413</v>
      </c>
      <c r="N69" s="87" t="s">
        <v>370</v>
      </c>
      <c r="O69" s="86">
        <v>3</v>
      </c>
      <c r="P69" s="86">
        <v>2022</v>
      </c>
      <c r="Q69" s="197">
        <v>615459</v>
      </c>
      <c r="R69" s="87" t="s">
        <v>370</v>
      </c>
      <c r="S69" s="86"/>
      <c r="T69" s="86"/>
      <c r="U69" s="197"/>
      <c r="V69" s="87" t="s">
        <v>370</v>
      </c>
      <c r="W69" s="86"/>
      <c r="X69" s="86"/>
      <c r="Y69" s="197"/>
      <c r="Z69" s="87" t="s">
        <v>370</v>
      </c>
      <c r="AA69" s="86"/>
      <c r="AB69" s="86"/>
      <c r="AC69" s="197"/>
    </row>
    <row r="70" spans="1:29" x14ac:dyDescent="0.25">
      <c r="A70" s="88" t="s">
        <v>160</v>
      </c>
      <c r="B70" s="85">
        <v>1578683439</v>
      </c>
      <c r="C70" s="86">
        <v>3</v>
      </c>
      <c r="D70" s="86">
        <v>2016</v>
      </c>
      <c r="E70" s="197">
        <v>98658</v>
      </c>
      <c r="F70" s="87" t="s">
        <v>370</v>
      </c>
      <c r="G70" s="86">
        <v>3</v>
      </c>
      <c r="H70" s="86">
        <v>2017</v>
      </c>
      <c r="I70" s="197">
        <v>83773.03</v>
      </c>
      <c r="J70" s="87" t="s">
        <v>370</v>
      </c>
      <c r="K70" s="86">
        <v>3</v>
      </c>
      <c r="L70" s="86">
        <v>2019</v>
      </c>
      <c r="M70" s="197">
        <v>113005</v>
      </c>
      <c r="N70" s="87" t="s">
        <v>370</v>
      </c>
      <c r="O70" s="86">
        <v>3</v>
      </c>
      <c r="P70" s="86">
        <v>2020</v>
      </c>
      <c r="Q70" s="197">
        <v>172971</v>
      </c>
      <c r="R70" s="87" t="s">
        <v>370</v>
      </c>
      <c r="S70" s="86">
        <v>3</v>
      </c>
      <c r="T70" s="86">
        <v>2021</v>
      </c>
      <c r="U70" s="197">
        <v>103049</v>
      </c>
      <c r="V70" s="87" t="s">
        <v>370</v>
      </c>
      <c r="W70" s="86"/>
      <c r="X70" s="86"/>
      <c r="Y70" s="197"/>
      <c r="Z70" s="87" t="s">
        <v>370</v>
      </c>
      <c r="AA70" s="86"/>
      <c r="AB70" s="86"/>
      <c r="AC70" s="197"/>
    </row>
    <row r="71" spans="1:29" x14ac:dyDescent="0.25">
      <c r="A71" s="88" t="s">
        <v>161</v>
      </c>
      <c r="B71" s="85">
        <v>1235236878</v>
      </c>
      <c r="C71" s="86">
        <v>3</v>
      </c>
      <c r="D71" s="86">
        <v>2016</v>
      </c>
      <c r="E71" s="197">
        <v>60216</v>
      </c>
      <c r="F71" s="87" t="s">
        <v>370</v>
      </c>
      <c r="G71" s="86">
        <v>3</v>
      </c>
      <c r="H71" s="86">
        <v>2022</v>
      </c>
      <c r="I71" s="197">
        <v>40386</v>
      </c>
      <c r="J71" s="87" t="s">
        <v>370</v>
      </c>
      <c r="K71" s="86"/>
      <c r="L71" s="86"/>
      <c r="M71" s="197"/>
      <c r="N71" s="87" t="s">
        <v>370</v>
      </c>
      <c r="O71" s="86"/>
      <c r="P71" s="86"/>
      <c r="Q71" s="197"/>
      <c r="R71" s="87" t="s">
        <v>370</v>
      </c>
      <c r="S71" s="86"/>
      <c r="T71" s="86"/>
      <c r="U71" s="197"/>
      <c r="V71" s="87" t="s">
        <v>370</v>
      </c>
      <c r="W71" s="86"/>
      <c r="X71" s="86"/>
      <c r="Y71" s="197"/>
      <c r="Z71" s="87" t="s">
        <v>370</v>
      </c>
      <c r="AA71" s="86"/>
      <c r="AB71" s="86"/>
      <c r="AC71" s="197"/>
    </row>
    <row r="72" spans="1:29" x14ac:dyDescent="0.25">
      <c r="A72" s="88" t="s">
        <v>162</v>
      </c>
      <c r="B72" s="85">
        <v>1295723377</v>
      </c>
      <c r="C72" s="86"/>
      <c r="D72" s="86"/>
      <c r="E72" s="197"/>
      <c r="F72" s="87" t="s">
        <v>370</v>
      </c>
      <c r="G72" s="86"/>
      <c r="H72" s="86"/>
      <c r="I72" s="197"/>
      <c r="J72" s="87" t="s">
        <v>370</v>
      </c>
      <c r="K72" s="86"/>
      <c r="L72" s="86"/>
      <c r="M72" s="197"/>
      <c r="N72" s="87" t="s">
        <v>370</v>
      </c>
      <c r="O72" s="86"/>
      <c r="P72" s="86"/>
      <c r="Q72" s="197"/>
      <c r="R72" s="87" t="s">
        <v>370</v>
      </c>
      <c r="S72" s="86"/>
      <c r="T72" s="86"/>
      <c r="U72" s="197"/>
      <c r="V72" s="87" t="s">
        <v>370</v>
      </c>
      <c r="W72" s="86"/>
      <c r="X72" s="86"/>
      <c r="Y72" s="197"/>
      <c r="Z72" s="87" t="s">
        <v>370</v>
      </c>
      <c r="AA72" s="86"/>
      <c r="AB72" s="86"/>
      <c r="AC72" s="197"/>
    </row>
    <row r="73" spans="1:29" x14ac:dyDescent="0.25">
      <c r="A73" s="85" t="s">
        <v>163</v>
      </c>
      <c r="B73" s="85">
        <v>1952446510</v>
      </c>
      <c r="C73" s="86">
        <v>3</v>
      </c>
      <c r="D73" s="86">
        <v>2020</v>
      </c>
      <c r="E73" s="197">
        <v>595264</v>
      </c>
      <c r="F73" s="87" t="s">
        <v>370</v>
      </c>
      <c r="G73" s="89"/>
      <c r="H73" s="89"/>
      <c r="I73" s="197"/>
      <c r="J73" s="87" t="s">
        <v>370</v>
      </c>
      <c r="K73" s="86"/>
      <c r="L73" s="86"/>
      <c r="M73" s="197"/>
      <c r="N73" s="87" t="s">
        <v>370</v>
      </c>
      <c r="O73" s="86"/>
      <c r="P73" s="86"/>
      <c r="Q73" s="197"/>
      <c r="R73" s="87" t="s">
        <v>370</v>
      </c>
      <c r="S73" s="86"/>
      <c r="T73" s="86"/>
      <c r="U73" s="197"/>
      <c r="V73" s="87" t="s">
        <v>370</v>
      </c>
      <c r="W73" s="86"/>
      <c r="X73" s="86"/>
      <c r="Y73" s="197"/>
      <c r="Z73" s="87" t="s">
        <v>370</v>
      </c>
      <c r="AA73" s="86"/>
      <c r="AB73" s="86"/>
      <c r="AC73" s="197"/>
    </row>
    <row r="74" spans="1:29" x14ac:dyDescent="0.25">
      <c r="A74" s="85" t="s">
        <v>422</v>
      </c>
      <c r="B74" s="85">
        <v>1558872333</v>
      </c>
      <c r="C74" s="86">
        <v>3</v>
      </c>
      <c r="D74" s="86">
        <v>2019</v>
      </c>
      <c r="E74" s="197">
        <v>63998</v>
      </c>
      <c r="F74" s="87" t="s">
        <v>370</v>
      </c>
      <c r="G74" s="86">
        <v>3</v>
      </c>
      <c r="H74" s="86">
        <v>2021</v>
      </c>
      <c r="I74" s="197">
        <v>64660</v>
      </c>
      <c r="J74" s="87" t="s">
        <v>370</v>
      </c>
      <c r="K74" s="86"/>
      <c r="L74" s="86"/>
      <c r="M74" s="197"/>
      <c r="N74" s="87" t="s">
        <v>370</v>
      </c>
      <c r="O74" s="86"/>
      <c r="P74" s="86"/>
      <c r="Q74" s="197"/>
      <c r="R74" s="87" t="s">
        <v>370</v>
      </c>
      <c r="S74" s="86"/>
      <c r="T74" s="86"/>
      <c r="U74" s="197"/>
      <c r="V74" s="87" t="s">
        <v>370</v>
      </c>
      <c r="W74" s="86"/>
      <c r="X74" s="86"/>
      <c r="Y74" s="197"/>
      <c r="Z74" s="87" t="s">
        <v>370</v>
      </c>
      <c r="AA74" s="86"/>
      <c r="AB74" s="86"/>
      <c r="AC74" s="197"/>
    </row>
    <row r="75" spans="1:29" x14ac:dyDescent="0.25">
      <c r="A75" s="88" t="s">
        <v>423</v>
      </c>
      <c r="B75" s="85">
        <v>1306372230</v>
      </c>
      <c r="C75" s="86"/>
      <c r="D75" s="86"/>
      <c r="E75" s="197"/>
      <c r="F75" s="87" t="s">
        <v>370</v>
      </c>
      <c r="G75" s="86"/>
      <c r="H75" s="86"/>
      <c r="I75" s="197"/>
      <c r="J75" s="87" t="s">
        <v>370</v>
      </c>
      <c r="K75" s="86"/>
      <c r="L75" s="86"/>
      <c r="M75" s="197"/>
      <c r="N75" s="87" t="s">
        <v>370</v>
      </c>
      <c r="O75" s="86"/>
      <c r="P75" s="86"/>
      <c r="Q75" s="197"/>
      <c r="R75" s="87" t="s">
        <v>370</v>
      </c>
      <c r="S75" s="86"/>
      <c r="T75" s="86"/>
      <c r="U75" s="197"/>
      <c r="V75" s="87" t="s">
        <v>370</v>
      </c>
      <c r="W75" s="86"/>
      <c r="X75" s="86"/>
      <c r="Y75" s="197"/>
      <c r="Z75" s="87" t="s">
        <v>370</v>
      </c>
      <c r="AA75" s="86"/>
      <c r="AB75" s="86"/>
      <c r="AC75" s="197"/>
    </row>
    <row r="76" spans="1:29" x14ac:dyDescent="0.25">
      <c r="A76" s="85" t="s">
        <v>164</v>
      </c>
      <c r="B76" s="85">
        <v>1336196526</v>
      </c>
      <c r="C76" s="86">
        <v>3</v>
      </c>
      <c r="D76" s="86">
        <v>2016</v>
      </c>
      <c r="E76" s="197">
        <v>34270</v>
      </c>
      <c r="F76" s="87" t="s">
        <v>370</v>
      </c>
      <c r="G76" s="86">
        <v>3</v>
      </c>
      <c r="H76" s="86">
        <v>2017</v>
      </c>
      <c r="I76" s="197">
        <v>134169</v>
      </c>
      <c r="J76" s="87" t="s">
        <v>370</v>
      </c>
      <c r="K76" s="86">
        <v>3</v>
      </c>
      <c r="L76" s="86">
        <v>2018</v>
      </c>
      <c r="M76" s="197">
        <v>36294</v>
      </c>
      <c r="N76" s="87" t="s">
        <v>370</v>
      </c>
      <c r="O76" s="86">
        <v>3</v>
      </c>
      <c r="P76" s="86">
        <v>2021</v>
      </c>
      <c r="Q76" s="197">
        <v>62022</v>
      </c>
      <c r="R76" s="87" t="s">
        <v>370</v>
      </c>
      <c r="S76" s="86">
        <v>3</v>
      </c>
      <c r="T76" s="86">
        <v>2022</v>
      </c>
      <c r="U76" s="197">
        <v>38369</v>
      </c>
      <c r="V76" s="87" t="s">
        <v>370</v>
      </c>
      <c r="W76" s="86"/>
      <c r="X76" s="86"/>
      <c r="Y76" s="197"/>
      <c r="Z76" s="87" t="s">
        <v>370</v>
      </c>
      <c r="AA76" s="86"/>
      <c r="AB76" s="86"/>
      <c r="AC76" s="197"/>
    </row>
    <row r="77" spans="1:29" x14ac:dyDescent="0.25">
      <c r="A77" s="85" t="s">
        <v>424</v>
      </c>
      <c r="B77" s="85">
        <v>1295279594</v>
      </c>
      <c r="C77" s="86">
        <v>3</v>
      </c>
      <c r="D77" s="86">
        <v>2017</v>
      </c>
      <c r="E77" s="197">
        <v>1011097</v>
      </c>
      <c r="F77" s="87" t="s">
        <v>370</v>
      </c>
      <c r="G77" s="86">
        <v>3</v>
      </c>
      <c r="H77" s="86">
        <v>2019</v>
      </c>
      <c r="I77" s="197">
        <v>639225</v>
      </c>
      <c r="J77" s="87" t="s">
        <v>370</v>
      </c>
      <c r="K77" s="86">
        <v>3</v>
      </c>
      <c r="L77" s="86">
        <v>2022</v>
      </c>
      <c r="M77" s="197">
        <v>171143</v>
      </c>
      <c r="N77" s="87" t="s">
        <v>370</v>
      </c>
      <c r="O77" s="86"/>
      <c r="P77" s="86"/>
      <c r="Q77" s="197"/>
      <c r="R77" s="87" t="s">
        <v>370</v>
      </c>
      <c r="S77" s="86"/>
      <c r="T77" s="86"/>
      <c r="U77" s="197"/>
      <c r="V77" s="87" t="s">
        <v>370</v>
      </c>
      <c r="W77" s="86"/>
      <c r="X77" s="86"/>
      <c r="Y77" s="197"/>
      <c r="Z77" s="87" t="s">
        <v>370</v>
      </c>
      <c r="AA77" s="86"/>
      <c r="AB77" s="86"/>
      <c r="AC77" s="197"/>
    </row>
    <row r="78" spans="1:29" x14ac:dyDescent="0.25">
      <c r="A78" s="85" t="s">
        <v>425</v>
      </c>
      <c r="B78" s="85">
        <v>1225524747</v>
      </c>
      <c r="C78" s="86">
        <v>3</v>
      </c>
      <c r="D78" s="86">
        <v>2018</v>
      </c>
      <c r="E78" s="197">
        <v>61789</v>
      </c>
      <c r="F78" s="87" t="s">
        <v>370</v>
      </c>
      <c r="G78" s="86">
        <v>3</v>
      </c>
      <c r="H78" s="86">
        <v>2019</v>
      </c>
      <c r="I78" s="197">
        <v>257502</v>
      </c>
      <c r="J78" s="87" t="s">
        <v>370</v>
      </c>
      <c r="K78" s="86">
        <v>3</v>
      </c>
      <c r="L78" s="86">
        <v>2020</v>
      </c>
      <c r="M78" s="197">
        <v>418967</v>
      </c>
      <c r="N78" s="87" t="s">
        <v>370</v>
      </c>
      <c r="O78" s="86">
        <v>3</v>
      </c>
      <c r="P78" s="86">
        <v>2021</v>
      </c>
      <c r="Q78" s="197">
        <v>1065483</v>
      </c>
      <c r="R78" s="87" t="s">
        <v>370</v>
      </c>
      <c r="S78" s="86">
        <v>3</v>
      </c>
      <c r="T78" s="86">
        <v>2022</v>
      </c>
      <c r="U78" s="197">
        <v>655229</v>
      </c>
      <c r="V78" s="87" t="s">
        <v>370</v>
      </c>
      <c r="W78" s="86"/>
      <c r="X78" s="86"/>
      <c r="Y78" s="197"/>
      <c r="Z78" s="87" t="s">
        <v>370</v>
      </c>
      <c r="AA78" s="86"/>
      <c r="AB78" s="86"/>
      <c r="AC78" s="197"/>
    </row>
    <row r="79" spans="1:29" x14ac:dyDescent="0.25">
      <c r="A79" s="85" t="s">
        <v>165</v>
      </c>
      <c r="B79" s="85">
        <v>1215400668</v>
      </c>
      <c r="C79" s="86">
        <v>3</v>
      </c>
      <c r="D79" s="86">
        <v>2017</v>
      </c>
      <c r="E79" s="197">
        <v>81483.56</v>
      </c>
      <c r="F79" s="87" t="s">
        <v>370</v>
      </c>
      <c r="G79" s="86">
        <v>3</v>
      </c>
      <c r="H79" s="86">
        <v>2019</v>
      </c>
      <c r="I79" s="197">
        <v>167841</v>
      </c>
      <c r="J79" s="87" t="s">
        <v>370</v>
      </c>
      <c r="K79" s="86">
        <v>3</v>
      </c>
      <c r="L79" s="86">
        <v>2020</v>
      </c>
      <c r="M79" s="197">
        <v>1056046</v>
      </c>
      <c r="N79" s="87" t="s">
        <v>370</v>
      </c>
      <c r="O79" s="86">
        <v>3</v>
      </c>
      <c r="P79" s="86">
        <v>2021</v>
      </c>
      <c r="Q79" s="197">
        <v>930246</v>
      </c>
      <c r="R79" s="87" t="s">
        <v>370</v>
      </c>
      <c r="S79" s="86">
        <v>3</v>
      </c>
      <c r="T79" s="86">
        <v>2022</v>
      </c>
      <c r="U79" s="197">
        <v>708069</v>
      </c>
      <c r="V79" s="87" t="s">
        <v>370</v>
      </c>
      <c r="W79" s="86"/>
      <c r="X79" s="86"/>
      <c r="Y79" s="197"/>
      <c r="Z79" s="87" t="s">
        <v>370</v>
      </c>
      <c r="AA79" s="86"/>
      <c r="AB79" s="86"/>
      <c r="AC79" s="197"/>
    </row>
    <row r="80" spans="1:29" x14ac:dyDescent="0.25">
      <c r="A80" s="85" t="s">
        <v>166</v>
      </c>
      <c r="B80" s="85">
        <v>1144804485</v>
      </c>
      <c r="C80" s="86">
        <v>3</v>
      </c>
      <c r="D80" s="86">
        <v>2016</v>
      </c>
      <c r="E80" s="197">
        <v>555672</v>
      </c>
      <c r="F80" s="87" t="s">
        <v>370</v>
      </c>
      <c r="G80" s="86">
        <v>3</v>
      </c>
      <c r="H80" s="86">
        <v>2017</v>
      </c>
      <c r="I80" s="197">
        <v>48081</v>
      </c>
      <c r="J80" s="87" t="s">
        <v>370</v>
      </c>
      <c r="K80" s="86">
        <v>3</v>
      </c>
      <c r="L80" s="86">
        <v>2018</v>
      </c>
      <c r="M80" s="197">
        <v>205071</v>
      </c>
      <c r="N80" s="87" t="s">
        <v>370</v>
      </c>
      <c r="O80" s="86">
        <v>3</v>
      </c>
      <c r="P80" s="86">
        <v>2019</v>
      </c>
      <c r="Q80" s="197">
        <v>154675</v>
      </c>
      <c r="R80" s="87" t="s">
        <v>370</v>
      </c>
      <c r="S80" s="86">
        <v>3</v>
      </c>
      <c r="T80" s="86">
        <v>2020</v>
      </c>
      <c r="U80" s="197">
        <v>148297</v>
      </c>
      <c r="V80" s="87" t="s">
        <v>370</v>
      </c>
      <c r="W80" s="86"/>
      <c r="X80" s="86"/>
      <c r="Y80" s="197"/>
      <c r="Z80" s="87" t="s">
        <v>370</v>
      </c>
      <c r="AA80" s="86"/>
      <c r="AB80" s="86"/>
      <c r="AC80" s="197"/>
    </row>
    <row r="81" spans="1:29" x14ac:dyDescent="0.25">
      <c r="A81" s="85" t="s">
        <v>426</v>
      </c>
      <c r="B81" s="85">
        <v>1114501459</v>
      </c>
      <c r="C81" s="86">
        <v>3</v>
      </c>
      <c r="D81" s="86">
        <v>2016</v>
      </c>
      <c r="E81" s="197">
        <v>154485</v>
      </c>
      <c r="F81" s="87" t="s">
        <v>370</v>
      </c>
      <c r="G81" s="86">
        <v>3</v>
      </c>
      <c r="H81" s="86">
        <v>2017</v>
      </c>
      <c r="I81" s="197">
        <v>90443</v>
      </c>
      <c r="J81" s="87" t="s">
        <v>370</v>
      </c>
      <c r="K81" s="86">
        <v>3</v>
      </c>
      <c r="L81" s="86">
        <v>2018</v>
      </c>
      <c r="M81" s="197">
        <v>205155</v>
      </c>
      <c r="N81" s="87" t="s">
        <v>370</v>
      </c>
      <c r="O81" s="86">
        <v>3</v>
      </c>
      <c r="P81" s="86">
        <v>2019</v>
      </c>
      <c r="Q81" s="197">
        <v>313608</v>
      </c>
      <c r="R81" s="87" t="s">
        <v>370</v>
      </c>
      <c r="S81" s="86">
        <v>3</v>
      </c>
      <c r="T81" s="86">
        <v>2020</v>
      </c>
      <c r="U81" s="197">
        <v>230327</v>
      </c>
      <c r="V81" s="87" t="s">
        <v>370</v>
      </c>
      <c r="W81" s="86">
        <v>3</v>
      </c>
      <c r="X81" s="86">
        <v>2021</v>
      </c>
      <c r="Y81" s="197">
        <v>579779</v>
      </c>
      <c r="Z81" s="87" t="s">
        <v>370</v>
      </c>
      <c r="AA81" s="86"/>
      <c r="AB81" s="86"/>
      <c r="AC81" s="197"/>
    </row>
    <row r="82" spans="1:29" x14ac:dyDescent="0.25">
      <c r="A82" s="85" t="s">
        <v>427</v>
      </c>
      <c r="B82" s="85">
        <v>1558393835</v>
      </c>
      <c r="C82" s="86">
        <v>3</v>
      </c>
      <c r="D82" s="86">
        <v>2019</v>
      </c>
      <c r="E82" s="197">
        <v>108829</v>
      </c>
      <c r="F82" s="87" t="s">
        <v>370</v>
      </c>
      <c r="G82" s="86">
        <v>3</v>
      </c>
      <c r="H82" s="86">
        <v>2020</v>
      </c>
      <c r="I82" s="197">
        <v>310408</v>
      </c>
      <c r="J82" s="87" t="s">
        <v>370</v>
      </c>
      <c r="K82" s="86">
        <v>3</v>
      </c>
      <c r="L82" s="86">
        <v>2021</v>
      </c>
      <c r="M82" s="197">
        <v>496517</v>
      </c>
      <c r="N82" s="87" t="s">
        <v>370</v>
      </c>
      <c r="O82" s="86">
        <v>3</v>
      </c>
      <c r="P82" s="86">
        <v>2022</v>
      </c>
      <c r="Q82" s="197">
        <v>110732</v>
      </c>
      <c r="R82" s="87" t="s">
        <v>370</v>
      </c>
      <c r="S82" s="86"/>
      <c r="T82" s="86"/>
      <c r="U82" s="197"/>
      <c r="V82" s="87" t="s">
        <v>370</v>
      </c>
      <c r="W82" s="86"/>
      <c r="X82" s="86"/>
      <c r="Y82" s="197"/>
      <c r="Z82" s="87" t="s">
        <v>370</v>
      </c>
      <c r="AA82" s="86"/>
      <c r="AB82" s="86"/>
      <c r="AC82" s="197"/>
    </row>
    <row r="83" spans="1:29" x14ac:dyDescent="0.25">
      <c r="A83" s="85" t="s">
        <v>167</v>
      </c>
      <c r="B83" s="85">
        <v>1083711626</v>
      </c>
      <c r="C83" s="86">
        <v>3</v>
      </c>
      <c r="D83" s="86">
        <v>2016</v>
      </c>
      <c r="E83" s="197">
        <v>717449</v>
      </c>
      <c r="F83" s="87" t="s">
        <v>370</v>
      </c>
      <c r="G83" s="86">
        <v>3</v>
      </c>
      <c r="H83" s="86">
        <v>2022</v>
      </c>
      <c r="I83" s="197">
        <v>483180</v>
      </c>
      <c r="J83" s="87" t="s">
        <v>370</v>
      </c>
      <c r="K83" s="86"/>
      <c r="L83" s="86"/>
      <c r="M83" s="197"/>
      <c r="N83" s="87" t="s">
        <v>370</v>
      </c>
      <c r="O83" s="86"/>
      <c r="P83" s="86"/>
      <c r="Q83" s="197"/>
      <c r="R83" s="87" t="s">
        <v>370</v>
      </c>
      <c r="S83" s="86"/>
      <c r="T83" s="86"/>
      <c r="U83" s="197"/>
      <c r="V83" s="87" t="s">
        <v>370</v>
      </c>
      <c r="W83" s="86"/>
      <c r="X83" s="86"/>
      <c r="Y83" s="197"/>
      <c r="Z83" s="87" t="s">
        <v>370</v>
      </c>
      <c r="AA83" s="86"/>
      <c r="AB83" s="86"/>
      <c r="AC83" s="197"/>
    </row>
    <row r="84" spans="1:29" x14ac:dyDescent="0.25">
      <c r="A84" s="88" t="s">
        <v>168</v>
      </c>
      <c r="B84" s="85">
        <v>1669821336</v>
      </c>
      <c r="C84" s="86"/>
      <c r="D84" s="86"/>
      <c r="E84" s="197"/>
      <c r="F84" s="87" t="s">
        <v>370</v>
      </c>
      <c r="G84" s="86"/>
      <c r="H84" s="86"/>
      <c r="I84" s="197"/>
      <c r="J84" s="87" t="s">
        <v>370</v>
      </c>
      <c r="K84" s="86"/>
      <c r="L84" s="86"/>
      <c r="M84" s="197"/>
      <c r="N84" s="87" t="s">
        <v>370</v>
      </c>
      <c r="O84" s="86"/>
      <c r="P84" s="86"/>
      <c r="Q84" s="197"/>
      <c r="R84" s="87" t="s">
        <v>370</v>
      </c>
      <c r="S84" s="86"/>
      <c r="T84" s="86"/>
      <c r="U84" s="197"/>
      <c r="V84" s="87" t="s">
        <v>370</v>
      </c>
      <c r="W84" s="86"/>
      <c r="X84" s="86"/>
      <c r="Y84" s="197"/>
      <c r="Z84" s="87" t="s">
        <v>370</v>
      </c>
      <c r="AA84" s="86"/>
      <c r="AB84" s="86"/>
      <c r="AC84" s="197"/>
    </row>
    <row r="85" spans="1:29" x14ac:dyDescent="0.25">
      <c r="A85" s="85" t="s">
        <v>169</v>
      </c>
      <c r="B85" s="85">
        <v>1083661193</v>
      </c>
      <c r="C85" s="86">
        <v>3</v>
      </c>
      <c r="D85" s="86">
        <v>2016</v>
      </c>
      <c r="E85" s="197">
        <v>677774</v>
      </c>
      <c r="F85" s="87" t="s">
        <v>370</v>
      </c>
      <c r="G85" s="86">
        <v>3</v>
      </c>
      <c r="H85" s="86">
        <v>2017</v>
      </c>
      <c r="I85" s="197">
        <v>112928</v>
      </c>
      <c r="J85" s="87" t="s">
        <v>370</v>
      </c>
      <c r="K85" s="86">
        <v>3</v>
      </c>
      <c r="L85" s="86">
        <v>2020</v>
      </c>
      <c r="M85" s="197">
        <v>65666</v>
      </c>
      <c r="N85" s="87" t="s">
        <v>370</v>
      </c>
      <c r="O85" s="86">
        <v>3</v>
      </c>
      <c r="P85" s="86">
        <v>2021</v>
      </c>
      <c r="Q85" s="197">
        <v>78781</v>
      </c>
      <c r="R85" s="87" t="s">
        <v>370</v>
      </c>
      <c r="S85" s="86">
        <v>3</v>
      </c>
      <c r="T85" s="86">
        <v>2022</v>
      </c>
      <c r="U85" s="197">
        <v>534598</v>
      </c>
      <c r="V85" s="87" t="s">
        <v>370</v>
      </c>
      <c r="W85" s="86"/>
      <c r="X85" s="86"/>
      <c r="Y85" s="197"/>
      <c r="Z85" s="87" t="s">
        <v>370</v>
      </c>
      <c r="AA85" s="86"/>
      <c r="AB85" s="86"/>
      <c r="AC85" s="197"/>
    </row>
    <row r="86" spans="1:29" x14ac:dyDescent="0.25">
      <c r="A86" s="85" t="s">
        <v>170</v>
      </c>
      <c r="B86" s="85">
        <v>1336118298</v>
      </c>
      <c r="C86" s="86">
        <v>3</v>
      </c>
      <c r="D86" s="86">
        <v>2018</v>
      </c>
      <c r="E86" s="197">
        <v>61519</v>
      </c>
      <c r="F86" s="87" t="s">
        <v>370</v>
      </c>
      <c r="G86" s="86">
        <v>3</v>
      </c>
      <c r="H86" s="86">
        <v>2019</v>
      </c>
      <c r="I86" s="197">
        <v>70638</v>
      </c>
      <c r="J86" s="87" t="s">
        <v>370</v>
      </c>
      <c r="K86" s="86">
        <v>3</v>
      </c>
      <c r="L86" s="86">
        <v>2020</v>
      </c>
      <c r="M86" s="197">
        <v>79602</v>
      </c>
      <c r="N86" s="87" t="s">
        <v>370</v>
      </c>
      <c r="O86" s="86">
        <v>3</v>
      </c>
      <c r="P86" s="86">
        <v>2021</v>
      </c>
      <c r="Q86" s="197">
        <v>83508</v>
      </c>
      <c r="R86" s="87" t="s">
        <v>370</v>
      </c>
      <c r="S86" s="86">
        <v>3</v>
      </c>
      <c r="T86" s="86">
        <v>2022</v>
      </c>
      <c r="U86" s="197">
        <v>193698</v>
      </c>
      <c r="V86" s="87" t="s">
        <v>370</v>
      </c>
      <c r="W86" s="86"/>
      <c r="X86" s="86"/>
      <c r="Y86" s="197"/>
      <c r="Z86" s="87" t="s">
        <v>370</v>
      </c>
      <c r="AA86" s="86"/>
      <c r="AB86" s="86"/>
      <c r="AC86" s="197"/>
    </row>
    <row r="87" spans="1:29" x14ac:dyDescent="0.25">
      <c r="A87" s="85" t="s">
        <v>171</v>
      </c>
      <c r="B87" s="85">
        <v>1194309336</v>
      </c>
      <c r="C87" s="86">
        <v>3</v>
      </c>
      <c r="D87" s="86">
        <v>2016</v>
      </c>
      <c r="E87" s="197">
        <v>76124</v>
      </c>
      <c r="F87" s="87" t="s">
        <v>370</v>
      </c>
      <c r="G87" s="86">
        <v>1</v>
      </c>
      <c r="H87" s="86">
        <v>2016</v>
      </c>
      <c r="I87" s="197">
        <v>-30</v>
      </c>
      <c r="J87" s="87" t="s">
        <v>370</v>
      </c>
      <c r="K87" s="86">
        <v>3</v>
      </c>
      <c r="L87" s="86">
        <v>2017</v>
      </c>
      <c r="M87" s="197">
        <v>579710</v>
      </c>
      <c r="N87" s="87" t="s">
        <v>370</v>
      </c>
      <c r="O87" s="86">
        <v>3</v>
      </c>
      <c r="P87" s="86">
        <v>2018</v>
      </c>
      <c r="Q87" s="197">
        <v>64517</v>
      </c>
      <c r="R87" s="87" t="s">
        <v>370</v>
      </c>
      <c r="S87" s="86">
        <v>3</v>
      </c>
      <c r="T87" s="86">
        <v>2019</v>
      </c>
      <c r="U87" s="197">
        <v>135887</v>
      </c>
      <c r="V87" s="87" t="s">
        <v>370</v>
      </c>
      <c r="W87" s="86">
        <v>3</v>
      </c>
      <c r="X87" s="86">
        <v>2020</v>
      </c>
      <c r="Y87" s="197">
        <v>73013</v>
      </c>
      <c r="Z87" s="87" t="s">
        <v>370</v>
      </c>
      <c r="AA87" s="86"/>
      <c r="AB87" s="86"/>
      <c r="AC87" s="197"/>
    </row>
    <row r="88" spans="1:29" x14ac:dyDescent="0.25">
      <c r="A88" s="88" t="s">
        <v>428</v>
      </c>
      <c r="B88" s="85">
        <v>1699710293</v>
      </c>
      <c r="C88" s="86">
        <v>3</v>
      </c>
      <c r="D88" s="86">
        <v>2016</v>
      </c>
      <c r="E88" s="197">
        <v>61350</v>
      </c>
      <c r="F88" s="92" t="s">
        <v>370</v>
      </c>
      <c r="G88" s="86">
        <v>3</v>
      </c>
      <c r="H88" s="86">
        <v>2019</v>
      </c>
      <c r="I88" s="197">
        <v>62912</v>
      </c>
      <c r="J88" s="92" t="s">
        <v>370</v>
      </c>
      <c r="K88" s="86">
        <v>3</v>
      </c>
      <c r="L88" s="86">
        <v>2020</v>
      </c>
      <c r="M88" s="197">
        <v>370277</v>
      </c>
      <c r="N88" s="92" t="s">
        <v>370</v>
      </c>
      <c r="O88" s="86">
        <v>3</v>
      </c>
      <c r="P88" s="86">
        <v>2021</v>
      </c>
      <c r="Q88" s="197">
        <v>140784</v>
      </c>
      <c r="R88" s="92" t="s">
        <v>370</v>
      </c>
      <c r="S88" s="86">
        <v>3</v>
      </c>
      <c r="T88" s="86">
        <v>2022</v>
      </c>
      <c r="U88" s="197">
        <v>92083</v>
      </c>
      <c r="V88" s="87" t="s">
        <v>370</v>
      </c>
      <c r="W88" s="86"/>
      <c r="X88" s="86"/>
      <c r="Y88" s="197"/>
      <c r="Z88" s="87" t="s">
        <v>370</v>
      </c>
      <c r="AA88" s="86"/>
      <c r="AB88" s="86"/>
      <c r="AC88" s="197"/>
    </row>
    <row r="89" spans="1:29" x14ac:dyDescent="0.25">
      <c r="A89" s="88" t="s">
        <v>429</v>
      </c>
      <c r="B89" s="85">
        <v>1083659692</v>
      </c>
      <c r="C89" s="86">
        <v>3</v>
      </c>
      <c r="D89" s="86">
        <v>2021</v>
      </c>
      <c r="E89" s="197">
        <v>186223</v>
      </c>
      <c r="F89" s="87" t="s">
        <v>370</v>
      </c>
      <c r="G89" s="86"/>
      <c r="H89" s="86"/>
      <c r="I89" s="197"/>
      <c r="J89" s="87" t="s">
        <v>370</v>
      </c>
      <c r="K89" s="86"/>
      <c r="L89" s="86"/>
      <c r="M89" s="197"/>
      <c r="N89" s="87" t="s">
        <v>370</v>
      </c>
      <c r="O89" s="86"/>
      <c r="P89" s="86"/>
      <c r="Q89" s="197"/>
      <c r="R89" s="87" t="s">
        <v>370</v>
      </c>
      <c r="S89" s="86"/>
      <c r="T89" s="86"/>
      <c r="U89" s="197"/>
      <c r="V89" s="87" t="s">
        <v>370</v>
      </c>
      <c r="W89" s="86"/>
      <c r="X89" s="86"/>
      <c r="Y89" s="197"/>
      <c r="Z89" s="87" t="s">
        <v>370</v>
      </c>
      <c r="AA89" s="86"/>
      <c r="AB89" s="86"/>
      <c r="AC89" s="197"/>
    </row>
    <row r="90" spans="1:29" x14ac:dyDescent="0.25">
      <c r="A90" s="88" t="s">
        <v>430</v>
      </c>
      <c r="B90" s="85">
        <v>1740249382</v>
      </c>
      <c r="C90" s="86">
        <v>3</v>
      </c>
      <c r="D90" s="86">
        <v>2017</v>
      </c>
      <c r="E90" s="197">
        <v>64982</v>
      </c>
      <c r="F90" s="87" t="s">
        <v>370</v>
      </c>
      <c r="G90" s="86">
        <v>3</v>
      </c>
      <c r="H90" s="86">
        <v>2018</v>
      </c>
      <c r="I90" s="197">
        <v>48484</v>
      </c>
      <c r="J90" s="87" t="s">
        <v>370</v>
      </c>
      <c r="K90" s="86">
        <v>3</v>
      </c>
      <c r="L90" s="86">
        <v>2019</v>
      </c>
      <c r="M90" s="197">
        <v>70105</v>
      </c>
      <c r="N90" s="87" t="s">
        <v>370</v>
      </c>
      <c r="O90" s="86">
        <v>3</v>
      </c>
      <c r="P90" s="86">
        <v>2020</v>
      </c>
      <c r="Q90" s="197">
        <v>59690</v>
      </c>
      <c r="R90" s="87" t="s">
        <v>370</v>
      </c>
      <c r="S90" s="86">
        <v>3</v>
      </c>
      <c r="T90" s="86">
        <v>2021</v>
      </c>
      <c r="U90" s="197">
        <v>160903</v>
      </c>
      <c r="V90" s="87" t="s">
        <v>370</v>
      </c>
      <c r="W90" s="86">
        <v>3</v>
      </c>
      <c r="X90" s="86">
        <v>2022</v>
      </c>
      <c r="Y90" s="197">
        <v>270818</v>
      </c>
      <c r="Z90" s="87" t="s">
        <v>370</v>
      </c>
      <c r="AA90" s="86"/>
      <c r="AB90" s="86"/>
      <c r="AC90" s="197"/>
    </row>
    <row r="91" spans="1:29" x14ac:dyDescent="0.25">
      <c r="A91" s="85" t="s">
        <v>431</v>
      </c>
      <c r="B91" s="85">
        <v>1225000888</v>
      </c>
      <c r="C91" s="86">
        <v>3</v>
      </c>
      <c r="D91" s="86">
        <v>2018</v>
      </c>
      <c r="E91" s="197">
        <v>59652</v>
      </c>
      <c r="F91" s="87" t="s">
        <v>370</v>
      </c>
      <c r="G91" s="86">
        <v>3</v>
      </c>
      <c r="H91" s="86">
        <v>2019</v>
      </c>
      <c r="I91" s="197">
        <v>61794</v>
      </c>
      <c r="J91" s="87" t="s">
        <v>370</v>
      </c>
      <c r="K91" s="86">
        <v>3</v>
      </c>
      <c r="L91" s="86">
        <v>2020</v>
      </c>
      <c r="M91" s="197">
        <v>85469</v>
      </c>
      <c r="N91" s="87" t="s">
        <v>370</v>
      </c>
      <c r="O91" s="86">
        <v>3</v>
      </c>
      <c r="P91" s="86">
        <v>2021</v>
      </c>
      <c r="Q91" s="197">
        <v>97657</v>
      </c>
      <c r="R91" s="87" t="s">
        <v>370</v>
      </c>
      <c r="S91" s="86">
        <v>3</v>
      </c>
      <c r="T91" s="86">
        <v>2022</v>
      </c>
      <c r="U91" s="197">
        <v>232820</v>
      </c>
      <c r="V91" s="87" t="s">
        <v>370</v>
      </c>
      <c r="W91" s="86"/>
      <c r="X91" s="86"/>
      <c r="Y91" s="197"/>
      <c r="Z91" s="87" t="s">
        <v>370</v>
      </c>
      <c r="AA91" s="86"/>
      <c r="AB91" s="86"/>
      <c r="AC91" s="197"/>
    </row>
    <row r="92" spans="1:29" x14ac:dyDescent="0.25">
      <c r="A92" s="88" t="s">
        <v>172</v>
      </c>
      <c r="B92" s="85">
        <v>1407803679</v>
      </c>
      <c r="C92" s="86">
        <v>3</v>
      </c>
      <c r="D92" s="86">
        <v>2017</v>
      </c>
      <c r="E92" s="197">
        <v>138750</v>
      </c>
      <c r="F92" s="87" t="s">
        <v>370</v>
      </c>
      <c r="G92" s="86">
        <v>3</v>
      </c>
      <c r="H92" s="86">
        <v>2020</v>
      </c>
      <c r="I92" s="197">
        <v>258451</v>
      </c>
      <c r="J92" s="87" t="s">
        <v>370</v>
      </c>
      <c r="K92" s="86">
        <v>3</v>
      </c>
      <c r="L92" s="86">
        <v>2021</v>
      </c>
      <c r="M92" s="197">
        <v>102708</v>
      </c>
      <c r="N92" s="87" t="s">
        <v>370</v>
      </c>
      <c r="O92" s="86">
        <v>3</v>
      </c>
      <c r="P92" s="86">
        <v>2022</v>
      </c>
      <c r="Q92" s="197">
        <v>64161</v>
      </c>
      <c r="R92" s="87" t="s">
        <v>370</v>
      </c>
      <c r="S92" s="86"/>
      <c r="T92" s="86"/>
      <c r="U92" s="197"/>
      <c r="V92" s="87" t="s">
        <v>370</v>
      </c>
      <c r="W92" s="86"/>
      <c r="X92" s="86"/>
      <c r="Y92" s="197"/>
      <c r="Z92" s="87" t="s">
        <v>370</v>
      </c>
      <c r="AA92" s="86"/>
      <c r="AB92" s="86"/>
      <c r="AC92" s="197"/>
    </row>
    <row r="93" spans="1:29" x14ac:dyDescent="0.25">
      <c r="A93" s="88" t="s">
        <v>667</v>
      </c>
      <c r="B93" s="85">
        <v>1134249006</v>
      </c>
      <c r="C93" s="86">
        <v>3</v>
      </c>
      <c r="D93" s="86">
        <v>2016</v>
      </c>
      <c r="E93" s="197">
        <v>81712</v>
      </c>
      <c r="F93" s="87" t="s">
        <v>370</v>
      </c>
      <c r="G93" s="86">
        <v>3</v>
      </c>
      <c r="H93" s="86">
        <v>2017</v>
      </c>
      <c r="I93" s="197">
        <v>56256.41</v>
      </c>
      <c r="J93" s="87" t="s">
        <v>370</v>
      </c>
      <c r="K93" s="86">
        <v>3</v>
      </c>
      <c r="L93" s="86">
        <v>2020</v>
      </c>
      <c r="M93" s="197">
        <v>95507</v>
      </c>
      <c r="N93" s="87" t="s">
        <v>370</v>
      </c>
      <c r="O93" s="86">
        <v>3</v>
      </c>
      <c r="P93" s="86">
        <v>2021</v>
      </c>
      <c r="Q93" s="197">
        <v>511980</v>
      </c>
      <c r="R93" s="87" t="s">
        <v>370</v>
      </c>
      <c r="S93" s="86"/>
      <c r="T93" s="86"/>
      <c r="U93" s="197"/>
      <c r="V93" s="87" t="s">
        <v>370</v>
      </c>
      <c r="W93" s="86"/>
      <c r="X93" s="86"/>
      <c r="Y93" s="197"/>
      <c r="Z93" s="87" t="s">
        <v>370</v>
      </c>
      <c r="AA93" s="86"/>
      <c r="AB93" s="86"/>
      <c r="AC93" s="197"/>
    </row>
    <row r="94" spans="1:29" x14ac:dyDescent="0.25">
      <c r="A94" s="88" t="s">
        <v>173</v>
      </c>
      <c r="B94" s="85">
        <v>1710312079</v>
      </c>
      <c r="C94" s="86"/>
      <c r="D94" s="86"/>
      <c r="E94" s="197"/>
      <c r="F94" s="87"/>
      <c r="G94" s="86"/>
      <c r="H94" s="86"/>
      <c r="I94" s="197"/>
      <c r="J94" s="87"/>
      <c r="K94" s="86"/>
      <c r="L94" s="86"/>
      <c r="M94" s="197"/>
      <c r="N94" s="87"/>
      <c r="O94" s="86"/>
      <c r="P94" s="86"/>
      <c r="Q94" s="197"/>
      <c r="R94" s="87"/>
      <c r="S94" s="86"/>
      <c r="T94" s="86"/>
      <c r="U94" s="197"/>
      <c r="V94" s="87"/>
      <c r="W94" s="86"/>
      <c r="X94" s="86"/>
      <c r="Y94" s="197"/>
      <c r="Z94" s="87"/>
      <c r="AA94" s="86"/>
      <c r="AB94" s="86"/>
      <c r="AC94" s="197"/>
    </row>
    <row r="95" spans="1:29" x14ac:dyDescent="0.25">
      <c r="A95" s="88" t="s">
        <v>174</v>
      </c>
      <c r="B95" s="85">
        <v>1710537998</v>
      </c>
      <c r="C95" s="86">
        <v>3</v>
      </c>
      <c r="D95" s="86">
        <v>2016</v>
      </c>
      <c r="E95" s="197">
        <v>193672</v>
      </c>
      <c r="F95" s="87" t="s">
        <v>370</v>
      </c>
      <c r="G95" s="86">
        <v>3</v>
      </c>
      <c r="H95" s="86">
        <v>2017</v>
      </c>
      <c r="I95" s="197">
        <v>129899</v>
      </c>
      <c r="J95" s="87" t="s">
        <v>370</v>
      </c>
      <c r="K95" s="86">
        <v>3</v>
      </c>
      <c r="L95" s="86">
        <v>2018</v>
      </c>
      <c r="M95" s="197">
        <v>3207654</v>
      </c>
      <c r="N95" s="87" t="s">
        <v>370</v>
      </c>
      <c r="O95" s="86">
        <v>3</v>
      </c>
      <c r="P95" s="86">
        <v>2019</v>
      </c>
      <c r="Q95" s="197">
        <v>179524</v>
      </c>
      <c r="R95" s="87" t="s">
        <v>370</v>
      </c>
      <c r="S95" s="86">
        <v>3</v>
      </c>
      <c r="T95" s="86">
        <v>2020</v>
      </c>
      <c r="U95" s="197">
        <v>195565</v>
      </c>
      <c r="V95" s="87" t="s">
        <v>370</v>
      </c>
      <c r="W95" s="86"/>
      <c r="X95" s="86"/>
      <c r="Y95" s="197"/>
      <c r="Z95" s="87" t="s">
        <v>370</v>
      </c>
      <c r="AA95" s="86"/>
      <c r="AB95" s="86"/>
      <c r="AC95" s="197"/>
    </row>
    <row r="96" spans="1:29" x14ac:dyDescent="0.25">
      <c r="A96" s="88" t="s">
        <v>175</v>
      </c>
      <c r="B96" s="85">
        <v>1841854361</v>
      </c>
      <c r="C96" s="86">
        <v>3</v>
      </c>
      <c r="D96" s="86">
        <v>2019</v>
      </c>
      <c r="E96" s="197">
        <v>118259</v>
      </c>
      <c r="F96" s="87" t="s">
        <v>370</v>
      </c>
      <c r="G96" s="86">
        <v>3</v>
      </c>
      <c r="H96" s="86">
        <v>2021</v>
      </c>
      <c r="I96" s="197">
        <v>210976</v>
      </c>
      <c r="J96" s="87" t="s">
        <v>370</v>
      </c>
      <c r="K96" s="86">
        <v>3</v>
      </c>
      <c r="L96" s="86">
        <v>2022</v>
      </c>
      <c r="M96" s="197">
        <v>325112</v>
      </c>
      <c r="N96" s="87" t="s">
        <v>370</v>
      </c>
      <c r="O96" s="86"/>
      <c r="P96" s="86"/>
      <c r="Q96" s="197"/>
      <c r="R96" s="87" t="s">
        <v>370</v>
      </c>
      <c r="S96" s="86"/>
      <c r="T96" s="86"/>
      <c r="U96" s="197"/>
      <c r="V96" s="87" t="s">
        <v>370</v>
      </c>
      <c r="W96" s="86"/>
      <c r="X96" s="86"/>
      <c r="Y96" s="197"/>
      <c r="Z96" s="87" t="s">
        <v>370</v>
      </c>
      <c r="AA96" s="86"/>
      <c r="AB96" s="86"/>
      <c r="AC96" s="197"/>
    </row>
    <row r="97" spans="1:29" x14ac:dyDescent="0.25">
      <c r="A97" s="88" t="s">
        <v>176</v>
      </c>
      <c r="B97" s="85">
        <v>1346806015</v>
      </c>
      <c r="C97" s="86">
        <v>3</v>
      </c>
      <c r="D97" s="86">
        <v>2016</v>
      </c>
      <c r="E97" s="197">
        <v>57412</v>
      </c>
      <c r="F97" s="87" t="s">
        <v>370</v>
      </c>
      <c r="G97" s="86">
        <v>3</v>
      </c>
      <c r="H97" s="86">
        <v>2017</v>
      </c>
      <c r="I97" s="197">
        <v>34547</v>
      </c>
      <c r="J97" s="87" t="s">
        <v>370</v>
      </c>
      <c r="K97" s="86"/>
      <c r="L97" s="86"/>
      <c r="M97" s="197"/>
      <c r="N97" s="87" t="s">
        <v>370</v>
      </c>
      <c r="O97" s="86"/>
      <c r="P97" s="86"/>
      <c r="Q97" s="197"/>
      <c r="R97" s="87" t="s">
        <v>370</v>
      </c>
      <c r="S97" s="86"/>
      <c r="T97" s="86"/>
      <c r="U97" s="197"/>
      <c r="V97" s="87" t="s">
        <v>370</v>
      </c>
      <c r="W97" s="86"/>
      <c r="X97" s="86"/>
      <c r="Y97" s="197"/>
      <c r="Z97" s="87" t="s">
        <v>370</v>
      </c>
      <c r="AA97" s="86"/>
      <c r="AB97" s="86"/>
      <c r="AC97" s="197"/>
    </row>
    <row r="98" spans="1:29" x14ac:dyDescent="0.25">
      <c r="A98" s="85" t="s">
        <v>177</v>
      </c>
      <c r="B98" s="85">
        <v>1801428768</v>
      </c>
      <c r="C98" s="86">
        <v>3</v>
      </c>
      <c r="D98" s="86">
        <v>2021</v>
      </c>
      <c r="E98" s="197">
        <v>500565</v>
      </c>
      <c r="F98" s="87" t="s">
        <v>370</v>
      </c>
      <c r="G98" s="86">
        <v>3</v>
      </c>
      <c r="H98" s="86">
        <v>2022</v>
      </c>
      <c r="I98" s="197">
        <v>518938</v>
      </c>
      <c r="J98" s="87" t="s">
        <v>370</v>
      </c>
      <c r="K98" s="86"/>
      <c r="L98" s="86"/>
      <c r="M98" s="197"/>
      <c r="N98" s="87" t="s">
        <v>370</v>
      </c>
      <c r="O98" s="86"/>
      <c r="P98" s="86"/>
      <c r="Q98" s="197"/>
      <c r="R98" s="87" t="s">
        <v>370</v>
      </c>
      <c r="S98" s="86"/>
      <c r="T98" s="86"/>
      <c r="U98" s="197"/>
      <c r="V98" s="87" t="s">
        <v>370</v>
      </c>
      <c r="W98" s="86"/>
      <c r="X98" s="86"/>
      <c r="Y98" s="197"/>
      <c r="Z98" s="87" t="s">
        <v>370</v>
      </c>
      <c r="AA98" s="86"/>
      <c r="AB98" s="86"/>
      <c r="AC98" s="197"/>
    </row>
    <row r="99" spans="1:29" x14ac:dyDescent="0.25">
      <c r="A99" s="85" t="s">
        <v>178</v>
      </c>
      <c r="B99" s="85">
        <v>1407325103</v>
      </c>
      <c r="C99" s="86">
        <v>3</v>
      </c>
      <c r="D99" s="86">
        <v>2022</v>
      </c>
      <c r="E99" s="197">
        <v>68030</v>
      </c>
      <c r="F99" s="87" t="s">
        <v>370</v>
      </c>
      <c r="G99" s="86"/>
      <c r="H99" s="86"/>
      <c r="I99" s="197"/>
      <c r="J99" s="87" t="s">
        <v>370</v>
      </c>
      <c r="K99" s="86"/>
      <c r="L99" s="86"/>
      <c r="M99" s="197"/>
      <c r="N99" s="87" t="s">
        <v>370</v>
      </c>
      <c r="O99" s="86"/>
      <c r="P99" s="86"/>
      <c r="Q99" s="197"/>
      <c r="R99" s="87" t="s">
        <v>370</v>
      </c>
      <c r="S99" s="86"/>
      <c r="T99" s="86"/>
      <c r="U99" s="197"/>
      <c r="V99" s="87" t="s">
        <v>370</v>
      </c>
      <c r="W99" s="86"/>
      <c r="X99" s="86"/>
      <c r="Y99" s="197"/>
      <c r="Z99" s="87" t="s">
        <v>370</v>
      </c>
      <c r="AA99" s="86"/>
      <c r="AB99" s="86"/>
      <c r="AC99" s="197"/>
    </row>
    <row r="100" spans="1:29" x14ac:dyDescent="0.25">
      <c r="A100" s="85" t="s">
        <v>179</v>
      </c>
      <c r="B100" s="85">
        <v>1891722187</v>
      </c>
      <c r="C100" s="86">
        <v>3</v>
      </c>
      <c r="D100" s="86">
        <v>2016</v>
      </c>
      <c r="E100" s="197">
        <v>59142</v>
      </c>
      <c r="F100" s="87" t="s">
        <v>370</v>
      </c>
      <c r="G100" s="86">
        <v>3</v>
      </c>
      <c r="H100" s="86">
        <v>2017</v>
      </c>
      <c r="I100" s="197">
        <v>57314</v>
      </c>
      <c r="J100" s="87" t="s">
        <v>370</v>
      </c>
      <c r="K100" s="86">
        <v>3</v>
      </c>
      <c r="L100" s="86">
        <v>2018</v>
      </c>
      <c r="M100" s="197">
        <v>70077</v>
      </c>
      <c r="N100" s="87" t="s">
        <v>370</v>
      </c>
      <c r="O100" s="86">
        <v>3</v>
      </c>
      <c r="P100" s="86">
        <v>2019</v>
      </c>
      <c r="Q100" s="197">
        <v>55470</v>
      </c>
      <c r="R100" s="87" t="s">
        <v>370</v>
      </c>
      <c r="S100" s="86">
        <v>3</v>
      </c>
      <c r="T100" s="86">
        <v>2020</v>
      </c>
      <c r="U100" s="197">
        <v>72870</v>
      </c>
      <c r="V100" s="87" t="s">
        <v>370</v>
      </c>
      <c r="W100" s="86">
        <v>3</v>
      </c>
      <c r="X100" s="86">
        <v>2021</v>
      </c>
      <c r="Y100" s="197">
        <v>66019</v>
      </c>
      <c r="Z100" s="87" t="s">
        <v>370</v>
      </c>
      <c r="AA100" s="86">
        <v>3</v>
      </c>
      <c r="AB100" s="86">
        <v>2022</v>
      </c>
      <c r="AC100" s="197">
        <v>69687</v>
      </c>
    </row>
    <row r="101" spans="1:29" x14ac:dyDescent="0.25">
      <c r="A101" s="88" t="s">
        <v>432</v>
      </c>
      <c r="B101" s="85">
        <v>1346851052</v>
      </c>
      <c r="C101" s="86">
        <v>3</v>
      </c>
      <c r="D101" s="86">
        <v>2021</v>
      </c>
      <c r="E101" s="197">
        <v>137925</v>
      </c>
      <c r="F101" s="87" t="s">
        <v>370</v>
      </c>
      <c r="G101" s="86"/>
      <c r="H101" s="86"/>
      <c r="I101" s="197"/>
      <c r="J101" s="87" t="s">
        <v>370</v>
      </c>
      <c r="K101" s="86"/>
      <c r="L101" s="86"/>
      <c r="M101" s="197"/>
      <c r="N101" s="87" t="s">
        <v>370</v>
      </c>
      <c r="O101" s="86"/>
      <c r="P101" s="86"/>
      <c r="Q101" s="197"/>
      <c r="R101" s="87" t="s">
        <v>370</v>
      </c>
      <c r="S101" s="86"/>
      <c r="T101" s="86"/>
      <c r="U101" s="197"/>
      <c r="V101" s="87" t="s">
        <v>370</v>
      </c>
      <c r="W101" s="86"/>
      <c r="X101" s="86"/>
      <c r="Y101" s="197"/>
      <c r="Z101" s="87" t="s">
        <v>370</v>
      </c>
      <c r="AA101" s="86"/>
      <c r="AB101" s="86"/>
      <c r="AC101" s="197"/>
    </row>
    <row r="102" spans="1:29" x14ac:dyDescent="0.25">
      <c r="A102" s="88" t="s">
        <v>180</v>
      </c>
      <c r="B102" s="85">
        <v>1073599510</v>
      </c>
      <c r="C102" s="86"/>
      <c r="D102" s="86"/>
      <c r="E102" s="197"/>
      <c r="F102" s="87" t="s">
        <v>370</v>
      </c>
      <c r="G102" s="86"/>
      <c r="H102" s="86"/>
      <c r="I102" s="197"/>
      <c r="J102" s="87" t="s">
        <v>370</v>
      </c>
      <c r="K102" s="86"/>
      <c r="L102" s="86"/>
      <c r="M102" s="197"/>
      <c r="N102" s="87" t="s">
        <v>370</v>
      </c>
      <c r="O102" s="86"/>
      <c r="P102" s="86"/>
      <c r="Q102" s="197"/>
      <c r="R102" s="87" t="s">
        <v>370</v>
      </c>
      <c r="S102" s="86"/>
      <c r="T102" s="86"/>
      <c r="U102" s="197"/>
      <c r="V102" s="87" t="s">
        <v>370</v>
      </c>
      <c r="W102" s="86"/>
      <c r="X102" s="86"/>
      <c r="Y102" s="197"/>
      <c r="Z102" s="87" t="s">
        <v>370</v>
      </c>
      <c r="AA102" s="86"/>
      <c r="AB102" s="86"/>
      <c r="AC102" s="197"/>
    </row>
    <row r="103" spans="1:29" x14ac:dyDescent="0.25">
      <c r="A103" s="88" t="s">
        <v>181</v>
      </c>
      <c r="B103" s="85">
        <v>1972587376</v>
      </c>
      <c r="C103" s="86">
        <v>3</v>
      </c>
      <c r="D103" s="86">
        <v>2016</v>
      </c>
      <c r="E103" s="197">
        <v>183781</v>
      </c>
      <c r="F103" s="87" t="s">
        <v>370</v>
      </c>
      <c r="G103" s="86">
        <v>3</v>
      </c>
      <c r="H103" s="86">
        <v>2017</v>
      </c>
      <c r="I103" s="197">
        <v>643284</v>
      </c>
      <c r="J103" s="87" t="s">
        <v>370</v>
      </c>
      <c r="K103" s="86">
        <v>3</v>
      </c>
      <c r="L103" s="86">
        <v>2018</v>
      </c>
      <c r="M103" s="197">
        <v>280245</v>
      </c>
      <c r="N103" s="87" t="s">
        <v>370</v>
      </c>
      <c r="O103" s="86">
        <v>3</v>
      </c>
      <c r="P103" s="86">
        <v>2019</v>
      </c>
      <c r="Q103" s="197">
        <v>471375</v>
      </c>
      <c r="R103" s="87" t="s">
        <v>370</v>
      </c>
      <c r="S103" s="86">
        <v>3</v>
      </c>
      <c r="T103" s="86">
        <v>2020</v>
      </c>
      <c r="U103" s="197">
        <v>400937</v>
      </c>
      <c r="V103" s="87" t="s">
        <v>370</v>
      </c>
      <c r="W103" s="86">
        <v>3</v>
      </c>
      <c r="X103" s="86">
        <v>2021</v>
      </c>
      <c r="Y103" s="197">
        <v>511918</v>
      </c>
      <c r="Z103" s="87" t="s">
        <v>370</v>
      </c>
      <c r="AA103" s="86"/>
      <c r="AB103" s="86"/>
      <c r="AC103" s="197"/>
    </row>
    <row r="104" spans="1:29" x14ac:dyDescent="0.25">
      <c r="A104" s="85" t="s">
        <v>433</v>
      </c>
      <c r="B104" s="85">
        <v>1942236161</v>
      </c>
      <c r="C104" s="86">
        <v>3</v>
      </c>
      <c r="D104" s="86">
        <v>2019</v>
      </c>
      <c r="E104" s="197">
        <v>191926</v>
      </c>
      <c r="F104" s="87" t="s">
        <v>370</v>
      </c>
      <c r="G104" s="86">
        <v>3</v>
      </c>
      <c r="H104" s="86">
        <v>2021</v>
      </c>
      <c r="I104" s="197">
        <v>56153</v>
      </c>
      <c r="J104" s="87" t="s">
        <v>370</v>
      </c>
      <c r="K104" s="86">
        <v>3</v>
      </c>
      <c r="L104" s="86">
        <v>2022</v>
      </c>
      <c r="M104" s="197">
        <v>119741</v>
      </c>
      <c r="N104" s="87" t="s">
        <v>370</v>
      </c>
      <c r="O104" s="86"/>
      <c r="P104" s="86"/>
      <c r="Q104" s="197"/>
      <c r="R104" s="87" t="s">
        <v>370</v>
      </c>
      <c r="S104" s="86"/>
      <c r="T104" s="86"/>
      <c r="U104" s="197"/>
      <c r="V104" s="87" t="s">
        <v>370</v>
      </c>
      <c r="W104" s="86"/>
      <c r="X104" s="86"/>
      <c r="Y104" s="197"/>
      <c r="Z104" s="87" t="s">
        <v>370</v>
      </c>
      <c r="AA104" s="86"/>
      <c r="AB104" s="86"/>
      <c r="AC104" s="197"/>
    </row>
    <row r="105" spans="1:29" x14ac:dyDescent="0.25">
      <c r="A105" s="88" t="s">
        <v>182</v>
      </c>
      <c r="B105" s="85">
        <v>1437103850</v>
      </c>
      <c r="C105" s="86">
        <v>3</v>
      </c>
      <c r="D105" s="86">
        <v>2019</v>
      </c>
      <c r="E105" s="197">
        <v>198738</v>
      </c>
      <c r="F105" s="87" t="s">
        <v>370</v>
      </c>
      <c r="G105" s="86">
        <v>3</v>
      </c>
      <c r="H105" s="86">
        <v>2020</v>
      </c>
      <c r="I105" s="197">
        <v>34179</v>
      </c>
      <c r="J105" s="87" t="s">
        <v>370</v>
      </c>
      <c r="K105" s="86"/>
      <c r="L105" s="86"/>
      <c r="M105" s="197"/>
      <c r="N105" s="87" t="s">
        <v>370</v>
      </c>
      <c r="O105" s="86"/>
      <c r="P105" s="86"/>
      <c r="Q105" s="197"/>
      <c r="R105" s="87" t="s">
        <v>370</v>
      </c>
      <c r="S105" s="86"/>
      <c r="T105" s="86"/>
      <c r="U105" s="197"/>
      <c r="V105" s="87" t="s">
        <v>370</v>
      </c>
      <c r="W105" s="86"/>
      <c r="X105" s="86"/>
      <c r="Y105" s="197"/>
      <c r="Z105" s="87" t="s">
        <v>370</v>
      </c>
      <c r="AA105" s="86"/>
      <c r="AB105" s="86"/>
      <c r="AC105" s="197"/>
    </row>
    <row r="106" spans="1:29" x14ac:dyDescent="0.25">
      <c r="A106" s="88" t="s">
        <v>183</v>
      </c>
      <c r="B106" s="85">
        <v>1851375703</v>
      </c>
      <c r="C106" s="86">
        <v>3</v>
      </c>
      <c r="D106" s="86">
        <v>2017</v>
      </c>
      <c r="E106" s="197">
        <v>49917</v>
      </c>
      <c r="F106" s="87" t="s">
        <v>370</v>
      </c>
      <c r="G106" s="86">
        <v>3</v>
      </c>
      <c r="H106" s="86">
        <v>2021</v>
      </c>
      <c r="I106" s="197">
        <v>121159</v>
      </c>
      <c r="J106" s="87" t="s">
        <v>370</v>
      </c>
      <c r="K106" s="86">
        <v>3</v>
      </c>
      <c r="L106" s="86">
        <v>2022</v>
      </c>
      <c r="M106" s="197">
        <v>104041</v>
      </c>
      <c r="N106" s="87" t="s">
        <v>370</v>
      </c>
      <c r="O106" s="86"/>
      <c r="P106" s="86"/>
      <c r="Q106" s="197"/>
      <c r="R106" s="87" t="s">
        <v>370</v>
      </c>
      <c r="S106" s="86"/>
      <c r="T106" s="86"/>
      <c r="U106" s="197"/>
      <c r="V106" s="87" t="s">
        <v>370</v>
      </c>
      <c r="W106" s="86"/>
      <c r="X106" s="86"/>
      <c r="Y106" s="197"/>
      <c r="Z106" s="87" t="s">
        <v>370</v>
      </c>
      <c r="AA106" s="86"/>
      <c r="AB106" s="86"/>
      <c r="AC106" s="197"/>
    </row>
    <row r="107" spans="1:29" x14ac:dyDescent="0.25">
      <c r="A107" s="85" t="s">
        <v>434</v>
      </c>
      <c r="B107" s="85">
        <v>1225654098</v>
      </c>
      <c r="C107" s="86">
        <v>3</v>
      </c>
      <c r="D107" s="86">
        <v>2021</v>
      </c>
      <c r="E107" s="197">
        <v>196698</v>
      </c>
      <c r="F107" s="87" t="s">
        <v>370</v>
      </c>
      <c r="G107" s="86">
        <v>3</v>
      </c>
      <c r="H107" s="86">
        <v>2022</v>
      </c>
      <c r="I107" s="197">
        <v>1056436</v>
      </c>
      <c r="J107" s="87" t="s">
        <v>370</v>
      </c>
      <c r="K107" s="86"/>
      <c r="L107" s="86"/>
      <c r="M107" s="197"/>
      <c r="N107" s="87" t="s">
        <v>370</v>
      </c>
      <c r="O107" s="86"/>
      <c r="P107" s="86"/>
      <c r="Q107" s="197"/>
      <c r="R107" s="87" t="s">
        <v>370</v>
      </c>
      <c r="S107" s="86"/>
      <c r="T107" s="86"/>
      <c r="U107" s="197"/>
      <c r="V107" s="87" t="s">
        <v>370</v>
      </c>
      <c r="W107" s="86"/>
      <c r="X107" s="86"/>
      <c r="Y107" s="197"/>
      <c r="Z107" s="87" t="s">
        <v>370</v>
      </c>
      <c r="AA107" s="86"/>
      <c r="AB107" s="86"/>
      <c r="AC107" s="197"/>
    </row>
    <row r="108" spans="1:29" x14ac:dyDescent="0.25">
      <c r="A108" s="88" t="s">
        <v>184</v>
      </c>
      <c r="B108" s="85">
        <v>1639630452</v>
      </c>
      <c r="C108" s="86">
        <v>3</v>
      </c>
      <c r="D108" s="86">
        <v>2016</v>
      </c>
      <c r="E108" s="197">
        <v>984332</v>
      </c>
      <c r="F108" s="87" t="s">
        <v>370</v>
      </c>
      <c r="G108" s="86">
        <v>3</v>
      </c>
      <c r="H108" s="86">
        <v>2017</v>
      </c>
      <c r="I108" s="197">
        <v>303342</v>
      </c>
      <c r="J108" s="87" t="s">
        <v>370</v>
      </c>
      <c r="K108" s="86">
        <v>3</v>
      </c>
      <c r="L108" s="86">
        <v>2018</v>
      </c>
      <c r="M108" s="197">
        <v>289490</v>
      </c>
      <c r="N108" s="87" t="s">
        <v>370</v>
      </c>
      <c r="O108" s="86">
        <v>3</v>
      </c>
      <c r="P108" s="86">
        <v>2019</v>
      </c>
      <c r="Q108" s="197">
        <v>73177</v>
      </c>
      <c r="R108" s="87" t="s">
        <v>370</v>
      </c>
      <c r="S108" s="86">
        <v>3</v>
      </c>
      <c r="T108" s="86">
        <v>2019</v>
      </c>
      <c r="U108" s="197">
        <v>757142</v>
      </c>
      <c r="V108" s="87" t="s">
        <v>370</v>
      </c>
      <c r="W108" s="86">
        <v>3</v>
      </c>
      <c r="X108" s="86">
        <v>2021</v>
      </c>
      <c r="Y108" s="197">
        <v>601522</v>
      </c>
      <c r="Z108" s="87" t="s">
        <v>370</v>
      </c>
      <c r="AA108" s="86"/>
      <c r="AB108" s="86"/>
      <c r="AC108" s="197"/>
    </row>
    <row r="109" spans="1:29" x14ac:dyDescent="0.25">
      <c r="A109" s="88" t="s">
        <v>185</v>
      </c>
      <c r="B109" s="85">
        <v>1093131310</v>
      </c>
      <c r="C109" s="86">
        <v>3</v>
      </c>
      <c r="D109" s="86">
        <v>2016</v>
      </c>
      <c r="E109" s="197">
        <v>50895</v>
      </c>
      <c r="F109" s="87" t="s">
        <v>370</v>
      </c>
      <c r="G109" s="86">
        <v>3</v>
      </c>
      <c r="H109" s="86">
        <v>2019</v>
      </c>
      <c r="I109" s="197">
        <v>100660</v>
      </c>
      <c r="J109" s="87" t="s">
        <v>370</v>
      </c>
      <c r="K109" s="86">
        <v>3</v>
      </c>
      <c r="L109" s="86">
        <v>2020</v>
      </c>
      <c r="M109" s="197">
        <v>90025</v>
      </c>
      <c r="N109" s="87" t="s">
        <v>370</v>
      </c>
      <c r="O109" s="86">
        <v>3</v>
      </c>
      <c r="P109" s="86">
        <v>2022</v>
      </c>
      <c r="Q109" s="197">
        <v>175332</v>
      </c>
      <c r="R109" s="87" t="s">
        <v>370</v>
      </c>
      <c r="S109" s="86"/>
      <c r="T109" s="86"/>
      <c r="U109" s="197"/>
      <c r="V109" s="87" t="s">
        <v>370</v>
      </c>
      <c r="W109" s="86"/>
      <c r="X109" s="86"/>
      <c r="Y109" s="197"/>
      <c r="Z109" s="87" t="s">
        <v>370</v>
      </c>
      <c r="AA109" s="86"/>
      <c r="AB109" s="86"/>
      <c r="AC109" s="197"/>
    </row>
    <row r="110" spans="1:29" x14ac:dyDescent="0.25">
      <c r="A110" s="88" t="s">
        <v>186</v>
      </c>
      <c r="B110" s="85">
        <v>1912485517</v>
      </c>
      <c r="C110" s="86">
        <v>3</v>
      </c>
      <c r="D110" s="86">
        <v>2018</v>
      </c>
      <c r="E110" s="197">
        <v>64197</v>
      </c>
      <c r="F110" s="87" t="s">
        <v>370</v>
      </c>
      <c r="G110" s="86">
        <v>2</v>
      </c>
      <c r="H110" s="86">
        <v>2019</v>
      </c>
      <c r="I110" s="197">
        <v>96</v>
      </c>
      <c r="J110" s="87" t="s">
        <v>370</v>
      </c>
      <c r="K110" s="86"/>
      <c r="L110" s="86"/>
      <c r="M110" s="197"/>
      <c r="N110" s="87" t="s">
        <v>370</v>
      </c>
      <c r="O110" s="86"/>
      <c r="P110" s="86"/>
      <c r="Q110" s="197"/>
      <c r="R110" s="87" t="s">
        <v>370</v>
      </c>
      <c r="S110" s="86"/>
      <c r="T110" s="86"/>
      <c r="U110" s="197"/>
      <c r="V110" s="87" t="s">
        <v>370</v>
      </c>
      <c r="W110" s="86"/>
      <c r="X110" s="86"/>
      <c r="Y110" s="197"/>
      <c r="Z110" s="87" t="s">
        <v>370</v>
      </c>
      <c r="AA110" s="86"/>
      <c r="AB110" s="86"/>
      <c r="AC110" s="197"/>
    </row>
    <row r="111" spans="1:29" x14ac:dyDescent="0.25">
      <c r="A111" s="85" t="s">
        <v>435</v>
      </c>
      <c r="B111" s="85">
        <v>1841697422</v>
      </c>
      <c r="C111" s="86"/>
      <c r="D111" s="86"/>
      <c r="E111" s="197"/>
      <c r="F111" s="87" t="s">
        <v>370</v>
      </c>
      <c r="G111" s="86"/>
      <c r="H111" s="86"/>
      <c r="I111" s="197"/>
      <c r="J111" s="87" t="s">
        <v>370</v>
      </c>
      <c r="K111" s="86"/>
      <c r="L111" s="86"/>
      <c r="M111" s="197"/>
      <c r="N111" s="87" t="s">
        <v>370</v>
      </c>
      <c r="O111" s="86"/>
      <c r="P111" s="86"/>
      <c r="Q111" s="197"/>
      <c r="R111" s="87" t="s">
        <v>370</v>
      </c>
      <c r="S111" s="86"/>
      <c r="T111" s="86"/>
      <c r="U111" s="197"/>
      <c r="V111" s="87" t="s">
        <v>370</v>
      </c>
      <c r="W111" s="86"/>
      <c r="X111" s="86"/>
      <c r="Y111" s="197"/>
      <c r="Z111" s="87" t="s">
        <v>370</v>
      </c>
      <c r="AA111" s="86"/>
      <c r="AB111" s="86"/>
      <c r="AC111" s="197"/>
    </row>
    <row r="112" spans="1:29" x14ac:dyDescent="0.25">
      <c r="A112" s="85" t="s">
        <v>187</v>
      </c>
      <c r="B112" s="85">
        <v>1356346191</v>
      </c>
      <c r="C112" s="86">
        <v>3</v>
      </c>
      <c r="D112" s="86">
        <v>2017</v>
      </c>
      <c r="E112" s="197">
        <v>159916</v>
      </c>
      <c r="F112" s="87" t="s">
        <v>370</v>
      </c>
      <c r="G112" s="86">
        <v>3</v>
      </c>
      <c r="H112" s="86">
        <v>2018</v>
      </c>
      <c r="I112" s="197">
        <v>162801</v>
      </c>
      <c r="J112" s="87" t="s">
        <v>370</v>
      </c>
      <c r="K112" s="86">
        <v>3</v>
      </c>
      <c r="L112" s="86">
        <v>2020</v>
      </c>
      <c r="M112" s="197">
        <v>135935</v>
      </c>
      <c r="N112" s="87" t="s">
        <v>370</v>
      </c>
      <c r="O112" s="86">
        <v>3</v>
      </c>
      <c r="P112" s="86">
        <v>2021</v>
      </c>
      <c r="Q112" s="197">
        <v>950195</v>
      </c>
      <c r="R112" s="87" t="s">
        <v>370</v>
      </c>
      <c r="S112" s="86">
        <v>3</v>
      </c>
      <c r="T112" s="86">
        <v>2022</v>
      </c>
      <c r="U112" s="197">
        <v>9889018</v>
      </c>
      <c r="V112" s="87" t="s">
        <v>370</v>
      </c>
      <c r="W112" s="86"/>
      <c r="X112" s="86"/>
      <c r="Y112" s="197"/>
      <c r="Z112" s="87" t="s">
        <v>370</v>
      </c>
      <c r="AA112" s="86"/>
      <c r="AB112" s="86"/>
      <c r="AC112" s="197"/>
    </row>
    <row r="113" spans="1:29" x14ac:dyDescent="0.25">
      <c r="A113" s="85" t="s">
        <v>188</v>
      </c>
      <c r="B113" s="85">
        <v>1972261808</v>
      </c>
      <c r="C113" s="86"/>
      <c r="D113" s="86"/>
      <c r="E113" s="197"/>
      <c r="F113" s="87" t="s">
        <v>370</v>
      </c>
      <c r="G113" s="86"/>
      <c r="H113" s="86"/>
      <c r="I113" s="197"/>
      <c r="J113" s="87" t="s">
        <v>370</v>
      </c>
      <c r="K113" s="86"/>
      <c r="L113" s="86"/>
      <c r="M113" s="197"/>
      <c r="N113" s="87" t="s">
        <v>370</v>
      </c>
      <c r="O113" s="86"/>
      <c r="P113" s="86"/>
      <c r="Q113" s="197"/>
      <c r="R113" s="87" t="s">
        <v>370</v>
      </c>
      <c r="S113" s="86"/>
      <c r="T113" s="86"/>
      <c r="U113" s="197"/>
      <c r="V113" s="87" t="s">
        <v>370</v>
      </c>
      <c r="W113" s="86"/>
      <c r="X113" s="86"/>
      <c r="Y113" s="197"/>
      <c r="Z113" s="87" t="s">
        <v>370</v>
      </c>
      <c r="AA113" s="86"/>
      <c r="AB113" s="86"/>
      <c r="AC113" s="197"/>
    </row>
    <row r="114" spans="1:29" x14ac:dyDescent="0.25">
      <c r="A114" s="88" t="s">
        <v>436</v>
      </c>
      <c r="B114" s="85">
        <v>1831551514</v>
      </c>
      <c r="C114" s="86">
        <v>3</v>
      </c>
      <c r="D114" s="86">
        <v>2018</v>
      </c>
      <c r="E114" s="197">
        <v>189321</v>
      </c>
      <c r="F114" s="87" t="s">
        <v>370</v>
      </c>
      <c r="G114" s="86">
        <v>3</v>
      </c>
      <c r="H114" s="86">
        <v>2019</v>
      </c>
      <c r="I114" s="197">
        <v>110487</v>
      </c>
      <c r="J114" s="87" t="s">
        <v>370</v>
      </c>
      <c r="K114" s="86"/>
      <c r="L114" s="86"/>
      <c r="M114" s="197"/>
      <c r="N114" s="87" t="s">
        <v>370</v>
      </c>
      <c r="O114" s="86"/>
      <c r="P114" s="86"/>
      <c r="Q114" s="197"/>
      <c r="R114" s="87" t="s">
        <v>370</v>
      </c>
      <c r="S114" s="86"/>
      <c r="T114" s="86"/>
      <c r="U114" s="197"/>
      <c r="V114" s="87" t="s">
        <v>370</v>
      </c>
      <c r="W114" s="86"/>
      <c r="X114" s="86"/>
      <c r="Y114" s="197"/>
      <c r="Z114" s="87" t="s">
        <v>370</v>
      </c>
      <c r="AA114" s="86"/>
      <c r="AB114" s="86"/>
      <c r="AC114" s="197"/>
    </row>
    <row r="115" spans="1:29" x14ac:dyDescent="0.25">
      <c r="A115" s="85" t="s">
        <v>437</v>
      </c>
      <c r="B115" s="85">
        <v>1154792000</v>
      </c>
      <c r="C115" s="86"/>
      <c r="D115" s="86"/>
      <c r="E115" s="197"/>
      <c r="F115" s="87" t="s">
        <v>370</v>
      </c>
      <c r="G115" s="86"/>
      <c r="H115" s="86"/>
      <c r="I115" s="197"/>
      <c r="J115" s="87" t="s">
        <v>370</v>
      </c>
      <c r="K115" s="86"/>
      <c r="L115" s="86"/>
      <c r="M115" s="197"/>
      <c r="N115" s="87" t="s">
        <v>370</v>
      </c>
      <c r="O115" s="86"/>
      <c r="P115" s="86"/>
      <c r="Q115" s="197"/>
      <c r="R115" s="87" t="s">
        <v>370</v>
      </c>
      <c r="S115" s="86"/>
      <c r="T115" s="86"/>
      <c r="U115" s="197"/>
      <c r="V115" s="87" t="s">
        <v>370</v>
      </c>
      <c r="W115" s="86"/>
      <c r="X115" s="86"/>
      <c r="Y115" s="197"/>
      <c r="Z115" s="87" t="s">
        <v>370</v>
      </c>
      <c r="AA115" s="86"/>
      <c r="AB115" s="86"/>
      <c r="AC115" s="197"/>
    </row>
    <row r="116" spans="1:29" x14ac:dyDescent="0.25">
      <c r="A116" s="85" t="s">
        <v>189</v>
      </c>
      <c r="B116" s="85">
        <v>1184196206</v>
      </c>
      <c r="C116" s="86"/>
      <c r="D116" s="86"/>
      <c r="E116" s="197"/>
      <c r="F116" s="87" t="s">
        <v>370</v>
      </c>
      <c r="G116" s="86"/>
      <c r="H116" s="86"/>
      <c r="I116" s="197"/>
      <c r="J116" s="87" t="s">
        <v>370</v>
      </c>
      <c r="K116" s="86"/>
      <c r="L116" s="86"/>
      <c r="M116" s="197"/>
      <c r="N116" s="87" t="s">
        <v>370</v>
      </c>
      <c r="O116" s="86"/>
      <c r="P116" s="86"/>
      <c r="Q116" s="197"/>
      <c r="R116" s="87" t="s">
        <v>370</v>
      </c>
      <c r="S116" s="86"/>
      <c r="T116" s="86"/>
      <c r="U116" s="197"/>
      <c r="V116" s="87" t="s">
        <v>370</v>
      </c>
      <c r="W116" s="86"/>
      <c r="X116" s="86"/>
      <c r="Y116" s="197"/>
      <c r="Z116" s="87" t="s">
        <v>370</v>
      </c>
      <c r="AA116" s="86"/>
      <c r="AB116" s="86"/>
      <c r="AC116" s="197"/>
    </row>
    <row r="117" spans="1:29" x14ac:dyDescent="0.25">
      <c r="A117" s="88" t="s">
        <v>672</v>
      </c>
      <c r="B117" s="85">
        <v>1245350289</v>
      </c>
      <c r="C117" s="86">
        <v>3</v>
      </c>
      <c r="D117" s="86">
        <v>2016</v>
      </c>
      <c r="E117" s="197">
        <v>101737</v>
      </c>
      <c r="F117" s="87" t="s">
        <v>370</v>
      </c>
      <c r="G117" s="86">
        <v>3</v>
      </c>
      <c r="H117" s="86">
        <v>2019</v>
      </c>
      <c r="I117" s="197">
        <v>284541</v>
      </c>
      <c r="J117" s="87" t="s">
        <v>370</v>
      </c>
      <c r="K117" s="86">
        <v>3</v>
      </c>
      <c r="L117" s="86">
        <v>2021</v>
      </c>
      <c r="M117" s="197">
        <v>62203</v>
      </c>
      <c r="N117" s="87" t="s">
        <v>370</v>
      </c>
      <c r="O117" s="86">
        <v>3</v>
      </c>
      <c r="P117" s="86">
        <v>2022</v>
      </c>
      <c r="Q117" s="197">
        <v>97825</v>
      </c>
      <c r="R117" s="87" t="s">
        <v>370</v>
      </c>
      <c r="S117" s="86"/>
      <c r="T117" s="86"/>
      <c r="U117" s="197"/>
      <c r="V117" s="87" t="s">
        <v>370</v>
      </c>
      <c r="W117" s="86"/>
      <c r="X117" s="86"/>
      <c r="Y117" s="197"/>
      <c r="Z117" s="87" t="s">
        <v>370</v>
      </c>
      <c r="AA117" s="86"/>
      <c r="AB117" s="86"/>
      <c r="AC117" s="197"/>
    </row>
    <row r="118" spans="1:29" x14ac:dyDescent="0.25">
      <c r="A118" s="88" t="s">
        <v>438</v>
      </c>
      <c r="B118" s="85">
        <v>1003366311</v>
      </c>
      <c r="C118" s="86">
        <v>3</v>
      </c>
      <c r="D118" s="86">
        <v>2019</v>
      </c>
      <c r="E118" s="197">
        <v>126904</v>
      </c>
      <c r="F118" s="87" t="s">
        <v>370</v>
      </c>
      <c r="G118" s="86">
        <v>3</v>
      </c>
      <c r="H118" s="86">
        <v>2020</v>
      </c>
      <c r="I118" s="197">
        <v>136134</v>
      </c>
      <c r="J118" s="87" t="s">
        <v>370</v>
      </c>
      <c r="K118" s="86"/>
      <c r="L118" s="86"/>
      <c r="M118" s="197"/>
      <c r="N118" s="87" t="s">
        <v>370</v>
      </c>
      <c r="O118" s="86"/>
      <c r="P118" s="86"/>
      <c r="Q118" s="197"/>
      <c r="R118" s="87" t="s">
        <v>370</v>
      </c>
      <c r="S118" s="86"/>
      <c r="T118" s="86"/>
      <c r="U118" s="197"/>
      <c r="V118" s="87" t="s">
        <v>370</v>
      </c>
      <c r="W118" s="86"/>
      <c r="X118" s="86"/>
      <c r="Y118" s="197"/>
      <c r="Z118" s="87" t="s">
        <v>370</v>
      </c>
      <c r="AA118" s="86"/>
      <c r="AB118" s="86"/>
      <c r="AC118" s="197"/>
    </row>
    <row r="119" spans="1:29" x14ac:dyDescent="0.25">
      <c r="A119" s="88" t="s">
        <v>190</v>
      </c>
      <c r="B119" s="85">
        <v>1750418802</v>
      </c>
      <c r="C119" s="86"/>
      <c r="D119" s="86"/>
      <c r="E119" s="197"/>
      <c r="F119" s="87" t="s">
        <v>370</v>
      </c>
      <c r="G119" s="86"/>
      <c r="H119" s="86"/>
      <c r="I119" s="197"/>
      <c r="J119" s="87" t="s">
        <v>370</v>
      </c>
      <c r="K119" s="86"/>
      <c r="L119" s="86"/>
      <c r="M119" s="197"/>
      <c r="N119" s="87" t="s">
        <v>370</v>
      </c>
      <c r="O119" s="86"/>
      <c r="P119" s="86"/>
      <c r="Q119" s="197"/>
      <c r="R119" s="87" t="s">
        <v>370</v>
      </c>
      <c r="S119" s="86"/>
      <c r="T119" s="86"/>
      <c r="U119" s="197"/>
      <c r="V119" s="87" t="s">
        <v>370</v>
      </c>
      <c r="W119" s="86"/>
      <c r="X119" s="86"/>
      <c r="Y119" s="197"/>
      <c r="Z119" s="87" t="s">
        <v>370</v>
      </c>
      <c r="AA119" s="86"/>
      <c r="AB119" s="86"/>
      <c r="AC119" s="197"/>
    </row>
    <row r="120" spans="1:29" x14ac:dyDescent="0.25">
      <c r="A120" s="85" t="s">
        <v>439</v>
      </c>
      <c r="B120" s="85">
        <v>1659365666</v>
      </c>
      <c r="C120" s="86"/>
      <c r="D120" s="86"/>
      <c r="E120" s="197"/>
      <c r="F120" s="87" t="s">
        <v>370</v>
      </c>
      <c r="G120" s="86"/>
      <c r="H120" s="86"/>
      <c r="I120" s="197"/>
      <c r="J120" s="87" t="s">
        <v>370</v>
      </c>
      <c r="K120" s="86"/>
      <c r="L120" s="86"/>
      <c r="M120" s="197"/>
      <c r="N120" s="87" t="s">
        <v>370</v>
      </c>
      <c r="O120" s="86"/>
      <c r="P120" s="86"/>
      <c r="Q120" s="197"/>
      <c r="R120" s="87" t="s">
        <v>370</v>
      </c>
      <c r="S120" s="86"/>
      <c r="T120" s="86"/>
      <c r="U120" s="197"/>
      <c r="V120" s="87" t="s">
        <v>370</v>
      </c>
      <c r="W120" s="86"/>
      <c r="X120" s="86"/>
      <c r="Y120" s="197"/>
      <c r="Z120" s="87" t="s">
        <v>370</v>
      </c>
      <c r="AA120" s="86"/>
      <c r="AB120" s="86"/>
      <c r="AC120" s="197"/>
    </row>
    <row r="121" spans="1:29" x14ac:dyDescent="0.25">
      <c r="A121" s="85" t="s">
        <v>191</v>
      </c>
      <c r="B121" s="85">
        <v>1265556294</v>
      </c>
      <c r="C121" s="86">
        <v>3</v>
      </c>
      <c r="D121" s="86">
        <v>2018</v>
      </c>
      <c r="E121" s="197">
        <v>90857</v>
      </c>
      <c r="F121" s="87" t="s">
        <v>370</v>
      </c>
      <c r="G121" s="86">
        <v>3</v>
      </c>
      <c r="H121" s="86">
        <v>2019</v>
      </c>
      <c r="I121" s="197">
        <v>1946040</v>
      </c>
      <c r="J121" s="87" t="s">
        <v>370</v>
      </c>
      <c r="K121" s="86">
        <v>3</v>
      </c>
      <c r="L121" s="86">
        <v>2020</v>
      </c>
      <c r="M121" s="197">
        <v>143728</v>
      </c>
      <c r="N121" s="87" t="s">
        <v>370</v>
      </c>
      <c r="O121" s="86"/>
      <c r="P121" s="86"/>
      <c r="Q121" s="197"/>
      <c r="R121" s="87" t="s">
        <v>370</v>
      </c>
      <c r="S121" s="86"/>
      <c r="T121" s="86"/>
      <c r="U121" s="197"/>
      <c r="V121" s="87" t="s">
        <v>370</v>
      </c>
      <c r="W121" s="86"/>
      <c r="X121" s="86"/>
      <c r="Y121" s="197"/>
      <c r="Z121" s="87" t="s">
        <v>370</v>
      </c>
      <c r="AA121" s="86"/>
      <c r="AB121" s="86"/>
      <c r="AC121" s="197"/>
    </row>
    <row r="122" spans="1:29" x14ac:dyDescent="0.25">
      <c r="A122" s="88" t="s">
        <v>440</v>
      </c>
      <c r="B122" s="85">
        <v>1952766271</v>
      </c>
      <c r="C122" s="86">
        <v>3</v>
      </c>
      <c r="D122" s="86">
        <v>2016</v>
      </c>
      <c r="E122" s="197">
        <v>183846</v>
      </c>
      <c r="F122" s="87" t="s">
        <v>370</v>
      </c>
      <c r="G122" s="86">
        <v>3</v>
      </c>
      <c r="H122" s="86">
        <v>2018</v>
      </c>
      <c r="I122" s="197">
        <v>188852</v>
      </c>
      <c r="J122" s="87" t="s">
        <v>370</v>
      </c>
      <c r="K122" s="86">
        <v>1</v>
      </c>
      <c r="L122" s="86">
        <v>2021</v>
      </c>
      <c r="M122" s="197">
        <v>24</v>
      </c>
      <c r="N122" s="87" t="s">
        <v>441</v>
      </c>
      <c r="O122" s="86">
        <v>3</v>
      </c>
      <c r="P122" s="86">
        <v>2022</v>
      </c>
      <c r="Q122" s="197">
        <v>154150</v>
      </c>
      <c r="R122" s="87" t="s">
        <v>370</v>
      </c>
      <c r="S122" s="86"/>
      <c r="T122" s="86"/>
      <c r="U122" s="197"/>
      <c r="V122" s="87" t="s">
        <v>370</v>
      </c>
      <c r="W122" s="86"/>
      <c r="X122" s="86"/>
      <c r="Y122" s="197"/>
      <c r="Z122" s="87" t="s">
        <v>370</v>
      </c>
      <c r="AA122" s="86"/>
      <c r="AB122" s="86"/>
      <c r="AC122" s="197"/>
    </row>
    <row r="123" spans="1:29" x14ac:dyDescent="0.25">
      <c r="A123" s="88" t="s">
        <v>192</v>
      </c>
      <c r="B123" s="85">
        <v>1609124155</v>
      </c>
      <c r="C123" s="86">
        <v>3</v>
      </c>
      <c r="D123" s="86">
        <v>2018</v>
      </c>
      <c r="E123" s="197">
        <v>77247</v>
      </c>
      <c r="F123" s="87" t="s">
        <v>370</v>
      </c>
      <c r="G123" s="86">
        <v>3</v>
      </c>
      <c r="H123" s="86">
        <v>2019</v>
      </c>
      <c r="I123" s="197">
        <v>50413</v>
      </c>
      <c r="J123" s="87" t="s">
        <v>370</v>
      </c>
      <c r="K123" s="86">
        <v>3</v>
      </c>
      <c r="L123" s="86">
        <v>2021</v>
      </c>
      <c r="M123" s="197">
        <v>55455</v>
      </c>
      <c r="N123" s="87" t="s">
        <v>370</v>
      </c>
      <c r="O123" s="86">
        <v>3</v>
      </c>
      <c r="P123" s="86">
        <v>2022</v>
      </c>
      <c r="Q123" s="197">
        <v>769740</v>
      </c>
      <c r="R123" s="87" t="s">
        <v>370</v>
      </c>
      <c r="S123" s="86"/>
      <c r="T123" s="86"/>
      <c r="U123" s="197"/>
      <c r="V123" s="87" t="s">
        <v>370</v>
      </c>
      <c r="W123" s="86"/>
      <c r="X123" s="86"/>
      <c r="Y123" s="197"/>
      <c r="Z123" s="87" t="s">
        <v>370</v>
      </c>
      <c r="AA123" s="86"/>
      <c r="AB123" s="86"/>
      <c r="AC123" s="197"/>
    </row>
    <row r="124" spans="1:29" x14ac:dyDescent="0.25">
      <c r="A124" s="88" t="s">
        <v>193</v>
      </c>
      <c r="B124" s="85">
        <v>1407803828</v>
      </c>
      <c r="C124" s="86">
        <v>3</v>
      </c>
      <c r="D124" s="86">
        <v>2018</v>
      </c>
      <c r="E124" s="197">
        <v>52129</v>
      </c>
      <c r="F124" s="87" t="s">
        <v>370</v>
      </c>
      <c r="G124" s="86">
        <v>3</v>
      </c>
      <c r="H124" s="86">
        <v>2021</v>
      </c>
      <c r="I124" s="197">
        <v>105383</v>
      </c>
      <c r="J124" s="87" t="s">
        <v>370</v>
      </c>
      <c r="K124" s="86">
        <v>3</v>
      </c>
      <c r="L124" s="86">
        <v>2022</v>
      </c>
      <c r="M124" s="197">
        <v>194140</v>
      </c>
      <c r="N124" s="87" t="s">
        <v>370</v>
      </c>
      <c r="O124" s="86"/>
      <c r="P124" s="86"/>
      <c r="Q124" s="197"/>
      <c r="R124" s="87" t="s">
        <v>370</v>
      </c>
      <c r="S124" s="86"/>
      <c r="T124" s="86"/>
      <c r="U124" s="197"/>
      <c r="V124" s="87" t="s">
        <v>370</v>
      </c>
      <c r="W124" s="86"/>
      <c r="X124" s="86"/>
      <c r="Y124" s="197"/>
      <c r="Z124" s="87" t="s">
        <v>370</v>
      </c>
      <c r="AA124" s="86"/>
      <c r="AB124" s="86"/>
      <c r="AC124" s="197"/>
    </row>
    <row r="125" spans="1:29" x14ac:dyDescent="0.25">
      <c r="A125" s="88" t="s">
        <v>442</v>
      </c>
      <c r="B125" s="85">
        <v>1821024274</v>
      </c>
      <c r="C125" s="86"/>
      <c r="D125" s="86"/>
      <c r="E125" s="197"/>
      <c r="F125" s="92" t="s">
        <v>370</v>
      </c>
      <c r="G125" s="86"/>
      <c r="H125" s="86"/>
      <c r="I125" s="197"/>
      <c r="J125" s="92" t="s">
        <v>370</v>
      </c>
      <c r="K125" s="86"/>
      <c r="L125" s="86"/>
      <c r="M125" s="197"/>
      <c r="N125" s="92" t="s">
        <v>370</v>
      </c>
      <c r="O125" s="86"/>
      <c r="P125" s="86"/>
      <c r="Q125" s="197"/>
      <c r="R125" s="92" t="s">
        <v>370</v>
      </c>
      <c r="S125" s="86"/>
      <c r="T125" s="86"/>
      <c r="U125" s="197"/>
      <c r="V125" s="87" t="s">
        <v>370</v>
      </c>
      <c r="W125" s="86"/>
      <c r="X125" s="86"/>
      <c r="Y125" s="197"/>
      <c r="Z125" s="87" t="s">
        <v>370</v>
      </c>
      <c r="AA125" s="86"/>
      <c r="AB125" s="86"/>
      <c r="AC125" s="197"/>
    </row>
    <row r="126" spans="1:29" x14ac:dyDescent="0.25">
      <c r="A126" s="85" t="s">
        <v>443</v>
      </c>
      <c r="B126" s="85">
        <v>1770995094</v>
      </c>
      <c r="C126" s="86">
        <v>3</v>
      </c>
      <c r="D126" s="86">
        <v>2016</v>
      </c>
      <c r="E126" s="197">
        <v>92613</v>
      </c>
      <c r="F126" s="87" t="s">
        <v>370</v>
      </c>
      <c r="G126" s="86">
        <v>3</v>
      </c>
      <c r="H126" s="86">
        <v>2021</v>
      </c>
      <c r="I126" s="197">
        <v>107658</v>
      </c>
      <c r="J126" s="87" t="s">
        <v>370</v>
      </c>
      <c r="K126" s="86"/>
      <c r="L126" s="86"/>
      <c r="M126" s="197"/>
      <c r="N126" s="87" t="s">
        <v>370</v>
      </c>
      <c r="O126" s="86"/>
      <c r="P126" s="86"/>
      <c r="Q126" s="197"/>
      <c r="R126" s="87" t="s">
        <v>370</v>
      </c>
      <c r="S126" s="86"/>
      <c r="T126" s="86"/>
      <c r="U126" s="197"/>
      <c r="V126" s="87" t="s">
        <v>370</v>
      </c>
      <c r="W126" s="86"/>
      <c r="X126" s="86"/>
      <c r="Y126" s="197"/>
      <c r="Z126" s="87" t="s">
        <v>370</v>
      </c>
      <c r="AA126" s="86"/>
      <c r="AB126" s="86"/>
      <c r="AC126" s="197"/>
    </row>
    <row r="127" spans="1:29" x14ac:dyDescent="0.25">
      <c r="A127" s="85" t="s">
        <v>194</v>
      </c>
      <c r="B127" s="85">
        <v>1275508970</v>
      </c>
      <c r="C127" s="86">
        <v>3</v>
      </c>
      <c r="D127" s="86">
        <v>2016</v>
      </c>
      <c r="E127" s="197">
        <v>17283</v>
      </c>
      <c r="F127" s="87" t="s">
        <v>370</v>
      </c>
      <c r="G127" s="86">
        <v>3</v>
      </c>
      <c r="H127" s="86">
        <v>2018</v>
      </c>
      <c r="I127" s="197">
        <v>26036</v>
      </c>
      <c r="J127" s="87" t="s">
        <v>370</v>
      </c>
      <c r="K127" s="86">
        <v>3</v>
      </c>
      <c r="L127" s="86">
        <v>2019</v>
      </c>
      <c r="M127" s="197">
        <v>17404</v>
      </c>
      <c r="N127" s="87" t="s">
        <v>370</v>
      </c>
      <c r="O127" s="86">
        <v>3</v>
      </c>
      <c r="P127" s="86">
        <v>2020</v>
      </c>
      <c r="Q127" s="197">
        <v>16926</v>
      </c>
      <c r="R127" s="87" t="s">
        <v>370</v>
      </c>
      <c r="S127" s="86">
        <v>3</v>
      </c>
      <c r="T127" s="86">
        <v>2021</v>
      </c>
      <c r="U127" s="197">
        <v>36164</v>
      </c>
      <c r="V127" s="87" t="s">
        <v>370</v>
      </c>
      <c r="W127" s="86">
        <v>3</v>
      </c>
      <c r="X127" s="86">
        <v>2022</v>
      </c>
      <c r="Y127" s="197">
        <v>39708</v>
      </c>
      <c r="Z127" s="87" t="s">
        <v>370</v>
      </c>
      <c r="AA127" s="86"/>
      <c r="AB127" s="86"/>
      <c r="AC127" s="197"/>
    </row>
    <row r="128" spans="1:29" x14ac:dyDescent="0.25">
      <c r="A128" s="88" t="s">
        <v>789</v>
      </c>
      <c r="B128" s="85">
        <v>1568127488</v>
      </c>
      <c r="C128" s="86">
        <v>3</v>
      </c>
      <c r="D128" s="86">
        <v>2020</v>
      </c>
      <c r="E128" s="197">
        <v>321912</v>
      </c>
      <c r="F128" s="87" t="s">
        <v>370</v>
      </c>
      <c r="G128" s="86">
        <v>3</v>
      </c>
      <c r="H128" s="86">
        <v>2021</v>
      </c>
      <c r="I128" s="197">
        <v>227215</v>
      </c>
      <c r="J128" s="87" t="s">
        <v>370</v>
      </c>
      <c r="K128" s="86">
        <v>3</v>
      </c>
      <c r="L128" s="86">
        <v>2022</v>
      </c>
      <c r="M128" s="197">
        <v>257080</v>
      </c>
      <c r="N128" s="87" t="s">
        <v>370</v>
      </c>
      <c r="O128" s="86"/>
      <c r="P128" s="86"/>
      <c r="Q128" s="197"/>
      <c r="R128" s="87" t="s">
        <v>370</v>
      </c>
      <c r="S128" s="86"/>
      <c r="T128" s="86"/>
      <c r="U128" s="197"/>
      <c r="V128" s="87" t="s">
        <v>370</v>
      </c>
      <c r="W128" s="86"/>
      <c r="X128" s="86"/>
      <c r="Y128" s="197"/>
      <c r="Z128" s="87" t="s">
        <v>370</v>
      </c>
      <c r="AA128" s="86"/>
      <c r="AB128" s="86"/>
      <c r="AC128" s="197"/>
    </row>
    <row r="129" spans="1:29" x14ac:dyDescent="0.25">
      <c r="A129" s="85" t="s">
        <v>196</v>
      </c>
      <c r="B129" s="85">
        <v>1396747689</v>
      </c>
      <c r="C129" s="86">
        <v>3</v>
      </c>
      <c r="D129" s="86">
        <v>2016</v>
      </c>
      <c r="E129" s="197">
        <v>376856</v>
      </c>
      <c r="F129" s="87" t="s">
        <v>370</v>
      </c>
      <c r="G129" s="86">
        <v>3</v>
      </c>
      <c r="H129" s="86">
        <v>2020</v>
      </c>
      <c r="I129" s="197">
        <v>61588</v>
      </c>
      <c r="J129" s="87" t="s">
        <v>370</v>
      </c>
      <c r="K129" s="86">
        <v>3</v>
      </c>
      <c r="L129" s="86">
        <v>2021</v>
      </c>
      <c r="M129" s="197">
        <v>84360</v>
      </c>
      <c r="N129" s="87" t="s">
        <v>370</v>
      </c>
      <c r="O129" s="86">
        <v>3</v>
      </c>
      <c r="P129" s="86">
        <v>2022</v>
      </c>
      <c r="Q129" s="197">
        <v>325249</v>
      </c>
      <c r="R129" s="87" t="s">
        <v>370</v>
      </c>
      <c r="S129" s="86"/>
      <c r="T129" s="86"/>
      <c r="U129" s="197"/>
      <c r="V129" s="87" t="s">
        <v>370</v>
      </c>
      <c r="W129" s="86"/>
      <c r="X129" s="86"/>
      <c r="Y129" s="197"/>
      <c r="Z129" s="87" t="s">
        <v>370</v>
      </c>
      <c r="AA129" s="86"/>
      <c r="AB129" s="86"/>
      <c r="AC129" s="197"/>
    </row>
    <row r="130" spans="1:29" x14ac:dyDescent="0.25">
      <c r="A130" s="85" t="s">
        <v>197</v>
      </c>
      <c r="B130" s="85">
        <v>1932135381</v>
      </c>
      <c r="C130" s="86">
        <v>3</v>
      </c>
      <c r="D130" s="86">
        <v>2018</v>
      </c>
      <c r="E130" s="197">
        <v>34555</v>
      </c>
      <c r="F130" s="87" t="s">
        <v>370</v>
      </c>
      <c r="G130" s="86">
        <v>3</v>
      </c>
      <c r="H130" s="86">
        <v>2020</v>
      </c>
      <c r="I130" s="197">
        <v>51578</v>
      </c>
      <c r="J130" s="87" t="s">
        <v>370</v>
      </c>
      <c r="K130" s="86">
        <v>3</v>
      </c>
      <c r="L130" s="86">
        <v>2021</v>
      </c>
      <c r="M130" s="197">
        <v>55332</v>
      </c>
      <c r="N130" s="87" t="s">
        <v>370</v>
      </c>
      <c r="O130" s="86">
        <v>3</v>
      </c>
      <c r="P130" s="86">
        <v>2022</v>
      </c>
      <c r="Q130" s="197">
        <v>46076</v>
      </c>
      <c r="R130" s="87" t="s">
        <v>370</v>
      </c>
      <c r="S130" s="86"/>
      <c r="T130" s="86"/>
      <c r="U130" s="197"/>
      <c r="V130" s="87" t="s">
        <v>370</v>
      </c>
      <c r="W130" s="86"/>
      <c r="X130" s="86"/>
      <c r="Y130" s="197"/>
      <c r="Z130" s="87" t="s">
        <v>370</v>
      </c>
      <c r="AA130" s="86"/>
      <c r="AB130" s="86"/>
      <c r="AC130" s="197"/>
    </row>
    <row r="131" spans="1:29" x14ac:dyDescent="0.25">
      <c r="A131" s="88" t="s">
        <v>198</v>
      </c>
      <c r="B131" s="85">
        <v>1710932355</v>
      </c>
      <c r="C131" s="86">
        <v>3</v>
      </c>
      <c r="D131" s="86">
        <v>2016</v>
      </c>
      <c r="E131" s="197">
        <v>30750</v>
      </c>
      <c r="F131" s="87" t="s">
        <v>370</v>
      </c>
      <c r="G131" s="86">
        <v>3</v>
      </c>
      <c r="H131" s="86">
        <v>2017</v>
      </c>
      <c r="I131" s="197">
        <v>67319</v>
      </c>
      <c r="J131" s="87" t="s">
        <v>370</v>
      </c>
      <c r="K131" s="86">
        <v>3</v>
      </c>
      <c r="L131" s="86">
        <v>2018</v>
      </c>
      <c r="M131" s="197">
        <v>38687</v>
      </c>
      <c r="N131" s="87" t="s">
        <v>370</v>
      </c>
      <c r="O131" s="86">
        <v>3</v>
      </c>
      <c r="P131" s="86">
        <v>2019</v>
      </c>
      <c r="Q131" s="197">
        <v>154884</v>
      </c>
      <c r="R131" s="87" t="s">
        <v>370</v>
      </c>
      <c r="S131" s="86">
        <v>3</v>
      </c>
      <c r="T131" s="86">
        <v>2020</v>
      </c>
      <c r="U131" s="197">
        <v>131321</v>
      </c>
      <c r="V131" s="87" t="s">
        <v>370</v>
      </c>
      <c r="W131" s="86"/>
      <c r="X131" s="86"/>
      <c r="Y131" s="197"/>
      <c r="Z131" s="87" t="s">
        <v>370</v>
      </c>
      <c r="AA131" s="86"/>
      <c r="AB131" s="86"/>
      <c r="AC131" s="197"/>
    </row>
    <row r="132" spans="1:29" x14ac:dyDescent="0.25">
      <c r="A132" s="85" t="s">
        <v>444</v>
      </c>
      <c r="B132" s="85">
        <v>1376570275</v>
      </c>
      <c r="C132" s="86">
        <v>3</v>
      </c>
      <c r="D132" s="86">
        <v>2021</v>
      </c>
      <c r="E132" s="197">
        <v>165263</v>
      </c>
      <c r="F132" s="87" t="s">
        <v>370</v>
      </c>
      <c r="G132" s="86">
        <v>3</v>
      </c>
      <c r="H132" s="86">
        <v>2022</v>
      </c>
      <c r="I132" s="197">
        <v>431469</v>
      </c>
      <c r="J132" s="87" t="s">
        <v>370</v>
      </c>
      <c r="K132" s="86"/>
      <c r="L132" s="86"/>
      <c r="M132" s="197"/>
      <c r="N132" s="87" t="s">
        <v>370</v>
      </c>
      <c r="O132" s="86"/>
      <c r="P132" s="86"/>
      <c r="Q132" s="197"/>
      <c r="R132" s="87" t="s">
        <v>370</v>
      </c>
      <c r="S132" s="86"/>
      <c r="T132" s="86"/>
      <c r="U132" s="197"/>
      <c r="V132" s="87" t="s">
        <v>370</v>
      </c>
      <c r="W132" s="86"/>
      <c r="X132" s="86"/>
      <c r="Y132" s="197"/>
      <c r="Z132" s="87" t="s">
        <v>370</v>
      </c>
      <c r="AA132" s="86"/>
      <c r="AB132" s="86"/>
      <c r="AC132" s="197"/>
    </row>
    <row r="133" spans="1:29" x14ac:dyDescent="0.25">
      <c r="A133" s="85" t="s">
        <v>199</v>
      </c>
      <c r="B133" s="85">
        <v>1417951492</v>
      </c>
      <c r="C133" s="86"/>
      <c r="D133" s="86"/>
      <c r="E133" s="197"/>
      <c r="F133" s="87" t="s">
        <v>370</v>
      </c>
      <c r="G133" s="86"/>
      <c r="H133" s="86"/>
      <c r="I133" s="197"/>
      <c r="J133" s="87" t="s">
        <v>370</v>
      </c>
      <c r="K133" s="86"/>
      <c r="L133" s="86"/>
      <c r="M133" s="197"/>
      <c r="N133" s="87" t="s">
        <v>370</v>
      </c>
      <c r="O133" s="86"/>
      <c r="P133" s="86"/>
      <c r="Q133" s="197"/>
      <c r="R133" s="87" t="s">
        <v>370</v>
      </c>
      <c r="S133" s="86"/>
      <c r="T133" s="86"/>
      <c r="U133" s="197"/>
      <c r="V133" s="87" t="s">
        <v>370</v>
      </c>
      <c r="W133" s="86"/>
      <c r="X133" s="86"/>
      <c r="Y133" s="197"/>
      <c r="Z133" s="87" t="s">
        <v>370</v>
      </c>
      <c r="AA133" s="86"/>
      <c r="AB133" s="86"/>
      <c r="AC133" s="197"/>
    </row>
    <row r="134" spans="1:29" x14ac:dyDescent="0.25">
      <c r="A134" s="85" t="s">
        <v>200</v>
      </c>
      <c r="B134" s="85">
        <v>1730183625</v>
      </c>
      <c r="C134" s="86"/>
      <c r="D134" s="86"/>
      <c r="E134" s="197"/>
      <c r="F134" s="87" t="s">
        <v>370</v>
      </c>
      <c r="G134" s="86"/>
      <c r="H134" s="86"/>
      <c r="I134" s="197"/>
      <c r="J134" s="87" t="s">
        <v>370</v>
      </c>
      <c r="K134" s="86"/>
      <c r="L134" s="86"/>
      <c r="M134" s="197"/>
      <c r="N134" s="87" t="s">
        <v>370</v>
      </c>
      <c r="O134" s="86"/>
      <c r="P134" s="86"/>
      <c r="Q134" s="197"/>
      <c r="R134" s="87" t="s">
        <v>370</v>
      </c>
      <c r="S134" s="86"/>
      <c r="T134" s="86"/>
      <c r="U134" s="197"/>
      <c r="V134" s="87" t="s">
        <v>370</v>
      </c>
      <c r="W134" s="86"/>
      <c r="X134" s="86"/>
      <c r="Y134" s="197"/>
      <c r="Z134" s="87" t="s">
        <v>370</v>
      </c>
      <c r="AA134" s="86"/>
      <c r="AB134" s="86"/>
      <c r="AC134" s="197"/>
    </row>
    <row r="135" spans="1:29" x14ac:dyDescent="0.25">
      <c r="A135" s="85" t="s">
        <v>445</v>
      </c>
      <c r="B135" s="85">
        <v>1730136128</v>
      </c>
      <c r="C135" s="86">
        <v>3</v>
      </c>
      <c r="D135" s="86">
        <v>2017</v>
      </c>
      <c r="E135" s="197">
        <v>65406</v>
      </c>
      <c r="F135" s="87" t="s">
        <v>370</v>
      </c>
      <c r="G135" s="86">
        <v>3</v>
      </c>
      <c r="H135" s="86">
        <v>2018</v>
      </c>
      <c r="I135" s="197">
        <v>148431</v>
      </c>
      <c r="J135" s="87" t="s">
        <v>370</v>
      </c>
      <c r="K135" s="86">
        <v>3</v>
      </c>
      <c r="L135" s="86">
        <v>2022</v>
      </c>
      <c r="M135" s="197">
        <v>284596</v>
      </c>
      <c r="N135" s="87" t="s">
        <v>370</v>
      </c>
      <c r="O135" s="86"/>
      <c r="P135" s="86"/>
      <c r="Q135" s="197"/>
      <c r="R135" s="87" t="s">
        <v>370</v>
      </c>
      <c r="S135" s="86"/>
      <c r="T135" s="86"/>
      <c r="U135" s="197"/>
      <c r="V135" s="87" t="s">
        <v>370</v>
      </c>
      <c r="W135" s="86"/>
      <c r="X135" s="86"/>
      <c r="Y135" s="197"/>
      <c r="Z135" s="87" t="s">
        <v>370</v>
      </c>
      <c r="AA135" s="86"/>
      <c r="AB135" s="86"/>
      <c r="AC135" s="197"/>
    </row>
    <row r="136" spans="1:29" x14ac:dyDescent="0.25">
      <c r="A136" s="88" t="s">
        <v>201</v>
      </c>
      <c r="B136" s="85">
        <v>1679555403</v>
      </c>
      <c r="C136" s="86">
        <v>3</v>
      </c>
      <c r="D136" s="86">
        <v>2016</v>
      </c>
      <c r="E136" s="197">
        <v>146564</v>
      </c>
      <c r="F136" s="87" t="s">
        <v>370</v>
      </c>
      <c r="G136" s="86">
        <v>3</v>
      </c>
      <c r="H136" s="86">
        <v>2017</v>
      </c>
      <c r="I136" s="197">
        <v>124810</v>
      </c>
      <c r="J136" s="87" t="s">
        <v>370</v>
      </c>
      <c r="K136" s="86">
        <v>3</v>
      </c>
      <c r="L136" s="86">
        <v>2018</v>
      </c>
      <c r="M136" s="197">
        <v>115738</v>
      </c>
      <c r="N136" s="87" t="s">
        <v>370</v>
      </c>
      <c r="O136" s="86">
        <v>3</v>
      </c>
      <c r="P136" s="86">
        <v>2019</v>
      </c>
      <c r="Q136" s="197">
        <v>241225</v>
      </c>
      <c r="R136" s="87" t="s">
        <v>370</v>
      </c>
      <c r="S136" s="86">
        <v>3</v>
      </c>
      <c r="T136" s="86">
        <v>2020</v>
      </c>
      <c r="U136" s="197">
        <v>87808</v>
      </c>
      <c r="V136" s="87" t="s">
        <v>370</v>
      </c>
      <c r="W136" s="86">
        <v>3</v>
      </c>
      <c r="X136" s="86">
        <v>2021</v>
      </c>
      <c r="Y136" s="197">
        <v>71750</v>
      </c>
      <c r="Z136" s="87" t="s">
        <v>370</v>
      </c>
      <c r="AA136" s="86">
        <v>3</v>
      </c>
      <c r="AB136" s="86">
        <v>2022</v>
      </c>
      <c r="AC136" s="197">
        <v>97270</v>
      </c>
    </row>
    <row r="137" spans="1:29" x14ac:dyDescent="0.25">
      <c r="A137" s="85" t="s">
        <v>202</v>
      </c>
      <c r="B137" s="85">
        <v>1982948550</v>
      </c>
      <c r="C137" s="86">
        <v>3</v>
      </c>
      <c r="D137" s="86">
        <v>2016</v>
      </c>
      <c r="E137" s="197">
        <v>138198</v>
      </c>
      <c r="F137" s="87" t="s">
        <v>370</v>
      </c>
      <c r="G137" s="86">
        <v>3</v>
      </c>
      <c r="H137" s="86">
        <v>2017</v>
      </c>
      <c r="I137" s="197">
        <v>49303</v>
      </c>
      <c r="J137" s="87" t="s">
        <v>370</v>
      </c>
      <c r="K137" s="86">
        <v>3</v>
      </c>
      <c r="L137" s="86">
        <v>2018</v>
      </c>
      <c r="M137" s="197">
        <v>33635</v>
      </c>
      <c r="N137" s="87" t="s">
        <v>370</v>
      </c>
      <c r="O137" s="86">
        <v>3</v>
      </c>
      <c r="P137" s="86">
        <v>2020</v>
      </c>
      <c r="Q137" s="197">
        <v>38538</v>
      </c>
      <c r="R137" s="87" t="s">
        <v>370</v>
      </c>
      <c r="S137" s="86">
        <v>3</v>
      </c>
      <c r="T137" s="86">
        <v>2022</v>
      </c>
      <c r="U137" s="197">
        <v>74381</v>
      </c>
      <c r="V137" s="87" t="s">
        <v>370</v>
      </c>
      <c r="W137" s="86"/>
      <c r="X137" s="86"/>
      <c r="Y137" s="197"/>
      <c r="Z137" s="87" t="s">
        <v>370</v>
      </c>
      <c r="AA137" s="86"/>
      <c r="AB137" s="86"/>
      <c r="AC137" s="197"/>
    </row>
    <row r="138" spans="1:29" x14ac:dyDescent="0.25">
      <c r="A138" s="85" t="s">
        <v>203</v>
      </c>
      <c r="B138" s="85">
        <v>1174524458</v>
      </c>
      <c r="C138" s="86">
        <v>3</v>
      </c>
      <c r="D138" s="86">
        <v>2017</v>
      </c>
      <c r="E138" s="197">
        <v>5568696</v>
      </c>
      <c r="F138" s="87" t="s">
        <v>370</v>
      </c>
      <c r="G138" s="86"/>
      <c r="H138" s="86"/>
      <c r="I138" s="197"/>
      <c r="J138" s="87" t="s">
        <v>370</v>
      </c>
      <c r="K138" s="86"/>
      <c r="L138" s="86"/>
      <c r="M138" s="197"/>
      <c r="N138" s="87" t="s">
        <v>370</v>
      </c>
      <c r="O138" s="86"/>
      <c r="P138" s="86"/>
      <c r="Q138" s="197"/>
      <c r="R138" s="87" t="s">
        <v>370</v>
      </c>
      <c r="S138" s="86"/>
      <c r="T138" s="86"/>
      <c r="U138" s="197"/>
      <c r="V138" s="87" t="s">
        <v>370</v>
      </c>
      <c r="W138" s="86"/>
      <c r="X138" s="86"/>
      <c r="Y138" s="197"/>
      <c r="Z138" s="87" t="s">
        <v>370</v>
      </c>
      <c r="AA138" s="86"/>
      <c r="AB138" s="86"/>
      <c r="AC138" s="197"/>
    </row>
    <row r="139" spans="1:29" x14ac:dyDescent="0.25">
      <c r="A139" s="85" t="s">
        <v>204</v>
      </c>
      <c r="B139" s="85">
        <v>1477511079</v>
      </c>
      <c r="C139" s="86"/>
      <c r="D139" s="86"/>
      <c r="E139" s="197"/>
      <c r="F139" s="87" t="s">
        <v>370</v>
      </c>
      <c r="G139" s="86"/>
      <c r="H139" s="86"/>
      <c r="I139" s="197"/>
      <c r="J139" s="87" t="s">
        <v>370</v>
      </c>
      <c r="K139" s="86"/>
      <c r="L139" s="86"/>
      <c r="M139" s="197"/>
      <c r="N139" s="87" t="s">
        <v>370</v>
      </c>
      <c r="O139" s="86"/>
      <c r="P139" s="86"/>
      <c r="Q139" s="197"/>
      <c r="R139" s="87" t="s">
        <v>370</v>
      </c>
      <c r="S139" s="86"/>
      <c r="T139" s="86"/>
      <c r="U139" s="197"/>
      <c r="V139" s="87" t="s">
        <v>370</v>
      </c>
      <c r="W139" s="86"/>
      <c r="X139" s="86"/>
      <c r="Y139" s="197"/>
      <c r="Z139" s="87" t="s">
        <v>370</v>
      </c>
      <c r="AA139" s="86"/>
      <c r="AB139" s="86"/>
      <c r="AC139" s="197"/>
    </row>
    <row r="140" spans="1:29" x14ac:dyDescent="0.25">
      <c r="A140" s="88" t="s">
        <v>205</v>
      </c>
      <c r="B140" s="85">
        <v>1396802260</v>
      </c>
      <c r="C140" s="86">
        <v>3</v>
      </c>
      <c r="D140" s="86">
        <v>2016</v>
      </c>
      <c r="E140" s="197">
        <v>40770</v>
      </c>
      <c r="F140" s="87" t="s">
        <v>370</v>
      </c>
      <c r="G140" s="86">
        <v>3</v>
      </c>
      <c r="H140" s="86">
        <v>2017</v>
      </c>
      <c r="I140" s="197">
        <v>101235</v>
      </c>
      <c r="J140" s="87" t="s">
        <v>370</v>
      </c>
      <c r="K140" s="86">
        <v>3</v>
      </c>
      <c r="L140" s="86">
        <v>2021</v>
      </c>
      <c r="M140" s="197">
        <v>28058</v>
      </c>
      <c r="N140" s="87" t="s">
        <v>370</v>
      </c>
      <c r="O140" s="86">
        <v>3</v>
      </c>
      <c r="P140" s="86">
        <v>2022</v>
      </c>
      <c r="Q140" s="197">
        <v>93328</v>
      </c>
      <c r="R140" s="87" t="s">
        <v>370</v>
      </c>
      <c r="S140" s="86"/>
      <c r="T140" s="86"/>
      <c r="U140" s="197"/>
      <c r="V140" s="87" t="s">
        <v>370</v>
      </c>
      <c r="W140" s="86"/>
      <c r="X140" s="86"/>
      <c r="Y140" s="197"/>
      <c r="Z140" s="87" t="s">
        <v>370</v>
      </c>
      <c r="AA140" s="86"/>
      <c r="AB140" s="86"/>
      <c r="AC140" s="197"/>
    </row>
    <row r="141" spans="1:29" x14ac:dyDescent="0.25">
      <c r="A141" s="85" t="s">
        <v>206</v>
      </c>
      <c r="B141" s="85">
        <v>1588618045</v>
      </c>
      <c r="C141" s="86">
        <v>3</v>
      </c>
      <c r="D141" s="86">
        <v>2018</v>
      </c>
      <c r="E141" s="197">
        <v>71218</v>
      </c>
      <c r="F141" s="87" t="s">
        <v>370</v>
      </c>
      <c r="G141" s="86">
        <v>3</v>
      </c>
      <c r="H141" s="86">
        <v>2021</v>
      </c>
      <c r="I141" s="197">
        <v>60836</v>
      </c>
      <c r="J141" s="87" t="s">
        <v>370</v>
      </c>
      <c r="K141" s="86"/>
      <c r="L141" s="86"/>
      <c r="M141" s="197"/>
      <c r="N141" s="87" t="s">
        <v>370</v>
      </c>
      <c r="O141" s="86"/>
      <c r="P141" s="86"/>
      <c r="Q141" s="197"/>
      <c r="R141" s="87" t="s">
        <v>370</v>
      </c>
      <c r="S141" s="86"/>
      <c r="T141" s="86"/>
      <c r="U141" s="197"/>
      <c r="V141" s="87" t="s">
        <v>370</v>
      </c>
      <c r="W141" s="86"/>
      <c r="X141" s="86"/>
      <c r="Y141" s="197"/>
      <c r="Z141" s="87" t="s">
        <v>370</v>
      </c>
      <c r="AA141" s="86"/>
      <c r="AB141" s="86"/>
      <c r="AC141" s="197"/>
    </row>
    <row r="142" spans="1:29" x14ac:dyDescent="0.25">
      <c r="A142" s="85" t="s">
        <v>678</v>
      </c>
      <c r="B142" s="85">
        <v>1104946060</v>
      </c>
      <c r="C142" s="86">
        <v>3</v>
      </c>
      <c r="D142" s="86">
        <v>2016</v>
      </c>
      <c r="E142" s="197">
        <v>229322</v>
      </c>
      <c r="F142" s="87" t="s">
        <v>370</v>
      </c>
      <c r="G142" s="86">
        <v>3</v>
      </c>
      <c r="H142" s="86">
        <v>2017</v>
      </c>
      <c r="I142" s="197">
        <v>349104.65</v>
      </c>
      <c r="J142" s="87" t="s">
        <v>370</v>
      </c>
      <c r="K142" s="86">
        <v>3</v>
      </c>
      <c r="L142" s="86">
        <v>2019</v>
      </c>
      <c r="M142" s="197">
        <v>69841</v>
      </c>
      <c r="N142" s="87" t="s">
        <v>370</v>
      </c>
      <c r="O142" s="86">
        <v>3</v>
      </c>
      <c r="P142" s="86">
        <v>2021</v>
      </c>
      <c r="Q142" s="197">
        <v>279068</v>
      </c>
      <c r="R142" s="87" t="s">
        <v>370</v>
      </c>
      <c r="S142" s="86">
        <v>3</v>
      </c>
      <c r="T142" s="86">
        <v>2022</v>
      </c>
      <c r="U142" s="197">
        <v>693760</v>
      </c>
      <c r="V142" s="87" t="s">
        <v>370</v>
      </c>
      <c r="W142" s="86"/>
      <c r="X142" s="86"/>
      <c r="Y142" s="197"/>
      <c r="Z142" s="87" t="s">
        <v>370</v>
      </c>
      <c r="AA142" s="86"/>
      <c r="AB142" s="86"/>
      <c r="AC142" s="197"/>
    </row>
    <row r="143" spans="1:29" x14ac:dyDescent="0.25">
      <c r="A143" s="85" t="s">
        <v>207</v>
      </c>
      <c r="B143" s="85">
        <v>1962066480</v>
      </c>
      <c r="C143" s="86">
        <v>3</v>
      </c>
      <c r="D143" s="86">
        <v>2019</v>
      </c>
      <c r="E143" s="197">
        <v>71465</v>
      </c>
      <c r="F143" s="87" t="s">
        <v>370</v>
      </c>
      <c r="G143" s="86">
        <v>3</v>
      </c>
      <c r="H143" s="86">
        <v>2020</v>
      </c>
      <c r="I143" s="197">
        <v>169988</v>
      </c>
      <c r="J143" s="87" t="s">
        <v>370</v>
      </c>
      <c r="K143" s="86">
        <v>3</v>
      </c>
      <c r="L143" s="86">
        <v>2022</v>
      </c>
      <c r="M143" s="197">
        <v>455836</v>
      </c>
      <c r="N143" s="87" t="s">
        <v>370</v>
      </c>
      <c r="O143" s="86"/>
      <c r="P143" s="86"/>
      <c r="Q143" s="197"/>
      <c r="R143" s="87" t="s">
        <v>370</v>
      </c>
      <c r="S143" s="86"/>
      <c r="T143" s="86"/>
      <c r="U143" s="197"/>
      <c r="V143" s="87" t="s">
        <v>370</v>
      </c>
      <c r="W143" s="86"/>
      <c r="X143" s="86"/>
      <c r="Y143" s="197"/>
      <c r="Z143" s="87" t="s">
        <v>370</v>
      </c>
      <c r="AA143" s="86"/>
      <c r="AB143" s="86"/>
      <c r="AC143" s="197"/>
    </row>
    <row r="144" spans="1:29" x14ac:dyDescent="0.25">
      <c r="A144" s="88" t="s">
        <v>446</v>
      </c>
      <c r="B144" s="85">
        <v>1366487464</v>
      </c>
      <c r="C144" s="86">
        <v>3</v>
      </c>
      <c r="D144" s="86">
        <v>2021</v>
      </c>
      <c r="E144" s="197">
        <v>43424</v>
      </c>
      <c r="F144" s="87" t="s">
        <v>370</v>
      </c>
      <c r="G144" s="86">
        <v>3</v>
      </c>
      <c r="H144" s="86">
        <v>2022</v>
      </c>
      <c r="I144" s="197">
        <v>69518</v>
      </c>
      <c r="J144" s="87" t="s">
        <v>370</v>
      </c>
      <c r="K144" s="86"/>
      <c r="L144" s="86"/>
      <c r="M144" s="197"/>
      <c r="N144" s="87" t="s">
        <v>370</v>
      </c>
      <c r="O144" s="86"/>
      <c r="P144" s="86"/>
      <c r="Q144" s="197"/>
      <c r="R144" s="87" t="s">
        <v>370</v>
      </c>
      <c r="S144" s="86"/>
      <c r="T144" s="86"/>
      <c r="U144" s="197"/>
      <c r="V144" s="87" t="s">
        <v>370</v>
      </c>
      <c r="W144" s="86"/>
      <c r="X144" s="86"/>
      <c r="Y144" s="197"/>
      <c r="Z144" s="87" t="s">
        <v>370</v>
      </c>
      <c r="AA144" s="86"/>
      <c r="AB144" s="86"/>
      <c r="AC144" s="197"/>
    </row>
    <row r="145" spans="1:29" x14ac:dyDescent="0.25">
      <c r="A145" s="85" t="s">
        <v>447</v>
      </c>
      <c r="B145" s="85">
        <v>1407882830</v>
      </c>
      <c r="C145" s="86">
        <v>3</v>
      </c>
      <c r="D145" s="86">
        <v>2018</v>
      </c>
      <c r="E145" s="197">
        <v>128020</v>
      </c>
      <c r="F145" s="87" t="s">
        <v>370</v>
      </c>
      <c r="G145" s="86">
        <v>3</v>
      </c>
      <c r="H145" s="86">
        <v>2021</v>
      </c>
      <c r="I145" s="197">
        <v>57335</v>
      </c>
      <c r="J145" s="87" t="s">
        <v>370</v>
      </c>
      <c r="K145" s="86"/>
      <c r="L145" s="86"/>
      <c r="M145" s="197"/>
      <c r="N145" s="87" t="s">
        <v>370</v>
      </c>
      <c r="O145" s="86"/>
      <c r="P145" s="86"/>
      <c r="Q145" s="197"/>
      <c r="R145" s="87" t="s">
        <v>370</v>
      </c>
      <c r="S145" s="86"/>
      <c r="T145" s="86"/>
      <c r="U145" s="197"/>
      <c r="V145" s="87" t="s">
        <v>370</v>
      </c>
      <c r="W145" s="86"/>
      <c r="X145" s="86"/>
      <c r="Y145" s="197"/>
      <c r="Z145" s="87" t="s">
        <v>370</v>
      </c>
      <c r="AA145" s="86"/>
      <c r="AB145" s="86"/>
      <c r="AC145" s="197"/>
    </row>
    <row r="146" spans="1:29" x14ac:dyDescent="0.25">
      <c r="A146" s="85" t="s">
        <v>208</v>
      </c>
      <c r="B146" s="85">
        <v>1588642102</v>
      </c>
      <c r="C146" s="86">
        <v>3</v>
      </c>
      <c r="D146" s="86">
        <v>2022</v>
      </c>
      <c r="E146" s="197">
        <v>104726</v>
      </c>
      <c r="F146" s="87" t="s">
        <v>370</v>
      </c>
      <c r="G146" s="86"/>
      <c r="H146" s="86"/>
      <c r="I146" s="197"/>
      <c r="J146" s="87" t="s">
        <v>370</v>
      </c>
      <c r="K146" s="86"/>
      <c r="L146" s="86"/>
      <c r="M146" s="197"/>
      <c r="N146" s="87" t="s">
        <v>370</v>
      </c>
      <c r="O146" s="86"/>
      <c r="P146" s="86"/>
      <c r="Q146" s="197"/>
      <c r="R146" s="87" t="s">
        <v>370</v>
      </c>
      <c r="S146" s="86"/>
      <c r="T146" s="86"/>
      <c r="U146" s="197"/>
      <c r="V146" s="87" t="s">
        <v>370</v>
      </c>
      <c r="W146" s="86"/>
      <c r="X146" s="86"/>
      <c r="Y146" s="197"/>
      <c r="Z146" s="87" t="s">
        <v>370</v>
      </c>
      <c r="AA146" s="86"/>
      <c r="AB146" s="86"/>
      <c r="AC146" s="197"/>
    </row>
    <row r="147" spans="1:29" x14ac:dyDescent="0.25">
      <c r="A147" s="88" t="s">
        <v>448</v>
      </c>
      <c r="B147" s="85">
        <v>1063458958</v>
      </c>
      <c r="C147" s="86">
        <v>3</v>
      </c>
      <c r="D147" s="86">
        <v>2017</v>
      </c>
      <c r="E147" s="197">
        <v>60454</v>
      </c>
      <c r="F147" s="92" t="s">
        <v>370</v>
      </c>
      <c r="G147" s="86">
        <v>3</v>
      </c>
      <c r="H147" s="86">
        <v>2022</v>
      </c>
      <c r="I147" s="197">
        <v>147249</v>
      </c>
      <c r="J147" s="92" t="s">
        <v>370</v>
      </c>
      <c r="K147" s="86"/>
      <c r="L147" s="86"/>
      <c r="M147" s="197"/>
      <c r="N147" s="92" t="s">
        <v>370</v>
      </c>
      <c r="O147" s="86"/>
      <c r="P147" s="86"/>
      <c r="Q147" s="197"/>
      <c r="R147" s="92" t="s">
        <v>370</v>
      </c>
      <c r="S147" s="86"/>
      <c r="T147" s="86"/>
      <c r="U147" s="197"/>
      <c r="V147" s="87" t="s">
        <v>370</v>
      </c>
      <c r="W147" s="86"/>
      <c r="X147" s="86"/>
      <c r="Y147" s="197"/>
      <c r="Z147" s="87" t="s">
        <v>370</v>
      </c>
      <c r="AA147" s="86"/>
      <c r="AB147" s="86"/>
      <c r="AC147" s="197"/>
    </row>
    <row r="148" spans="1:29" x14ac:dyDescent="0.25">
      <c r="A148" s="85" t="s">
        <v>449</v>
      </c>
      <c r="B148" s="85">
        <v>1619908977</v>
      </c>
      <c r="C148" s="86">
        <v>3</v>
      </c>
      <c r="D148" s="86">
        <v>2020</v>
      </c>
      <c r="E148" s="197">
        <v>95499</v>
      </c>
      <c r="F148" s="87" t="s">
        <v>370</v>
      </c>
      <c r="G148" s="86"/>
      <c r="H148" s="86"/>
      <c r="I148" s="197"/>
      <c r="J148" s="87" t="s">
        <v>370</v>
      </c>
      <c r="K148" s="86"/>
      <c r="L148" s="86"/>
      <c r="M148" s="197"/>
      <c r="N148" s="87" t="s">
        <v>370</v>
      </c>
      <c r="O148" s="86"/>
      <c r="P148" s="86"/>
      <c r="Q148" s="197"/>
      <c r="R148" s="87" t="s">
        <v>370</v>
      </c>
      <c r="S148" s="86"/>
      <c r="T148" s="86"/>
      <c r="U148" s="197"/>
      <c r="V148" s="87" t="s">
        <v>370</v>
      </c>
      <c r="W148" s="86"/>
      <c r="X148" s="86"/>
      <c r="Y148" s="197"/>
      <c r="Z148" s="87" t="s">
        <v>370</v>
      </c>
      <c r="AA148" s="86"/>
      <c r="AB148" s="86"/>
      <c r="AC148" s="197"/>
    </row>
    <row r="149" spans="1:29" x14ac:dyDescent="0.25">
      <c r="A149" s="88" t="s">
        <v>683</v>
      </c>
      <c r="B149" s="85">
        <v>1538808340</v>
      </c>
      <c r="C149" s="86">
        <v>3</v>
      </c>
      <c r="D149" s="86">
        <v>2016</v>
      </c>
      <c r="E149" s="197">
        <v>358183</v>
      </c>
      <c r="F149" s="87" t="s">
        <v>370</v>
      </c>
      <c r="G149" s="86">
        <v>3</v>
      </c>
      <c r="H149" s="86">
        <v>2017</v>
      </c>
      <c r="I149" s="197">
        <v>186325.56</v>
      </c>
      <c r="J149" s="87" t="s">
        <v>370</v>
      </c>
      <c r="K149" s="86">
        <v>3</v>
      </c>
      <c r="L149" s="86">
        <v>2021</v>
      </c>
      <c r="M149" s="197">
        <v>57968</v>
      </c>
      <c r="N149" s="87" t="s">
        <v>370</v>
      </c>
      <c r="O149" s="86"/>
      <c r="P149" s="86"/>
      <c r="Q149" s="197"/>
      <c r="R149" s="87" t="s">
        <v>370</v>
      </c>
      <c r="S149" s="86"/>
      <c r="T149" s="86"/>
      <c r="U149" s="197"/>
      <c r="V149" s="87" t="s">
        <v>370</v>
      </c>
      <c r="W149" s="86"/>
      <c r="X149" s="86"/>
      <c r="Y149" s="197"/>
      <c r="Z149" s="87" t="s">
        <v>370</v>
      </c>
      <c r="AA149" s="86"/>
      <c r="AB149" s="86"/>
      <c r="AC149" s="197"/>
    </row>
    <row r="150" spans="1:29" x14ac:dyDescent="0.25">
      <c r="A150" s="85" t="s">
        <v>209</v>
      </c>
      <c r="B150" s="85">
        <v>1033784970</v>
      </c>
      <c r="C150" s="86">
        <v>3</v>
      </c>
      <c r="D150" s="86">
        <v>2016</v>
      </c>
      <c r="E150" s="197">
        <v>107858</v>
      </c>
      <c r="F150" s="87" t="s">
        <v>370</v>
      </c>
      <c r="G150" s="86">
        <v>3</v>
      </c>
      <c r="H150" s="86">
        <v>2017</v>
      </c>
      <c r="I150" s="197">
        <v>55965</v>
      </c>
      <c r="J150" s="87" t="s">
        <v>370</v>
      </c>
      <c r="K150" s="86">
        <v>3</v>
      </c>
      <c r="L150" s="86">
        <v>2018</v>
      </c>
      <c r="M150" s="197">
        <v>193310</v>
      </c>
      <c r="N150" s="87" t="s">
        <v>370</v>
      </c>
      <c r="O150" s="86">
        <v>3</v>
      </c>
      <c r="P150" s="86">
        <v>2019</v>
      </c>
      <c r="Q150" s="197">
        <v>172761</v>
      </c>
      <c r="R150" s="87" t="s">
        <v>370</v>
      </c>
      <c r="S150" s="86">
        <v>3</v>
      </c>
      <c r="T150" s="86">
        <v>2020</v>
      </c>
      <c r="U150" s="197">
        <v>89187</v>
      </c>
      <c r="V150" s="87" t="s">
        <v>370</v>
      </c>
      <c r="W150" s="86">
        <v>3</v>
      </c>
      <c r="X150" s="86">
        <v>2021</v>
      </c>
      <c r="Y150" s="197">
        <v>59285</v>
      </c>
      <c r="Z150" s="87" t="s">
        <v>370</v>
      </c>
      <c r="AA150" s="86"/>
      <c r="AB150" s="86"/>
      <c r="AC150" s="197"/>
    </row>
    <row r="151" spans="1:29" x14ac:dyDescent="0.25">
      <c r="A151" s="85" t="s">
        <v>450</v>
      </c>
      <c r="B151" s="85">
        <v>1437609732</v>
      </c>
      <c r="C151" s="86">
        <v>3</v>
      </c>
      <c r="D151" s="86">
        <v>2017</v>
      </c>
      <c r="E151" s="197">
        <v>85510.64</v>
      </c>
      <c r="F151" s="87" t="s">
        <v>370</v>
      </c>
      <c r="G151" s="86">
        <v>3</v>
      </c>
      <c r="H151" s="86">
        <v>2021</v>
      </c>
      <c r="I151" s="197">
        <v>80179</v>
      </c>
      <c r="J151" s="87" t="s">
        <v>370</v>
      </c>
      <c r="K151" s="86"/>
      <c r="L151" s="86"/>
      <c r="M151" s="197"/>
      <c r="N151" s="87" t="s">
        <v>370</v>
      </c>
      <c r="O151" s="86"/>
      <c r="P151" s="86"/>
      <c r="Q151" s="197"/>
      <c r="R151" s="87" t="s">
        <v>370</v>
      </c>
      <c r="S151" s="86"/>
      <c r="T151" s="86"/>
      <c r="U151" s="197"/>
      <c r="V151" s="87" t="s">
        <v>370</v>
      </c>
      <c r="W151" s="86"/>
      <c r="X151" s="86"/>
      <c r="Y151" s="197"/>
      <c r="Z151" s="87" t="s">
        <v>370</v>
      </c>
      <c r="AA151" s="86"/>
      <c r="AB151" s="86"/>
      <c r="AC151" s="197"/>
    </row>
    <row r="152" spans="1:29" x14ac:dyDescent="0.25">
      <c r="A152" s="85" t="s">
        <v>451</v>
      </c>
      <c r="B152" s="85">
        <v>1649590498</v>
      </c>
      <c r="C152" s="86">
        <v>3</v>
      </c>
      <c r="D152" s="86">
        <v>2016</v>
      </c>
      <c r="E152" s="197">
        <v>140874</v>
      </c>
      <c r="F152" s="87" t="s">
        <v>370</v>
      </c>
      <c r="G152" s="86">
        <v>3</v>
      </c>
      <c r="H152" s="86">
        <v>2017</v>
      </c>
      <c r="I152" s="197">
        <v>159763</v>
      </c>
      <c r="J152" s="87" t="s">
        <v>370</v>
      </c>
      <c r="K152" s="86"/>
      <c r="L152" s="86"/>
      <c r="M152" s="197"/>
      <c r="N152" s="87" t="s">
        <v>370</v>
      </c>
      <c r="O152" s="86"/>
      <c r="P152" s="86"/>
      <c r="Q152" s="197"/>
      <c r="R152" s="87" t="s">
        <v>370</v>
      </c>
      <c r="S152" s="86"/>
      <c r="T152" s="86"/>
      <c r="U152" s="197"/>
      <c r="V152" s="87" t="s">
        <v>370</v>
      </c>
      <c r="W152" s="86"/>
      <c r="X152" s="86"/>
      <c r="Y152" s="197"/>
      <c r="Z152" s="87" t="s">
        <v>370</v>
      </c>
      <c r="AA152" s="86"/>
      <c r="AB152" s="86"/>
      <c r="AC152" s="197"/>
    </row>
    <row r="153" spans="1:29" x14ac:dyDescent="0.25">
      <c r="A153" s="85" t="s">
        <v>452</v>
      </c>
      <c r="B153" s="85">
        <v>1932145836</v>
      </c>
      <c r="C153" s="86">
        <v>3</v>
      </c>
      <c r="D153" s="86">
        <v>2019</v>
      </c>
      <c r="E153" s="197">
        <v>296160</v>
      </c>
      <c r="F153" s="87" t="s">
        <v>370</v>
      </c>
      <c r="G153" s="86">
        <v>3</v>
      </c>
      <c r="H153" s="86">
        <v>2021</v>
      </c>
      <c r="I153" s="197">
        <v>127381</v>
      </c>
      <c r="J153" s="87" t="s">
        <v>370</v>
      </c>
      <c r="K153" s="86">
        <v>3</v>
      </c>
      <c r="L153" s="86">
        <v>2022</v>
      </c>
      <c r="M153" s="197">
        <v>172161</v>
      </c>
      <c r="N153" s="87" t="s">
        <v>370</v>
      </c>
      <c r="O153" s="86"/>
      <c r="P153" s="86"/>
      <c r="Q153" s="197"/>
      <c r="R153" s="87" t="s">
        <v>370</v>
      </c>
      <c r="S153" s="86"/>
      <c r="T153" s="86"/>
      <c r="U153" s="197"/>
      <c r="V153" s="87" t="s">
        <v>370</v>
      </c>
      <c r="W153" s="86"/>
      <c r="X153" s="86"/>
      <c r="Y153" s="197"/>
      <c r="Z153" s="87" t="s">
        <v>370</v>
      </c>
      <c r="AA153" s="86"/>
      <c r="AB153" s="86"/>
      <c r="AC153" s="197"/>
    </row>
    <row r="154" spans="1:29" x14ac:dyDescent="0.25">
      <c r="A154" s="85" t="s">
        <v>453</v>
      </c>
      <c r="B154" s="85">
        <v>1285665539</v>
      </c>
      <c r="C154" s="86">
        <v>3</v>
      </c>
      <c r="D154" s="86">
        <v>2016</v>
      </c>
      <c r="E154" s="197">
        <v>300261</v>
      </c>
      <c r="F154" s="87" t="s">
        <v>370</v>
      </c>
      <c r="G154" s="86">
        <v>3</v>
      </c>
      <c r="H154" s="86">
        <v>2017</v>
      </c>
      <c r="I154" s="197">
        <v>107052</v>
      </c>
      <c r="J154" s="87" t="s">
        <v>370</v>
      </c>
      <c r="K154" s="86">
        <v>3</v>
      </c>
      <c r="L154" s="86">
        <v>2022</v>
      </c>
      <c r="M154" s="197">
        <v>179593</v>
      </c>
      <c r="N154" s="87" t="s">
        <v>370</v>
      </c>
      <c r="O154" s="86"/>
      <c r="P154" s="86"/>
      <c r="Q154" s="197"/>
      <c r="R154" s="87" t="s">
        <v>370</v>
      </c>
      <c r="S154" s="86"/>
      <c r="T154" s="86"/>
      <c r="U154" s="197"/>
      <c r="V154" s="87" t="s">
        <v>370</v>
      </c>
      <c r="W154" s="86"/>
      <c r="X154" s="86"/>
      <c r="Y154" s="197"/>
      <c r="Z154" s="87" t="s">
        <v>370</v>
      </c>
      <c r="AA154" s="86"/>
      <c r="AB154" s="86"/>
      <c r="AC154" s="197"/>
    </row>
    <row r="155" spans="1:29" x14ac:dyDescent="0.25">
      <c r="A155" s="88" t="s">
        <v>210</v>
      </c>
      <c r="B155" s="85">
        <v>1104800069</v>
      </c>
      <c r="C155" s="86">
        <v>3</v>
      </c>
      <c r="D155" s="86">
        <v>2017</v>
      </c>
      <c r="E155" s="197">
        <v>60800</v>
      </c>
      <c r="F155" s="87" t="s">
        <v>370</v>
      </c>
      <c r="G155" s="86">
        <v>3</v>
      </c>
      <c r="H155" s="86">
        <v>2019</v>
      </c>
      <c r="I155" s="197">
        <v>65782</v>
      </c>
      <c r="J155" s="87" t="s">
        <v>370</v>
      </c>
      <c r="K155" s="86">
        <v>3</v>
      </c>
      <c r="L155" s="86">
        <v>2021</v>
      </c>
      <c r="M155" s="197">
        <v>70750</v>
      </c>
      <c r="N155" s="87" t="s">
        <v>370</v>
      </c>
      <c r="O155" s="86">
        <v>3</v>
      </c>
      <c r="P155" s="86">
        <v>2022</v>
      </c>
      <c r="Q155" s="197">
        <v>803834</v>
      </c>
      <c r="R155" s="87" t="s">
        <v>370</v>
      </c>
      <c r="S155" s="86"/>
      <c r="T155" s="86"/>
      <c r="U155" s="197"/>
      <c r="V155" s="87" t="s">
        <v>370</v>
      </c>
      <c r="W155" s="86"/>
      <c r="X155" s="86"/>
      <c r="Y155" s="197"/>
      <c r="Z155" s="87" t="s">
        <v>370</v>
      </c>
      <c r="AA155" s="86"/>
      <c r="AB155" s="86"/>
      <c r="AC155" s="197"/>
    </row>
    <row r="156" spans="1:29" x14ac:dyDescent="0.25">
      <c r="A156" s="85" t="s">
        <v>211</v>
      </c>
      <c r="B156" s="85">
        <v>1912027871</v>
      </c>
      <c r="C156" s="86">
        <v>3</v>
      </c>
      <c r="D156" s="86">
        <v>2016</v>
      </c>
      <c r="E156" s="197">
        <v>105755</v>
      </c>
      <c r="F156" s="87" t="s">
        <v>370</v>
      </c>
      <c r="G156" s="86">
        <v>3</v>
      </c>
      <c r="H156" s="86">
        <v>2017</v>
      </c>
      <c r="I156" s="197">
        <v>261888.12</v>
      </c>
      <c r="J156" s="87" t="s">
        <v>370</v>
      </c>
      <c r="K156" s="86">
        <v>3</v>
      </c>
      <c r="L156" s="86">
        <v>2020</v>
      </c>
      <c r="M156" s="197">
        <v>60780</v>
      </c>
      <c r="N156" s="87" t="s">
        <v>370</v>
      </c>
      <c r="O156" s="86"/>
      <c r="P156" s="86"/>
      <c r="Q156" s="197"/>
      <c r="R156" s="87" t="s">
        <v>370</v>
      </c>
      <c r="S156" s="86"/>
      <c r="T156" s="86"/>
      <c r="U156" s="197"/>
      <c r="V156" s="87" t="s">
        <v>370</v>
      </c>
      <c r="W156" s="86"/>
      <c r="X156" s="86"/>
      <c r="Y156" s="197"/>
      <c r="Z156" s="87" t="s">
        <v>370</v>
      </c>
      <c r="AA156" s="86"/>
      <c r="AB156" s="86"/>
      <c r="AC156" s="197"/>
    </row>
    <row r="157" spans="1:29" x14ac:dyDescent="0.25">
      <c r="A157" s="85" t="s">
        <v>212</v>
      </c>
      <c r="B157" s="85">
        <v>1326143504</v>
      </c>
      <c r="C157" s="86">
        <v>3</v>
      </c>
      <c r="D157" s="86">
        <v>2017</v>
      </c>
      <c r="E157" s="197">
        <v>190043</v>
      </c>
      <c r="F157" s="87" t="s">
        <v>370</v>
      </c>
      <c r="G157" s="86">
        <v>3</v>
      </c>
      <c r="H157" s="86">
        <v>2021</v>
      </c>
      <c r="I157" s="197">
        <v>67038</v>
      </c>
      <c r="J157" s="87" t="s">
        <v>370</v>
      </c>
      <c r="K157" s="86">
        <v>3</v>
      </c>
      <c r="L157" s="86">
        <v>2022</v>
      </c>
      <c r="M157" s="197">
        <v>60970</v>
      </c>
      <c r="N157" s="87" t="s">
        <v>370</v>
      </c>
      <c r="O157" s="86"/>
      <c r="P157" s="86"/>
      <c r="Q157" s="197"/>
      <c r="R157" s="87" t="s">
        <v>370</v>
      </c>
      <c r="S157" s="86"/>
      <c r="T157" s="86"/>
      <c r="U157" s="197"/>
      <c r="V157" s="87" t="s">
        <v>370</v>
      </c>
      <c r="W157" s="86"/>
      <c r="X157" s="86"/>
      <c r="Y157" s="197"/>
      <c r="Z157" s="87" t="s">
        <v>370</v>
      </c>
      <c r="AA157" s="86"/>
      <c r="AB157" s="86"/>
      <c r="AC157" s="197"/>
    </row>
    <row r="158" spans="1:29" x14ac:dyDescent="0.25">
      <c r="A158" s="85" t="s">
        <v>454</v>
      </c>
      <c r="B158" s="85">
        <v>1578715504</v>
      </c>
      <c r="C158" s="86">
        <v>3</v>
      </c>
      <c r="D158" s="86">
        <v>2016</v>
      </c>
      <c r="E158" s="197">
        <v>199529</v>
      </c>
      <c r="F158" s="87" t="s">
        <v>370</v>
      </c>
      <c r="G158" s="86">
        <v>3</v>
      </c>
      <c r="H158" s="86">
        <v>2017</v>
      </c>
      <c r="I158" s="197">
        <v>138001</v>
      </c>
      <c r="J158" s="87" t="s">
        <v>370</v>
      </c>
      <c r="K158" s="86">
        <v>3</v>
      </c>
      <c r="L158" s="86">
        <v>2018</v>
      </c>
      <c r="M158" s="197">
        <v>501222</v>
      </c>
      <c r="N158" s="87" t="s">
        <v>370</v>
      </c>
      <c r="O158" s="86">
        <v>3</v>
      </c>
      <c r="P158" s="86">
        <v>2019</v>
      </c>
      <c r="Q158" s="197">
        <v>120618</v>
      </c>
      <c r="R158" s="87" t="s">
        <v>370</v>
      </c>
      <c r="S158" s="86">
        <v>3</v>
      </c>
      <c r="T158" s="86">
        <v>2021</v>
      </c>
      <c r="U158" s="197">
        <v>357305</v>
      </c>
      <c r="V158" s="87" t="s">
        <v>370</v>
      </c>
      <c r="W158" s="86">
        <v>3</v>
      </c>
      <c r="X158" s="86">
        <v>2022</v>
      </c>
      <c r="Y158" s="197">
        <v>263500</v>
      </c>
      <c r="Z158" s="87" t="s">
        <v>370</v>
      </c>
      <c r="AA158" s="86"/>
      <c r="AB158" s="86"/>
      <c r="AC158" s="197"/>
    </row>
    <row r="159" spans="1:29" x14ac:dyDescent="0.25">
      <c r="A159" s="85" t="s">
        <v>688</v>
      </c>
      <c r="B159" s="85">
        <v>1861513715</v>
      </c>
      <c r="C159" s="86">
        <v>3</v>
      </c>
      <c r="D159" s="86">
        <v>2016</v>
      </c>
      <c r="E159" s="197">
        <v>62568</v>
      </c>
      <c r="F159" s="87" t="s">
        <v>370</v>
      </c>
      <c r="G159" s="86">
        <v>3</v>
      </c>
      <c r="H159" s="86">
        <v>2019</v>
      </c>
      <c r="I159" s="197">
        <v>45941</v>
      </c>
      <c r="J159" s="87" t="s">
        <v>370</v>
      </c>
      <c r="K159" s="86">
        <v>3</v>
      </c>
      <c r="L159" s="86">
        <v>2020</v>
      </c>
      <c r="M159" s="197">
        <v>74488</v>
      </c>
      <c r="N159" s="87" t="s">
        <v>370</v>
      </c>
      <c r="O159" s="86">
        <v>3</v>
      </c>
      <c r="P159" s="86">
        <v>2021</v>
      </c>
      <c r="Q159" s="197">
        <v>491398</v>
      </c>
      <c r="R159" s="87" t="s">
        <v>370</v>
      </c>
      <c r="S159" s="86"/>
      <c r="T159" s="86"/>
      <c r="U159" s="197"/>
      <c r="V159" s="87" t="s">
        <v>370</v>
      </c>
      <c r="W159" s="86"/>
      <c r="X159" s="86"/>
      <c r="Y159" s="197"/>
      <c r="Z159" s="87" t="s">
        <v>370</v>
      </c>
      <c r="AA159" s="86"/>
      <c r="AB159" s="86"/>
      <c r="AC159" s="197"/>
    </row>
    <row r="160" spans="1:29" x14ac:dyDescent="0.25">
      <c r="A160" s="85" t="s">
        <v>455</v>
      </c>
      <c r="B160" s="85">
        <v>1376926519</v>
      </c>
      <c r="C160" s="86">
        <v>3</v>
      </c>
      <c r="D160" s="86">
        <v>2016</v>
      </c>
      <c r="E160" s="197">
        <v>763045</v>
      </c>
      <c r="F160" s="87" t="s">
        <v>370</v>
      </c>
      <c r="G160" s="86">
        <v>3</v>
      </c>
      <c r="H160" s="86">
        <v>2017</v>
      </c>
      <c r="I160" s="197">
        <v>281250</v>
      </c>
      <c r="J160" s="87" t="s">
        <v>370</v>
      </c>
      <c r="K160" s="86">
        <v>3</v>
      </c>
      <c r="L160" s="86">
        <v>2018</v>
      </c>
      <c r="M160" s="197">
        <v>77016</v>
      </c>
      <c r="N160" s="87" t="s">
        <v>370</v>
      </c>
      <c r="O160" s="86">
        <v>3</v>
      </c>
      <c r="P160" s="86">
        <v>2020</v>
      </c>
      <c r="Q160" s="197">
        <v>143517</v>
      </c>
      <c r="R160" s="87" t="s">
        <v>370</v>
      </c>
      <c r="S160" s="86">
        <v>3</v>
      </c>
      <c r="T160" s="86">
        <v>2022</v>
      </c>
      <c r="U160" s="197">
        <v>819244</v>
      </c>
      <c r="V160" s="87" t="s">
        <v>370</v>
      </c>
      <c r="W160" s="86"/>
      <c r="X160" s="86"/>
      <c r="Y160" s="197"/>
      <c r="Z160" s="87" t="s">
        <v>370</v>
      </c>
      <c r="AA160" s="86"/>
      <c r="AB160" s="86"/>
      <c r="AC160" s="197"/>
    </row>
    <row r="161" spans="1:29" x14ac:dyDescent="0.25">
      <c r="A161" s="88" t="s">
        <v>456</v>
      </c>
      <c r="B161" s="85">
        <v>1174149934</v>
      </c>
      <c r="C161" s="86">
        <v>3</v>
      </c>
      <c r="D161" s="86">
        <v>2021</v>
      </c>
      <c r="E161" s="197">
        <v>151802</v>
      </c>
      <c r="F161" s="87" t="s">
        <v>370</v>
      </c>
      <c r="G161" s="86"/>
      <c r="H161" s="86"/>
      <c r="I161" s="197"/>
      <c r="J161" s="87" t="s">
        <v>370</v>
      </c>
      <c r="K161" s="86"/>
      <c r="L161" s="86"/>
      <c r="M161" s="197"/>
      <c r="N161" s="87" t="s">
        <v>370</v>
      </c>
      <c r="O161" s="86"/>
      <c r="P161" s="86"/>
      <c r="Q161" s="197"/>
      <c r="R161" s="87" t="s">
        <v>370</v>
      </c>
      <c r="S161" s="86"/>
      <c r="T161" s="86"/>
      <c r="U161" s="197"/>
      <c r="V161" s="87" t="s">
        <v>370</v>
      </c>
      <c r="W161" s="86"/>
      <c r="X161" s="86"/>
      <c r="Y161" s="197"/>
      <c r="Z161" s="87" t="s">
        <v>370</v>
      </c>
      <c r="AA161" s="86"/>
      <c r="AB161" s="86"/>
      <c r="AC161" s="197"/>
    </row>
    <row r="162" spans="1:29" x14ac:dyDescent="0.25">
      <c r="A162" s="85" t="s">
        <v>457</v>
      </c>
      <c r="B162" s="85">
        <v>1699886085</v>
      </c>
      <c r="C162" s="86">
        <v>3</v>
      </c>
      <c r="D162" s="86">
        <v>2019</v>
      </c>
      <c r="E162" s="197">
        <v>126899</v>
      </c>
      <c r="F162" s="87" t="s">
        <v>370</v>
      </c>
      <c r="G162" s="86">
        <v>3</v>
      </c>
      <c r="H162" s="86">
        <v>2021</v>
      </c>
      <c r="I162" s="197">
        <v>112320</v>
      </c>
      <c r="J162" s="87" t="s">
        <v>370</v>
      </c>
      <c r="K162" s="86"/>
      <c r="L162" s="86"/>
      <c r="M162" s="197"/>
      <c r="N162" s="87" t="s">
        <v>370</v>
      </c>
      <c r="O162" s="86"/>
      <c r="P162" s="86"/>
      <c r="Q162" s="197"/>
      <c r="R162" s="87" t="s">
        <v>370</v>
      </c>
      <c r="S162" s="86"/>
      <c r="T162" s="86"/>
      <c r="U162" s="197"/>
      <c r="V162" s="87" t="s">
        <v>370</v>
      </c>
      <c r="W162" s="86"/>
      <c r="X162" s="86"/>
      <c r="Y162" s="197"/>
      <c r="Z162" s="87" t="s">
        <v>370</v>
      </c>
      <c r="AA162" s="86"/>
      <c r="AB162" s="86"/>
      <c r="AC162" s="197"/>
    </row>
    <row r="163" spans="1:29" x14ac:dyDescent="0.25">
      <c r="A163" s="85" t="s">
        <v>213</v>
      </c>
      <c r="B163" s="85">
        <v>1336142470</v>
      </c>
      <c r="C163" s="86"/>
      <c r="D163" s="86"/>
      <c r="E163" s="197"/>
      <c r="F163" s="87" t="s">
        <v>370</v>
      </c>
      <c r="G163" s="86"/>
      <c r="H163" s="86"/>
      <c r="I163" s="197"/>
      <c r="J163" s="87" t="s">
        <v>370</v>
      </c>
      <c r="K163" s="86"/>
      <c r="L163" s="86"/>
      <c r="M163" s="197"/>
      <c r="N163" s="87" t="s">
        <v>370</v>
      </c>
      <c r="O163" s="86"/>
      <c r="P163" s="86"/>
      <c r="Q163" s="197"/>
      <c r="R163" s="87" t="s">
        <v>370</v>
      </c>
      <c r="S163" s="86"/>
      <c r="T163" s="86"/>
      <c r="U163" s="197"/>
      <c r="V163" s="87" t="s">
        <v>370</v>
      </c>
      <c r="W163" s="86"/>
      <c r="X163" s="86"/>
      <c r="Y163" s="197"/>
      <c r="Z163" s="87" t="s">
        <v>370</v>
      </c>
      <c r="AA163" s="86"/>
      <c r="AB163" s="86"/>
      <c r="AC163" s="197"/>
    </row>
    <row r="164" spans="1:29" x14ac:dyDescent="0.25">
      <c r="A164" s="88" t="s">
        <v>790</v>
      </c>
      <c r="B164" s="85">
        <v>1639556806</v>
      </c>
      <c r="C164" s="86">
        <v>3</v>
      </c>
      <c r="D164" s="86">
        <v>2017</v>
      </c>
      <c r="E164" s="197">
        <v>238203</v>
      </c>
      <c r="F164" s="87" t="s">
        <v>370</v>
      </c>
      <c r="G164" s="86"/>
      <c r="H164" s="86"/>
      <c r="I164" s="197"/>
      <c r="J164" s="87" t="s">
        <v>370</v>
      </c>
      <c r="K164" s="86"/>
      <c r="L164" s="86"/>
      <c r="M164" s="197"/>
      <c r="N164" s="87" t="s">
        <v>370</v>
      </c>
      <c r="O164" s="86"/>
      <c r="P164" s="86"/>
      <c r="Q164" s="197"/>
      <c r="R164" s="87" t="s">
        <v>370</v>
      </c>
      <c r="S164" s="86"/>
      <c r="T164" s="86"/>
      <c r="U164" s="197"/>
      <c r="V164" s="87" t="s">
        <v>370</v>
      </c>
      <c r="W164" s="86"/>
      <c r="X164" s="86"/>
      <c r="Y164" s="197"/>
      <c r="Z164" s="87" t="s">
        <v>370</v>
      </c>
      <c r="AA164" s="86"/>
      <c r="AB164" s="86"/>
      <c r="AC164" s="197"/>
    </row>
    <row r="165" spans="1:29" x14ac:dyDescent="0.25">
      <c r="A165" s="85" t="s">
        <v>215</v>
      </c>
      <c r="B165" s="85">
        <v>1811984925</v>
      </c>
      <c r="C165" s="86"/>
      <c r="D165" s="86"/>
      <c r="E165" s="197"/>
      <c r="F165" s="87" t="s">
        <v>370</v>
      </c>
      <c r="G165" s="86"/>
      <c r="H165" s="86"/>
      <c r="I165" s="197"/>
      <c r="J165" s="87" t="s">
        <v>370</v>
      </c>
      <c r="K165" s="86"/>
      <c r="L165" s="86"/>
      <c r="M165" s="197"/>
      <c r="N165" s="87" t="s">
        <v>370</v>
      </c>
      <c r="O165" s="86"/>
      <c r="P165" s="86"/>
      <c r="Q165" s="197"/>
      <c r="R165" s="87" t="s">
        <v>370</v>
      </c>
      <c r="S165" s="86"/>
      <c r="T165" s="86"/>
      <c r="U165" s="197"/>
      <c r="V165" s="87" t="s">
        <v>370</v>
      </c>
      <c r="W165" s="86"/>
      <c r="X165" s="86"/>
      <c r="Y165" s="197"/>
      <c r="Z165" s="87" t="s">
        <v>370</v>
      </c>
      <c r="AA165" s="86"/>
      <c r="AB165" s="86"/>
      <c r="AC165" s="197"/>
    </row>
    <row r="166" spans="1:29" x14ac:dyDescent="0.25">
      <c r="A166" s="88" t="s">
        <v>216</v>
      </c>
      <c r="B166" s="85">
        <v>1104950765</v>
      </c>
      <c r="C166" s="86">
        <v>3</v>
      </c>
      <c r="D166" s="86">
        <v>2016</v>
      </c>
      <c r="E166" s="197">
        <v>83973</v>
      </c>
      <c r="F166" s="87" t="s">
        <v>370</v>
      </c>
      <c r="G166" s="86">
        <v>3</v>
      </c>
      <c r="H166" s="86">
        <v>2017</v>
      </c>
      <c r="I166" s="197">
        <v>119905</v>
      </c>
      <c r="J166" s="87" t="s">
        <v>370</v>
      </c>
      <c r="K166" s="86">
        <v>3</v>
      </c>
      <c r="L166" s="86">
        <v>2018</v>
      </c>
      <c r="M166" s="197">
        <v>138223</v>
      </c>
      <c r="N166" s="87" t="s">
        <v>370</v>
      </c>
      <c r="O166" s="86">
        <v>3</v>
      </c>
      <c r="P166" s="86">
        <v>2019</v>
      </c>
      <c r="Q166" s="197">
        <v>107112</v>
      </c>
      <c r="R166" s="87" t="s">
        <v>370</v>
      </c>
      <c r="S166" s="86">
        <v>3</v>
      </c>
      <c r="T166" s="86">
        <v>2020</v>
      </c>
      <c r="U166" s="197">
        <v>52876</v>
      </c>
      <c r="V166" s="87" t="s">
        <v>370</v>
      </c>
      <c r="W166" s="86">
        <v>3</v>
      </c>
      <c r="X166" s="86">
        <v>2021</v>
      </c>
      <c r="Y166" s="197">
        <v>73945</v>
      </c>
      <c r="Z166" s="87" t="s">
        <v>370</v>
      </c>
      <c r="AA166" s="86">
        <v>3</v>
      </c>
      <c r="AB166" s="86">
        <v>2022</v>
      </c>
      <c r="AC166" s="197">
        <v>209443</v>
      </c>
    </row>
    <row r="167" spans="1:29" x14ac:dyDescent="0.25">
      <c r="A167" s="85" t="s">
        <v>458</v>
      </c>
      <c r="B167" s="85">
        <v>1922611102</v>
      </c>
      <c r="C167" s="86">
        <v>3</v>
      </c>
      <c r="D167" s="86">
        <v>2021</v>
      </c>
      <c r="E167" s="197">
        <v>198167</v>
      </c>
      <c r="F167" s="87" t="s">
        <v>370</v>
      </c>
      <c r="G167" s="86"/>
      <c r="H167" s="86"/>
      <c r="I167" s="197"/>
      <c r="J167" s="87" t="s">
        <v>370</v>
      </c>
      <c r="K167" s="86"/>
      <c r="L167" s="86"/>
      <c r="M167" s="197"/>
      <c r="N167" s="87" t="s">
        <v>370</v>
      </c>
      <c r="O167" s="86"/>
      <c r="P167" s="86"/>
      <c r="Q167" s="197"/>
      <c r="R167" s="87" t="s">
        <v>370</v>
      </c>
      <c r="S167" s="86"/>
      <c r="T167" s="86"/>
      <c r="U167" s="197"/>
      <c r="V167" s="87" t="s">
        <v>370</v>
      </c>
      <c r="W167" s="86"/>
      <c r="X167" s="86"/>
      <c r="Y167" s="197"/>
      <c r="Z167" s="87" t="s">
        <v>370</v>
      </c>
      <c r="AA167" s="86"/>
      <c r="AB167" s="86"/>
      <c r="AC167" s="197"/>
    </row>
    <row r="168" spans="1:29" x14ac:dyDescent="0.25">
      <c r="A168" s="85" t="s">
        <v>217</v>
      </c>
      <c r="B168" s="85">
        <v>1689621880</v>
      </c>
      <c r="C168" s="86">
        <v>3</v>
      </c>
      <c r="D168" s="86">
        <v>2018</v>
      </c>
      <c r="E168" s="197">
        <v>159232</v>
      </c>
      <c r="F168" s="87" t="s">
        <v>370</v>
      </c>
      <c r="G168" s="86">
        <v>3</v>
      </c>
      <c r="H168" s="86">
        <v>2020</v>
      </c>
      <c r="I168" s="197">
        <v>65630</v>
      </c>
      <c r="J168" s="87" t="s">
        <v>370</v>
      </c>
      <c r="K168" s="86">
        <v>3</v>
      </c>
      <c r="L168" s="86">
        <v>2021</v>
      </c>
      <c r="M168" s="197">
        <v>99757</v>
      </c>
      <c r="N168" s="87" t="s">
        <v>370</v>
      </c>
      <c r="O168" s="86"/>
      <c r="P168" s="86"/>
      <c r="Q168" s="197"/>
      <c r="R168" s="87" t="s">
        <v>370</v>
      </c>
      <c r="S168" s="86"/>
      <c r="T168" s="86"/>
      <c r="U168" s="197"/>
      <c r="V168" s="87" t="s">
        <v>370</v>
      </c>
      <c r="W168" s="86"/>
      <c r="X168" s="86"/>
      <c r="Y168" s="197"/>
      <c r="Z168" s="87" t="s">
        <v>370</v>
      </c>
      <c r="AA168" s="86"/>
      <c r="AB168" s="86"/>
      <c r="AC168" s="197"/>
    </row>
    <row r="169" spans="1:29" x14ac:dyDescent="0.25">
      <c r="A169" s="88" t="s">
        <v>218</v>
      </c>
      <c r="B169" s="85">
        <v>1477137628</v>
      </c>
      <c r="C169" s="86">
        <v>3</v>
      </c>
      <c r="D169" s="86">
        <v>2017</v>
      </c>
      <c r="E169" s="197">
        <v>92785</v>
      </c>
      <c r="F169" s="87" t="s">
        <v>370</v>
      </c>
      <c r="G169" s="86">
        <v>3</v>
      </c>
      <c r="H169" s="86">
        <v>2018</v>
      </c>
      <c r="I169" s="197">
        <v>106692</v>
      </c>
      <c r="J169" s="87" t="s">
        <v>370</v>
      </c>
      <c r="K169" s="86">
        <v>3</v>
      </c>
      <c r="L169" s="86">
        <v>2019</v>
      </c>
      <c r="M169" s="197">
        <v>91070</v>
      </c>
      <c r="N169" s="87" t="s">
        <v>370</v>
      </c>
      <c r="O169" s="86">
        <v>3</v>
      </c>
      <c r="P169" s="86">
        <v>2021</v>
      </c>
      <c r="Q169" s="197">
        <v>72953</v>
      </c>
      <c r="R169" s="87" t="s">
        <v>370</v>
      </c>
      <c r="S169" s="86"/>
      <c r="T169" s="86"/>
      <c r="U169" s="197"/>
      <c r="V169" s="87" t="s">
        <v>370</v>
      </c>
      <c r="W169" s="86"/>
      <c r="X169" s="86"/>
      <c r="Y169" s="197"/>
      <c r="Z169" s="87" t="s">
        <v>370</v>
      </c>
      <c r="AA169" s="86"/>
      <c r="AB169" s="86"/>
      <c r="AC169" s="197"/>
    </row>
    <row r="170" spans="1:29" x14ac:dyDescent="0.25">
      <c r="A170" s="85" t="s">
        <v>219</v>
      </c>
      <c r="B170" s="85">
        <v>1932750841</v>
      </c>
      <c r="C170" s="86">
        <v>3</v>
      </c>
      <c r="D170" s="86">
        <v>2016</v>
      </c>
      <c r="E170" s="197">
        <v>554393</v>
      </c>
      <c r="F170" s="87" t="s">
        <v>370</v>
      </c>
      <c r="G170" s="86">
        <v>3</v>
      </c>
      <c r="H170" s="86">
        <v>2017</v>
      </c>
      <c r="I170" s="197">
        <v>573099</v>
      </c>
      <c r="J170" s="87" t="s">
        <v>370</v>
      </c>
      <c r="K170" s="86">
        <v>3</v>
      </c>
      <c r="L170" s="86">
        <v>2018</v>
      </c>
      <c r="M170" s="197">
        <v>1033310</v>
      </c>
      <c r="N170" s="87" t="s">
        <v>370</v>
      </c>
      <c r="O170" s="86">
        <v>3</v>
      </c>
      <c r="P170" s="86">
        <v>2019</v>
      </c>
      <c r="Q170" s="197">
        <v>716717</v>
      </c>
      <c r="R170" s="87" t="s">
        <v>370</v>
      </c>
      <c r="S170" s="86">
        <v>3</v>
      </c>
      <c r="T170" s="86">
        <v>2020</v>
      </c>
      <c r="U170" s="197">
        <v>272844</v>
      </c>
      <c r="V170" s="87" t="s">
        <v>370</v>
      </c>
      <c r="W170" s="86">
        <v>3</v>
      </c>
      <c r="X170" s="86">
        <v>2022</v>
      </c>
      <c r="Y170" s="197">
        <v>174365</v>
      </c>
      <c r="Z170" s="87" t="s">
        <v>370</v>
      </c>
      <c r="AA170" s="86"/>
      <c r="AB170" s="86"/>
      <c r="AC170" s="197"/>
    </row>
    <row r="171" spans="1:29" x14ac:dyDescent="0.25">
      <c r="A171" s="85" t="s">
        <v>220</v>
      </c>
      <c r="B171" s="85">
        <v>1760462196</v>
      </c>
      <c r="C171" s="86"/>
      <c r="D171" s="86"/>
      <c r="E171" s="197"/>
      <c r="F171" s="87" t="s">
        <v>370</v>
      </c>
      <c r="G171" s="86"/>
      <c r="H171" s="86"/>
      <c r="I171" s="197"/>
      <c r="J171" s="87" t="s">
        <v>370</v>
      </c>
      <c r="K171" s="86"/>
      <c r="L171" s="86"/>
      <c r="M171" s="197"/>
      <c r="N171" s="87" t="s">
        <v>370</v>
      </c>
      <c r="O171" s="86"/>
      <c r="P171" s="86"/>
      <c r="Q171" s="197"/>
      <c r="R171" s="87" t="s">
        <v>370</v>
      </c>
      <c r="S171" s="86"/>
      <c r="T171" s="86"/>
      <c r="U171" s="197"/>
      <c r="V171" s="87" t="s">
        <v>370</v>
      </c>
      <c r="W171" s="86"/>
      <c r="X171" s="86"/>
      <c r="Y171" s="197"/>
      <c r="Z171" s="87" t="s">
        <v>370</v>
      </c>
      <c r="AA171" s="86"/>
      <c r="AB171" s="86"/>
      <c r="AC171" s="197"/>
    </row>
    <row r="172" spans="1:29" x14ac:dyDescent="0.25">
      <c r="A172" s="88" t="s">
        <v>459</v>
      </c>
      <c r="B172" s="85">
        <v>1255367447</v>
      </c>
      <c r="C172" s="86">
        <v>3</v>
      </c>
      <c r="D172" s="86">
        <v>2016</v>
      </c>
      <c r="E172" s="197">
        <v>181076</v>
      </c>
      <c r="F172" s="87" t="s">
        <v>370</v>
      </c>
      <c r="G172" s="86">
        <v>3</v>
      </c>
      <c r="H172" s="86">
        <v>2017</v>
      </c>
      <c r="I172" s="197">
        <v>177219</v>
      </c>
      <c r="J172" s="87" t="s">
        <v>370</v>
      </c>
      <c r="K172" s="86">
        <v>3</v>
      </c>
      <c r="L172" s="86">
        <v>2019</v>
      </c>
      <c r="M172" s="197">
        <v>93820</v>
      </c>
      <c r="N172" s="87" t="s">
        <v>370</v>
      </c>
      <c r="O172" s="86">
        <v>3</v>
      </c>
      <c r="P172" s="86">
        <v>2021</v>
      </c>
      <c r="Q172" s="197">
        <v>95019</v>
      </c>
      <c r="R172" s="87" t="s">
        <v>370</v>
      </c>
      <c r="S172" s="86">
        <v>3</v>
      </c>
      <c r="T172" s="86">
        <v>2022</v>
      </c>
      <c r="U172" s="197">
        <v>812352</v>
      </c>
      <c r="V172" s="87" t="s">
        <v>370</v>
      </c>
      <c r="W172" s="86"/>
      <c r="X172" s="86"/>
      <c r="Y172" s="197"/>
      <c r="Z172" s="87" t="s">
        <v>370</v>
      </c>
      <c r="AA172" s="86"/>
      <c r="AB172" s="86"/>
      <c r="AC172" s="197"/>
    </row>
    <row r="173" spans="1:29" x14ac:dyDescent="0.25">
      <c r="A173" s="85" t="s">
        <v>221</v>
      </c>
      <c r="B173" s="85">
        <v>1053953844</v>
      </c>
      <c r="C173" s="86">
        <v>3</v>
      </c>
      <c r="D173" s="86">
        <v>2017</v>
      </c>
      <c r="E173" s="197">
        <v>66123</v>
      </c>
      <c r="F173" s="87" t="s">
        <v>370</v>
      </c>
      <c r="G173" s="86"/>
      <c r="H173" s="86"/>
      <c r="I173" s="197"/>
      <c r="J173" s="87" t="s">
        <v>370</v>
      </c>
      <c r="K173" s="86"/>
      <c r="L173" s="86"/>
      <c r="M173" s="197"/>
      <c r="N173" s="87" t="s">
        <v>370</v>
      </c>
      <c r="O173" s="86"/>
      <c r="P173" s="86"/>
      <c r="Q173" s="197"/>
      <c r="R173" s="87" t="s">
        <v>370</v>
      </c>
      <c r="S173" s="86"/>
      <c r="T173" s="86"/>
      <c r="U173" s="197"/>
      <c r="V173" s="87" t="s">
        <v>370</v>
      </c>
      <c r="W173" s="86"/>
      <c r="X173" s="86"/>
      <c r="Y173" s="197"/>
      <c r="Z173" s="87" t="s">
        <v>370</v>
      </c>
      <c r="AA173" s="86"/>
      <c r="AB173" s="86"/>
      <c r="AC173" s="197"/>
    </row>
    <row r="174" spans="1:29" x14ac:dyDescent="0.25">
      <c r="A174" s="93" t="s">
        <v>222</v>
      </c>
      <c r="B174" s="85">
        <v>1689777971</v>
      </c>
      <c r="C174" s="86">
        <v>3</v>
      </c>
      <c r="D174" s="86">
        <v>2016</v>
      </c>
      <c r="E174" s="197">
        <v>73663</v>
      </c>
      <c r="F174" s="87" t="s">
        <v>370</v>
      </c>
      <c r="G174" s="86">
        <v>3</v>
      </c>
      <c r="H174" s="86">
        <v>2017</v>
      </c>
      <c r="I174" s="197">
        <v>48006.46</v>
      </c>
      <c r="J174" s="87" t="s">
        <v>370</v>
      </c>
      <c r="K174" s="86">
        <v>3</v>
      </c>
      <c r="L174" s="86">
        <v>2020</v>
      </c>
      <c r="M174" s="197">
        <v>120392</v>
      </c>
      <c r="N174" s="87" t="s">
        <v>370</v>
      </c>
      <c r="O174" s="86">
        <v>3</v>
      </c>
      <c r="P174" s="86">
        <v>2021</v>
      </c>
      <c r="Q174" s="197">
        <v>209682</v>
      </c>
      <c r="R174" s="87" t="s">
        <v>370</v>
      </c>
      <c r="S174" s="86"/>
      <c r="T174" s="86"/>
      <c r="U174" s="197"/>
      <c r="V174" s="87" t="s">
        <v>370</v>
      </c>
      <c r="W174" s="86"/>
      <c r="X174" s="86"/>
      <c r="Y174" s="197"/>
      <c r="Z174" s="87" t="s">
        <v>370</v>
      </c>
      <c r="AA174" s="86"/>
      <c r="AB174" s="86"/>
      <c r="AC174" s="197"/>
    </row>
    <row r="175" spans="1:29" x14ac:dyDescent="0.25">
      <c r="A175" s="85" t="s">
        <v>460</v>
      </c>
      <c r="B175" s="85">
        <v>1972547321</v>
      </c>
      <c r="C175" s="86">
        <v>3</v>
      </c>
      <c r="D175" s="86">
        <v>2020</v>
      </c>
      <c r="E175" s="197">
        <v>1376961</v>
      </c>
      <c r="F175" s="87" t="s">
        <v>370</v>
      </c>
      <c r="G175" s="86">
        <v>3</v>
      </c>
      <c r="H175" s="86">
        <v>2021</v>
      </c>
      <c r="I175" s="197">
        <v>335076</v>
      </c>
      <c r="J175" s="87" t="s">
        <v>370</v>
      </c>
      <c r="K175" s="86">
        <v>3</v>
      </c>
      <c r="L175" s="86">
        <v>2022</v>
      </c>
      <c r="M175" s="197">
        <v>93492</v>
      </c>
      <c r="N175" s="87" t="s">
        <v>370</v>
      </c>
      <c r="O175" s="86"/>
      <c r="P175" s="86"/>
      <c r="Q175" s="197"/>
      <c r="R175" s="87" t="s">
        <v>370</v>
      </c>
      <c r="S175" s="86"/>
      <c r="T175" s="86"/>
      <c r="U175" s="197"/>
      <c r="V175" s="87" t="s">
        <v>370</v>
      </c>
      <c r="W175" s="86"/>
      <c r="X175" s="86"/>
      <c r="Y175" s="197"/>
      <c r="Z175" s="87" t="s">
        <v>370</v>
      </c>
      <c r="AA175" s="86"/>
      <c r="AB175" s="86"/>
      <c r="AC175" s="197"/>
    </row>
    <row r="176" spans="1:29" x14ac:dyDescent="0.25">
      <c r="A176" s="88" t="s">
        <v>223</v>
      </c>
      <c r="B176" s="85">
        <v>1134298615</v>
      </c>
      <c r="C176" s="86"/>
      <c r="D176" s="86"/>
      <c r="E176" s="197"/>
      <c r="F176" s="87" t="s">
        <v>370</v>
      </c>
      <c r="G176" s="86"/>
      <c r="H176" s="86"/>
      <c r="I176" s="197"/>
      <c r="J176" s="87" t="s">
        <v>370</v>
      </c>
      <c r="K176" s="86"/>
      <c r="L176" s="86"/>
      <c r="M176" s="197"/>
      <c r="N176" s="87" t="s">
        <v>370</v>
      </c>
      <c r="O176" s="86"/>
      <c r="P176" s="86"/>
      <c r="Q176" s="197"/>
      <c r="R176" s="87" t="s">
        <v>370</v>
      </c>
      <c r="S176" s="86"/>
      <c r="T176" s="86"/>
      <c r="U176" s="197"/>
      <c r="V176" s="87" t="s">
        <v>370</v>
      </c>
      <c r="W176" s="86"/>
      <c r="X176" s="86"/>
      <c r="Y176" s="197"/>
      <c r="Z176" s="87" t="s">
        <v>370</v>
      </c>
      <c r="AA176" s="86"/>
      <c r="AB176" s="86"/>
      <c r="AC176" s="197"/>
    </row>
    <row r="177" spans="1:29" x14ac:dyDescent="0.25">
      <c r="A177" s="85" t="s">
        <v>224</v>
      </c>
      <c r="B177" s="85">
        <v>1548206907</v>
      </c>
      <c r="C177" s="86">
        <v>3</v>
      </c>
      <c r="D177" s="86">
        <v>2017</v>
      </c>
      <c r="E177" s="197">
        <v>2419325</v>
      </c>
      <c r="F177" s="87" t="s">
        <v>370</v>
      </c>
      <c r="G177" s="86">
        <v>3</v>
      </c>
      <c r="H177" s="86">
        <v>2018</v>
      </c>
      <c r="I177" s="197">
        <v>288424</v>
      </c>
      <c r="J177" s="87" t="s">
        <v>370</v>
      </c>
      <c r="K177" s="86">
        <v>3</v>
      </c>
      <c r="L177" s="86">
        <v>2019</v>
      </c>
      <c r="M177" s="197">
        <v>114774</v>
      </c>
      <c r="N177" s="87" t="s">
        <v>370</v>
      </c>
      <c r="O177" s="86">
        <v>3</v>
      </c>
      <c r="P177" s="86">
        <v>2022</v>
      </c>
      <c r="Q177" s="197">
        <v>458537</v>
      </c>
      <c r="R177" s="87" t="s">
        <v>370</v>
      </c>
      <c r="S177" s="86"/>
      <c r="T177" s="86"/>
      <c r="U177" s="197"/>
      <c r="V177" s="87" t="s">
        <v>370</v>
      </c>
      <c r="W177" s="86"/>
      <c r="X177" s="86"/>
      <c r="Y177" s="197"/>
      <c r="Z177" s="87" t="s">
        <v>370</v>
      </c>
      <c r="AA177" s="86"/>
      <c r="AB177" s="86"/>
      <c r="AC177" s="197"/>
    </row>
    <row r="178" spans="1:29" x14ac:dyDescent="0.25">
      <c r="A178" s="85" t="s">
        <v>225</v>
      </c>
      <c r="B178" s="85">
        <v>1295704849</v>
      </c>
      <c r="C178" s="86">
        <v>3</v>
      </c>
      <c r="D178" s="86">
        <v>2019</v>
      </c>
      <c r="E178" s="197">
        <v>135600</v>
      </c>
      <c r="F178" s="87" t="s">
        <v>370</v>
      </c>
      <c r="G178" s="86"/>
      <c r="H178" s="86"/>
      <c r="I178" s="197"/>
      <c r="J178" s="87" t="s">
        <v>370</v>
      </c>
      <c r="K178" s="86"/>
      <c r="L178" s="86"/>
      <c r="M178" s="197"/>
      <c r="N178" s="87" t="s">
        <v>370</v>
      </c>
      <c r="O178" s="86"/>
      <c r="P178" s="86"/>
      <c r="Q178" s="197"/>
      <c r="R178" s="87" t="s">
        <v>370</v>
      </c>
      <c r="S178" s="86"/>
      <c r="T178" s="86"/>
      <c r="U178" s="197"/>
      <c r="V178" s="87" t="s">
        <v>370</v>
      </c>
      <c r="W178" s="86"/>
      <c r="X178" s="86"/>
      <c r="Y178" s="197"/>
      <c r="Z178" s="87" t="s">
        <v>370</v>
      </c>
      <c r="AA178" s="86"/>
      <c r="AB178" s="86"/>
      <c r="AC178" s="197"/>
    </row>
    <row r="179" spans="1:29" x14ac:dyDescent="0.25">
      <c r="A179" s="94" t="s">
        <v>461</v>
      </c>
      <c r="B179" s="95">
        <v>1386688703</v>
      </c>
      <c r="C179" s="86"/>
      <c r="D179" s="86"/>
      <c r="E179" s="197"/>
      <c r="F179" s="92" t="s">
        <v>370</v>
      </c>
      <c r="G179" s="86"/>
      <c r="H179" s="86"/>
      <c r="I179" s="197"/>
      <c r="J179" s="92" t="s">
        <v>370</v>
      </c>
      <c r="K179" s="86"/>
      <c r="L179" s="86"/>
      <c r="M179" s="197"/>
      <c r="N179" s="92" t="s">
        <v>370</v>
      </c>
      <c r="O179" s="86"/>
      <c r="P179" s="86"/>
      <c r="Q179" s="197"/>
      <c r="R179" s="92" t="s">
        <v>370</v>
      </c>
      <c r="S179" s="86"/>
      <c r="T179" s="86"/>
      <c r="U179" s="197"/>
      <c r="V179" s="87" t="s">
        <v>370</v>
      </c>
      <c r="W179" s="86"/>
      <c r="X179" s="86"/>
      <c r="Y179" s="197"/>
      <c r="Z179" s="87" t="s">
        <v>370</v>
      </c>
      <c r="AA179" s="86"/>
      <c r="AB179" s="86"/>
      <c r="AC179" s="197"/>
    </row>
    <row r="180" spans="1:29" x14ac:dyDescent="0.25">
      <c r="A180" s="88" t="s">
        <v>226</v>
      </c>
      <c r="B180" s="85">
        <v>1083298236</v>
      </c>
      <c r="C180" s="86">
        <v>3</v>
      </c>
      <c r="D180" s="86">
        <v>2016</v>
      </c>
      <c r="E180" s="197">
        <v>57274</v>
      </c>
      <c r="F180" s="87" t="s">
        <v>370</v>
      </c>
      <c r="G180" s="86">
        <v>3</v>
      </c>
      <c r="H180" s="86">
        <v>2017</v>
      </c>
      <c r="I180" s="197">
        <v>127930</v>
      </c>
      <c r="J180" s="87" t="s">
        <v>370</v>
      </c>
      <c r="K180" s="86">
        <v>3</v>
      </c>
      <c r="L180" s="86">
        <v>2018</v>
      </c>
      <c r="M180" s="197">
        <v>119646</v>
      </c>
      <c r="N180" s="87" t="s">
        <v>370</v>
      </c>
      <c r="O180" s="86">
        <v>3</v>
      </c>
      <c r="P180" s="86">
        <v>2019</v>
      </c>
      <c r="Q180" s="197">
        <v>128625</v>
      </c>
      <c r="R180" s="87" t="s">
        <v>370</v>
      </c>
      <c r="S180" s="86">
        <v>3</v>
      </c>
      <c r="T180" s="86">
        <v>2020</v>
      </c>
      <c r="U180" s="197">
        <v>234686</v>
      </c>
      <c r="V180" s="87" t="s">
        <v>370</v>
      </c>
      <c r="W180" s="86">
        <v>3</v>
      </c>
      <c r="X180" s="86">
        <v>2021</v>
      </c>
      <c r="Y180" s="197">
        <v>240173</v>
      </c>
      <c r="Z180" s="87" t="s">
        <v>370</v>
      </c>
      <c r="AA180" s="86"/>
      <c r="AB180" s="86"/>
      <c r="AC180" s="197"/>
    </row>
    <row r="181" spans="1:29" x14ac:dyDescent="0.25">
      <c r="A181" s="85" t="s">
        <v>227</v>
      </c>
      <c r="B181" s="85">
        <v>1538113014</v>
      </c>
      <c r="C181" s="86">
        <v>3</v>
      </c>
      <c r="D181" s="86">
        <v>2019</v>
      </c>
      <c r="E181" s="197">
        <v>371256</v>
      </c>
      <c r="F181" s="87" t="s">
        <v>370</v>
      </c>
      <c r="G181" s="86">
        <v>3</v>
      </c>
      <c r="H181" s="86">
        <v>2020</v>
      </c>
      <c r="I181" s="197">
        <v>226924</v>
      </c>
      <c r="J181" s="87" t="s">
        <v>370</v>
      </c>
      <c r="K181" s="86">
        <v>3</v>
      </c>
      <c r="L181" s="86">
        <v>2021</v>
      </c>
      <c r="M181" s="197">
        <v>73247</v>
      </c>
      <c r="N181" s="87" t="s">
        <v>370</v>
      </c>
      <c r="O181" s="86">
        <v>3</v>
      </c>
      <c r="P181" s="86">
        <v>2022</v>
      </c>
      <c r="Q181" s="197">
        <v>179762</v>
      </c>
      <c r="R181" s="87" t="s">
        <v>370</v>
      </c>
      <c r="S181" s="86"/>
      <c r="T181" s="86"/>
      <c r="U181" s="197"/>
      <c r="V181" s="87" t="s">
        <v>370</v>
      </c>
      <c r="W181" s="86"/>
      <c r="X181" s="86"/>
      <c r="Y181" s="197"/>
      <c r="Z181" s="87" t="s">
        <v>370</v>
      </c>
      <c r="AA181" s="86"/>
      <c r="AB181" s="86"/>
      <c r="AC181" s="197"/>
    </row>
    <row r="182" spans="1:29" x14ac:dyDescent="0.25">
      <c r="A182" s="88" t="s">
        <v>228</v>
      </c>
      <c r="B182" s="85">
        <v>1164476636</v>
      </c>
      <c r="C182" s="86">
        <v>3</v>
      </c>
      <c r="D182" s="86">
        <v>2019</v>
      </c>
      <c r="E182" s="197">
        <v>281571</v>
      </c>
      <c r="F182" s="87" t="s">
        <v>370</v>
      </c>
      <c r="G182" s="86">
        <v>3</v>
      </c>
      <c r="H182" s="86">
        <v>2020</v>
      </c>
      <c r="I182" s="197">
        <v>75369</v>
      </c>
      <c r="J182" s="87" t="s">
        <v>370</v>
      </c>
      <c r="K182" s="86">
        <v>3</v>
      </c>
      <c r="L182" s="86">
        <v>2021</v>
      </c>
      <c r="M182" s="197">
        <v>90058</v>
      </c>
      <c r="N182" s="87" t="s">
        <v>370</v>
      </c>
      <c r="O182" s="86">
        <v>3</v>
      </c>
      <c r="P182" s="86">
        <v>2022</v>
      </c>
      <c r="Q182" s="197">
        <v>86455</v>
      </c>
      <c r="R182" s="87" t="s">
        <v>370</v>
      </c>
      <c r="S182" s="86"/>
      <c r="T182" s="86"/>
      <c r="U182" s="197"/>
      <c r="V182" s="87" t="s">
        <v>370</v>
      </c>
      <c r="W182" s="86"/>
      <c r="X182" s="86"/>
      <c r="Y182" s="197"/>
      <c r="Z182" s="87" t="s">
        <v>370</v>
      </c>
      <c r="AA182" s="86"/>
      <c r="AB182" s="86"/>
      <c r="AC182" s="197"/>
    </row>
    <row r="183" spans="1:29" x14ac:dyDescent="0.25">
      <c r="A183" s="85" t="s">
        <v>229</v>
      </c>
      <c r="B183" s="85">
        <v>1669425401</v>
      </c>
      <c r="C183" s="86">
        <v>3</v>
      </c>
      <c r="D183" s="86">
        <v>2019</v>
      </c>
      <c r="E183" s="197">
        <v>125570</v>
      </c>
      <c r="F183" s="87" t="s">
        <v>370</v>
      </c>
      <c r="G183" s="86">
        <v>3</v>
      </c>
      <c r="H183" s="86">
        <v>2021</v>
      </c>
      <c r="I183" s="197">
        <v>59811</v>
      </c>
      <c r="J183" s="87" t="s">
        <v>370</v>
      </c>
      <c r="K183" s="86">
        <v>3</v>
      </c>
      <c r="L183" s="86">
        <v>2022</v>
      </c>
      <c r="M183" s="197">
        <v>85378</v>
      </c>
      <c r="N183" s="87" t="s">
        <v>370</v>
      </c>
      <c r="O183" s="86"/>
      <c r="P183" s="86"/>
      <c r="Q183" s="197"/>
      <c r="R183" s="87" t="s">
        <v>370</v>
      </c>
      <c r="S183" s="86"/>
      <c r="T183" s="86"/>
      <c r="U183" s="197"/>
      <c r="V183" s="87" t="s">
        <v>370</v>
      </c>
      <c r="W183" s="86"/>
      <c r="X183" s="86"/>
      <c r="Y183" s="197"/>
      <c r="Z183" s="87" t="s">
        <v>370</v>
      </c>
      <c r="AA183" s="86"/>
      <c r="AB183" s="86"/>
      <c r="AC183" s="197"/>
    </row>
    <row r="184" spans="1:29" x14ac:dyDescent="0.25">
      <c r="A184" s="85" t="s">
        <v>230</v>
      </c>
      <c r="B184" s="85">
        <v>1861446338</v>
      </c>
      <c r="C184" s="86">
        <v>3</v>
      </c>
      <c r="D184" s="86">
        <v>2019</v>
      </c>
      <c r="E184" s="197">
        <v>158689</v>
      </c>
      <c r="F184" s="87" t="s">
        <v>370</v>
      </c>
      <c r="G184" s="86">
        <v>3</v>
      </c>
      <c r="H184" s="86">
        <v>2022</v>
      </c>
      <c r="I184" s="197">
        <v>77327</v>
      </c>
      <c r="J184" s="87" t="s">
        <v>370</v>
      </c>
      <c r="K184" s="86"/>
      <c r="L184" s="86"/>
      <c r="M184" s="197"/>
      <c r="N184" s="87" t="s">
        <v>370</v>
      </c>
      <c r="O184" s="86"/>
      <c r="P184" s="86"/>
      <c r="Q184" s="197"/>
      <c r="R184" s="87" t="s">
        <v>370</v>
      </c>
      <c r="S184" s="86"/>
      <c r="T184" s="86"/>
      <c r="U184" s="197"/>
      <c r="V184" s="87" t="s">
        <v>370</v>
      </c>
      <c r="W184" s="86"/>
      <c r="X184" s="86"/>
      <c r="Y184" s="197"/>
      <c r="Z184" s="87" t="s">
        <v>370</v>
      </c>
      <c r="AA184" s="86"/>
      <c r="AB184" s="86"/>
      <c r="AC184" s="197"/>
    </row>
    <row r="185" spans="1:29" x14ac:dyDescent="0.25">
      <c r="A185" s="85" t="s">
        <v>231</v>
      </c>
      <c r="B185" s="85">
        <v>1407800972</v>
      </c>
      <c r="C185" s="86">
        <v>3</v>
      </c>
      <c r="D185" s="86">
        <v>2019</v>
      </c>
      <c r="E185" s="197">
        <v>227005</v>
      </c>
      <c r="F185" s="87" t="s">
        <v>370</v>
      </c>
      <c r="G185" s="86">
        <v>3</v>
      </c>
      <c r="H185" s="86">
        <v>2021</v>
      </c>
      <c r="I185" s="197">
        <v>279840</v>
      </c>
      <c r="J185" s="87" t="s">
        <v>370</v>
      </c>
      <c r="K185" s="86"/>
      <c r="L185" s="86"/>
      <c r="M185" s="197"/>
      <c r="N185" s="87" t="s">
        <v>370</v>
      </c>
      <c r="O185" s="86"/>
      <c r="P185" s="86"/>
      <c r="Q185" s="197"/>
      <c r="R185" s="87" t="s">
        <v>370</v>
      </c>
      <c r="S185" s="86"/>
      <c r="T185" s="86"/>
      <c r="U185" s="197"/>
      <c r="V185" s="87" t="s">
        <v>370</v>
      </c>
      <c r="W185" s="86"/>
      <c r="X185" s="86"/>
      <c r="Y185" s="197"/>
      <c r="Z185" s="87" t="s">
        <v>370</v>
      </c>
      <c r="AA185" s="86"/>
      <c r="AB185" s="86"/>
      <c r="AC185" s="197"/>
    </row>
    <row r="186" spans="1:29" x14ac:dyDescent="0.25">
      <c r="A186" s="92" t="s">
        <v>232</v>
      </c>
      <c r="B186" s="85">
        <v>1326089616</v>
      </c>
      <c r="C186" s="86">
        <v>3</v>
      </c>
      <c r="D186" s="86">
        <v>2017</v>
      </c>
      <c r="E186" s="197">
        <v>540211</v>
      </c>
      <c r="F186" s="87" t="s">
        <v>370</v>
      </c>
      <c r="G186" s="86">
        <v>3</v>
      </c>
      <c r="H186" s="86">
        <v>2019</v>
      </c>
      <c r="I186" s="197">
        <v>91150</v>
      </c>
      <c r="J186" s="87" t="s">
        <v>370</v>
      </c>
      <c r="K186" s="86">
        <v>2</v>
      </c>
      <c r="L186" s="86">
        <v>2021</v>
      </c>
      <c r="M186" s="197">
        <v>32</v>
      </c>
      <c r="N186" s="87" t="s">
        <v>370</v>
      </c>
      <c r="O186" s="86">
        <v>3</v>
      </c>
      <c r="P186" s="86">
        <v>2021</v>
      </c>
      <c r="Q186" s="197">
        <v>119228</v>
      </c>
      <c r="R186" s="87" t="s">
        <v>370</v>
      </c>
      <c r="S186" s="86">
        <v>3</v>
      </c>
      <c r="T186" s="86">
        <v>2022</v>
      </c>
      <c r="U186" s="197">
        <v>215715</v>
      </c>
      <c r="V186" s="87" t="s">
        <v>370</v>
      </c>
      <c r="W186" s="86"/>
      <c r="X186" s="86"/>
      <c r="Y186" s="197"/>
      <c r="Z186" s="87" t="s">
        <v>370</v>
      </c>
      <c r="AA186" s="86"/>
      <c r="AB186" s="86"/>
      <c r="AC186" s="197"/>
    </row>
    <row r="187" spans="1:29" x14ac:dyDescent="0.25">
      <c r="A187" s="88" t="s">
        <v>233</v>
      </c>
      <c r="B187" s="85">
        <v>1548770423</v>
      </c>
      <c r="C187" s="86">
        <v>3</v>
      </c>
      <c r="D187" s="86">
        <v>2018</v>
      </c>
      <c r="E187" s="197">
        <v>91475</v>
      </c>
      <c r="F187" s="87" t="s">
        <v>370</v>
      </c>
      <c r="G187" s="86">
        <v>3</v>
      </c>
      <c r="H187" s="86">
        <v>2019</v>
      </c>
      <c r="I187" s="197">
        <v>261699</v>
      </c>
      <c r="J187" s="87" t="s">
        <v>370</v>
      </c>
      <c r="K187" s="86">
        <v>3</v>
      </c>
      <c r="L187" s="86">
        <v>2020</v>
      </c>
      <c r="M187" s="197">
        <v>136592</v>
      </c>
      <c r="N187" s="87" t="s">
        <v>370</v>
      </c>
      <c r="O187" s="86">
        <v>3</v>
      </c>
      <c r="P187" s="86">
        <v>2021</v>
      </c>
      <c r="Q187" s="197">
        <v>263435</v>
      </c>
      <c r="R187" s="87" t="s">
        <v>370</v>
      </c>
      <c r="S187" s="86"/>
      <c r="T187" s="86"/>
      <c r="U187" s="197"/>
      <c r="V187" s="87" t="s">
        <v>370</v>
      </c>
      <c r="W187" s="86"/>
      <c r="X187" s="86"/>
      <c r="Y187" s="197"/>
      <c r="Z187" s="87" t="s">
        <v>370</v>
      </c>
      <c r="AA187" s="86"/>
      <c r="AB187" s="86"/>
      <c r="AC187" s="197"/>
    </row>
    <row r="188" spans="1:29" x14ac:dyDescent="0.25">
      <c r="A188" s="88" t="s">
        <v>234</v>
      </c>
      <c r="B188" s="85">
        <v>1629535455</v>
      </c>
      <c r="C188" s="86">
        <v>2</v>
      </c>
      <c r="D188" s="86">
        <v>2017</v>
      </c>
      <c r="E188" s="197">
        <v>92</v>
      </c>
      <c r="F188" s="87" t="s">
        <v>370</v>
      </c>
      <c r="G188" s="86">
        <v>3</v>
      </c>
      <c r="H188" s="86">
        <v>2020</v>
      </c>
      <c r="I188" s="197">
        <v>157736</v>
      </c>
      <c r="J188" s="87" t="s">
        <v>370</v>
      </c>
      <c r="K188" s="86"/>
      <c r="L188" s="86"/>
      <c r="M188" s="197"/>
      <c r="N188" s="87" t="s">
        <v>370</v>
      </c>
      <c r="O188" s="86"/>
      <c r="P188" s="86"/>
      <c r="Q188" s="197"/>
      <c r="R188" s="87" t="s">
        <v>370</v>
      </c>
      <c r="S188" s="86"/>
      <c r="T188" s="86"/>
      <c r="U188" s="197"/>
      <c r="V188" s="87" t="s">
        <v>370</v>
      </c>
      <c r="W188" s="86"/>
      <c r="X188" s="86"/>
      <c r="Y188" s="197"/>
      <c r="Z188" s="87" t="s">
        <v>370</v>
      </c>
      <c r="AA188" s="86"/>
      <c r="AB188" s="86"/>
      <c r="AC188" s="197"/>
    </row>
    <row r="189" spans="1:29" x14ac:dyDescent="0.25">
      <c r="A189" s="85" t="s">
        <v>235</v>
      </c>
      <c r="B189" s="85">
        <v>1104471531</v>
      </c>
      <c r="C189" s="86">
        <v>3</v>
      </c>
      <c r="D189" s="86">
        <v>2020</v>
      </c>
      <c r="E189" s="197">
        <v>97275</v>
      </c>
      <c r="F189" s="87" t="s">
        <v>370</v>
      </c>
      <c r="G189" s="86">
        <v>3</v>
      </c>
      <c r="H189" s="86">
        <v>2021</v>
      </c>
      <c r="I189" s="197">
        <v>108509</v>
      </c>
      <c r="J189" s="87" t="s">
        <v>370</v>
      </c>
      <c r="K189" s="86"/>
      <c r="L189" s="86"/>
      <c r="M189" s="197"/>
      <c r="N189" s="87" t="s">
        <v>370</v>
      </c>
      <c r="O189" s="86"/>
      <c r="P189" s="86"/>
      <c r="Q189" s="197"/>
      <c r="R189" s="87" t="s">
        <v>370</v>
      </c>
      <c r="S189" s="86"/>
      <c r="T189" s="86"/>
      <c r="U189" s="197"/>
      <c r="V189" s="87" t="s">
        <v>370</v>
      </c>
      <c r="W189" s="86"/>
      <c r="X189" s="86"/>
      <c r="Y189" s="197"/>
      <c r="Z189" s="87" t="s">
        <v>370</v>
      </c>
      <c r="AA189" s="86"/>
      <c r="AB189" s="86"/>
      <c r="AC189" s="197"/>
    </row>
    <row r="190" spans="1:29" x14ac:dyDescent="0.25">
      <c r="A190" s="88" t="s">
        <v>236</v>
      </c>
      <c r="B190" s="85">
        <v>1588219828</v>
      </c>
      <c r="C190" s="86">
        <v>3</v>
      </c>
      <c r="D190" s="86">
        <v>2019</v>
      </c>
      <c r="E190" s="197">
        <v>64300</v>
      </c>
      <c r="F190" s="87" t="s">
        <v>370</v>
      </c>
      <c r="G190" s="86">
        <v>3</v>
      </c>
      <c r="H190" s="86">
        <v>2020</v>
      </c>
      <c r="I190" s="197">
        <v>68991</v>
      </c>
      <c r="J190" s="87" t="s">
        <v>370</v>
      </c>
      <c r="K190" s="86">
        <v>3</v>
      </c>
      <c r="L190" s="86">
        <v>2021</v>
      </c>
      <c r="M190" s="197">
        <v>201121</v>
      </c>
      <c r="N190" s="87" t="s">
        <v>370</v>
      </c>
      <c r="O190" s="86">
        <v>3</v>
      </c>
      <c r="P190" s="86">
        <v>2022</v>
      </c>
      <c r="Q190" s="197">
        <v>82588</v>
      </c>
      <c r="R190" s="87" t="s">
        <v>370</v>
      </c>
      <c r="S190" s="86"/>
      <c r="T190" s="86"/>
      <c r="U190" s="197"/>
      <c r="V190" s="87" t="s">
        <v>370</v>
      </c>
      <c r="W190" s="86"/>
      <c r="X190" s="86"/>
      <c r="Y190" s="197"/>
      <c r="Z190" s="87" t="s">
        <v>370</v>
      </c>
      <c r="AA190" s="86"/>
      <c r="AB190" s="86"/>
      <c r="AC190" s="197"/>
    </row>
    <row r="191" spans="1:29" x14ac:dyDescent="0.25">
      <c r="A191" s="85" t="s">
        <v>237</v>
      </c>
      <c r="B191" s="85">
        <v>1043865538</v>
      </c>
      <c r="C191" s="86">
        <v>3</v>
      </c>
      <c r="D191" s="86">
        <v>2017</v>
      </c>
      <c r="E191" s="197">
        <v>46500</v>
      </c>
      <c r="F191" s="87" t="s">
        <v>370</v>
      </c>
      <c r="G191" s="86">
        <v>2</v>
      </c>
      <c r="H191" s="86">
        <v>2018</v>
      </c>
      <c r="I191" s="197">
        <v>16</v>
      </c>
      <c r="J191" s="87" t="s">
        <v>370</v>
      </c>
      <c r="K191" s="86">
        <v>3</v>
      </c>
      <c r="L191" s="86">
        <v>2018</v>
      </c>
      <c r="M191" s="197">
        <v>47563</v>
      </c>
      <c r="N191" s="87" t="s">
        <v>370</v>
      </c>
      <c r="O191" s="86">
        <v>3</v>
      </c>
      <c r="P191" s="86">
        <v>2019</v>
      </c>
      <c r="Q191" s="197">
        <v>62920</v>
      </c>
      <c r="R191" s="87" t="s">
        <v>370</v>
      </c>
      <c r="S191" s="86">
        <v>3</v>
      </c>
      <c r="T191" s="86">
        <v>2020</v>
      </c>
      <c r="U191" s="197">
        <v>55343</v>
      </c>
      <c r="V191" s="87" t="s">
        <v>370</v>
      </c>
      <c r="W191" s="86" t="s">
        <v>795</v>
      </c>
      <c r="X191" s="86" t="s">
        <v>795</v>
      </c>
      <c r="Y191" s="197" t="s">
        <v>795</v>
      </c>
      <c r="Z191" s="87" t="s">
        <v>370</v>
      </c>
      <c r="AA191" s="86"/>
      <c r="AB191" s="86"/>
      <c r="AC191" s="197"/>
    </row>
    <row r="192" spans="1:29" x14ac:dyDescent="0.25">
      <c r="A192" s="85" t="s">
        <v>238</v>
      </c>
      <c r="B192" s="85">
        <v>1467007856</v>
      </c>
      <c r="C192" s="86">
        <v>3</v>
      </c>
      <c r="D192" s="86">
        <v>2019</v>
      </c>
      <c r="E192" s="197">
        <v>102123</v>
      </c>
      <c r="F192" s="87" t="s">
        <v>370</v>
      </c>
      <c r="G192" s="86">
        <v>3</v>
      </c>
      <c r="H192" s="86">
        <v>2020</v>
      </c>
      <c r="I192" s="197">
        <v>147727</v>
      </c>
      <c r="J192" s="87" t="s">
        <v>370</v>
      </c>
      <c r="K192" s="86">
        <v>3</v>
      </c>
      <c r="L192" s="86">
        <v>2021</v>
      </c>
      <c r="M192" s="197">
        <v>240238</v>
      </c>
      <c r="N192" s="87" t="s">
        <v>370</v>
      </c>
      <c r="O192" s="86"/>
      <c r="P192" s="86"/>
      <c r="Q192" s="197"/>
      <c r="R192" s="87" t="s">
        <v>370</v>
      </c>
      <c r="S192" s="86"/>
      <c r="T192" s="86"/>
      <c r="U192" s="197"/>
      <c r="V192" s="87" t="s">
        <v>370</v>
      </c>
      <c r="W192" s="86"/>
      <c r="X192" s="86"/>
      <c r="Y192" s="197"/>
      <c r="Z192" s="87" t="s">
        <v>370</v>
      </c>
      <c r="AA192" s="86"/>
      <c r="AB192" s="86"/>
      <c r="AC192" s="197"/>
    </row>
    <row r="193" spans="1:29" x14ac:dyDescent="0.25">
      <c r="A193" s="85" t="s">
        <v>791</v>
      </c>
      <c r="B193" s="85">
        <v>1881993079</v>
      </c>
      <c r="C193" s="86">
        <v>3</v>
      </c>
      <c r="D193" s="86">
        <v>2016</v>
      </c>
      <c r="E193" s="197">
        <v>718425</v>
      </c>
      <c r="F193" s="87" t="s">
        <v>370</v>
      </c>
      <c r="G193" s="86">
        <v>1</v>
      </c>
      <c r="H193" s="86">
        <v>2019</v>
      </c>
      <c r="I193" s="197">
        <v>-20</v>
      </c>
      <c r="J193" s="87" t="s">
        <v>370</v>
      </c>
      <c r="K193" s="86">
        <v>3</v>
      </c>
      <c r="L193" s="86">
        <v>2019</v>
      </c>
      <c r="M193" s="197">
        <v>369397</v>
      </c>
      <c r="N193" s="87" t="s">
        <v>370</v>
      </c>
      <c r="O193" s="86">
        <v>3</v>
      </c>
      <c r="P193" s="86">
        <v>2020</v>
      </c>
      <c r="Q193" s="197">
        <v>89840</v>
      </c>
      <c r="R193" s="87" t="s">
        <v>370</v>
      </c>
      <c r="S193" s="86">
        <v>3</v>
      </c>
      <c r="T193" s="86">
        <v>2021</v>
      </c>
      <c r="U193" s="197">
        <v>105778</v>
      </c>
      <c r="V193" s="87" t="s">
        <v>370</v>
      </c>
      <c r="W193" s="86">
        <v>3</v>
      </c>
      <c r="X193" s="86">
        <v>2022</v>
      </c>
      <c r="Y193" s="197">
        <v>117040</v>
      </c>
      <c r="Z193" s="87" t="s">
        <v>370</v>
      </c>
      <c r="AA193" s="86"/>
      <c r="AB193" s="86"/>
      <c r="AC193" s="197"/>
    </row>
    <row r="194" spans="1:29" x14ac:dyDescent="0.25">
      <c r="A194" s="88" t="s">
        <v>239</v>
      </c>
      <c r="B194" s="85">
        <v>1861446270</v>
      </c>
      <c r="C194" s="86">
        <v>3</v>
      </c>
      <c r="D194" s="86">
        <v>2018</v>
      </c>
      <c r="E194" s="197">
        <v>224654</v>
      </c>
      <c r="F194" s="87" t="s">
        <v>370</v>
      </c>
      <c r="G194" s="86">
        <v>3</v>
      </c>
      <c r="H194" s="86">
        <v>2019</v>
      </c>
      <c r="I194" s="197">
        <v>86305</v>
      </c>
      <c r="J194" s="87" t="s">
        <v>370</v>
      </c>
      <c r="K194" s="86">
        <v>3</v>
      </c>
      <c r="L194" s="86">
        <v>2020</v>
      </c>
      <c r="M194" s="197">
        <v>136510</v>
      </c>
      <c r="N194" s="87" t="s">
        <v>370</v>
      </c>
      <c r="O194" s="86">
        <v>1</v>
      </c>
      <c r="P194" s="86">
        <v>2021</v>
      </c>
      <c r="Q194" s="197">
        <v>-18</v>
      </c>
      <c r="R194" s="87" t="s">
        <v>462</v>
      </c>
      <c r="S194" s="86">
        <v>3</v>
      </c>
      <c r="T194" s="86">
        <v>2021</v>
      </c>
      <c r="U194" s="197">
        <v>157172</v>
      </c>
      <c r="V194" s="87" t="s">
        <v>370</v>
      </c>
      <c r="W194" s="86">
        <v>3</v>
      </c>
      <c r="X194" s="86">
        <v>2022</v>
      </c>
      <c r="Y194" s="197">
        <v>442655</v>
      </c>
      <c r="Z194" s="87" t="s">
        <v>370</v>
      </c>
      <c r="AA194" s="86"/>
      <c r="AB194" s="86"/>
      <c r="AC194" s="197"/>
    </row>
    <row r="195" spans="1:29" x14ac:dyDescent="0.25">
      <c r="A195" s="85" t="s">
        <v>792</v>
      </c>
      <c r="B195" s="85">
        <v>1255385720</v>
      </c>
      <c r="C195" s="86">
        <v>3</v>
      </c>
      <c r="D195" s="86">
        <v>2016</v>
      </c>
      <c r="E195" s="197">
        <v>459359</v>
      </c>
      <c r="F195" s="87" t="s">
        <v>370</v>
      </c>
      <c r="G195" s="86">
        <v>3</v>
      </c>
      <c r="H195" s="86">
        <v>2019</v>
      </c>
      <c r="I195" s="197">
        <v>148877</v>
      </c>
      <c r="J195" s="87" t="s">
        <v>370</v>
      </c>
      <c r="K195" s="86">
        <v>3</v>
      </c>
      <c r="L195" s="86">
        <v>2020</v>
      </c>
      <c r="M195" s="197">
        <v>72944</v>
      </c>
      <c r="N195" s="87" t="s">
        <v>370</v>
      </c>
      <c r="O195" s="86">
        <v>3</v>
      </c>
      <c r="P195" s="86">
        <v>2021</v>
      </c>
      <c r="Q195" s="197">
        <v>390310</v>
      </c>
      <c r="R195" s="87" t="s">
        <v>370</v>
      </c>
      <c r="S195" s="86">
        <v>3</v>
      </c>
      <c r="T195" s="86">
        <v>2022</v>
      </c>
      <c r="U195" s="197">
        <v>170675</v>
      </c>
      <c r="V195" s="87" t="s">
        <v>370</v>
      </c>
      <c r="W195" s="86"/>
      <c r="X195" s="86"/>
      <c r="Y195" s="197"/>
      <c r="Z195" s="87" t="s">
        <v>370</v>
      </c>
      <c r="AA195" s="86"/>
      <c r="AB195" s="86"/>
      <c r="AC195" s="197"/>
    </row>
    <row r="196" spans="1:29" x14ac:dyDescent="0.25">
      <c r="A196" s="85" t="s">
        <v>240</v>
      </c>
      <c r="B196" s="85">
        <v>1295101673</v>
      </c>
      <c r="C196" s="86"/>
      <c r="D196" s="86"/>
      <c r="E196" s="197"/>
      <c r="F196" s="87" t="s">
        <v>370</v>
      </c>
      <c r="G196" s="86"/>
      <c r="H196" s="86"/>
      <c r="I196" s="197"/>
      <c r="J196" s="87" t="s">
        <v>370</v>
      </c>
      <c r="K196" s="86"/>
      <c r="L196" s="86"/>
      <c r="M196" s="197"/>
      <c r="N196" s="87" t="s">
        <v>370</v>
      </c>
      <c r="O196" s="86"/>
      <c r="P196" s="86"/>
      <c r="Q196" s="197"/>
      <c r="R196" s="87" t="s">
        <v>370</v>
      </c>
      <c r="S196" s="86"/>
      <c r="T196" s="86"/>
      <c r="U196" s="197"/>
      <c r="V196" s="87" t="s">
        <v>370</v>
      </c>
      <c r="W196" s="86"/>
      <c r="X196" s="86"/>
      <c r="Y196" s="197"/>
      <c r="Z196" s="87" t="s">
        <v>370</v>
      </c>
      <c r="AA196" s="86"/>
      <c r="AB196" s="86"/>
      <c r="AC196" s="197"/>
    </row>
    <row r="197" spans="1:29" x14ac:dyDescent="0.25">
      <c r="A197" s="85" t="s">
        <v>241</v>
      </c>
      <c r="B197" s="85">
        <v>1760415434</v>
      </c>
      <c r="C197" s="86"/>
      <c r="D197" s="86"/>
      <c r="E197" s="197"/>
      <c r="F197" s="87" t="s">
        <v>370</v>
      </c>
      <c r="G197" s="86"/>
      <c r="H197" s="86"/>
      <c r="I197" s="197"/>
      <c r="J197" s="87" t="s">
        <v>370</v>
      </c>
      <c r="K197" s="86"/>
      <c r="L197" s="86"/>
      <c r="M197" s="197"/>
      <c r="N197" s="87" t="s">
        <v>370</v>
      </c>
      <c r="O197" s="86"/>
      <c r="P197" s="86"/>
      <c r="Q197" s="197"/>
      <c r="R197" s="87" t="s">
        <v>370</v>
      </c>
      <c r="S197" s="86"/>
      <c r="T197" s="86"/>
      <c r="U197" s="197"/>
      <c r="V197" s="87" t="s">
        <v>370</v>
      </c>
      <c r="W197" s="86"/>
      <c r="X197" s="86"/>
      <c r="Y197" s="197"/>
      <c r="Z197" s="87" t="s">
        <v>370</v>
      </c>
      <c r="AA197" s="86"/>
      <c r="AB197" s="86"/>
      <c r="AC197" s="197"/>
    </row>
    <row r="198" spans="1:29" x14ac:dyDescent="0.25">
      <c r="A198" s="85" t="s">
        <v>242</v>
      </c>
      <c r="B198" s="85">
        <v>1629494059</v>
      </c>
      <c r="C198" s="86">
        <v>3</v>
      </c>
      <c r="D198" s="86">
        <v>2020</v>
      </c>
      <c r="E198" s="197">
        <v>60508</v>
      </c>
      <c r="F198" s="87" t="s">
        <v>370</v>
      </c>
      <c r="G198" s="86">
        <v>3</v>
      </c>
      <c r="H198" s="86">
        <v>2021</v>
      </c>
      <c r="I198" s="197">
        <v>61303</v>
      </c>
      <c r="J198" s="87" t="s">
        <v>370</v>
      </c>
      <c r="K198" s="86">
        <v>3</v>
      </c>
      <c r="L198" s="86">
        <v>2022</v>
      </c>
      <c r="M198" s="197">
        <v>141251</v>
      </c>
      <c r="N198" s="87" t="s">
        <v>370</v>
      </c>
      <c r="O198" s="86"/>
      <c r="P198" s="86"/>
      <c r="Q198" s="197"/>
      <c r="R198" s="87" t="s">
        <v>370</v>
      </c>
      <c r="S198" s="86"/>
      <c r="T198" s="86"/>
      <c r="U198" s="197"/>
      <c r="V198" s="87" t="s">
        <v>370</v>
      </c>
      <c r="W198" s="86"/>
      <c r="X198" s="86"/>
      <c r="Y198" s="197"/>
      <c r="Z198" s="87" t="s">
        <v>370</v>
      </c>
      <c r="AA198" s="86"/>
      <c r="AB198" s="86"/>
      <c r="AC198" s="197"/>
    </row>
    <row r="199" spans="1:29" x14ac:dyDescent="0.25">
      <c r="A199" s="85" t="s">
        <v>243</v>
      </c>
      <c r="B199" s="85">
        <v>1467421024</v>
      </c>
      <c r="C199" s="86">
        <v>3</v>
      </c>
      <c r="D199" s="86">
        <v>2016</v>
      </c>
      <c r="E199" s="197">
        <v>112012</v>
      </c>
      <c r="F199" s="87" t="s">
        <v>370</v>
      </c>
      <c r="G199" s="86">
        <v>2</v>
      </c>
      <c r="H199" s="86">
        <v>2016</v>
      </c>
      <c r="I199" s="197">
        <v>15</v>
      </c>
      <c r="J199" s="87" t="s">
        <v>370</v>
      </c>
      <c r="K199" s="86">
        <v>3</v>
      </c>
      <c r="L199" s="86">
        <v>2017</v>
      </c>
      <c r="M199" s="197">
        <v>57584</v>
      </c>
      <c r="N199" s="87" t="s">
        <v>370</v>
      </c>
      <c r="O199" s="86">
        <v>3</v>
      </c>
      <c r="P199" s="86">
        <v>2018</v>
      </c>
      <c r="Q199" s="197">
        <v>51306</v>
      </c>
      <c r="R199" s="87" t="s">
        <v>370</v>
      </c>
      <c r="S199" s="86"/>
      <c r="T199" s="86"/>
      <c r="U199" s="197"/>
      <c r="V199" s="87" t="s">
        <v>370</v>
      </c>
      <c r="W199" s="86"/>
      <c r="X199" s="86"/>
      <c r="Y199" s="197"/>
      <c r="Z199" s="87" t="s">
        <v>370</v>
      </c>
      <c r="AA199" s="86"/>
      <c r="AB199" s="86"/>
      <c r="AC199" s="197"/>
    </row>
    <row r="200" spans="1:29" x14ac:dyDescent="0.25">
      <c r="A200" s="88" t="s">
        <v>244</v>
      </c>
      <c r="B200" s="85">
        <v>1447254149</v>
      </c>
      <c r="C200" s="86">
        <v>3</v>
      </c>
      <c r="D200" s="86">
        <v>2018</v>
      </c>
      <c r="E200" s="197">
        <v>85769</v>
      </c>
      <c r="F200" s="87" t="s">
        <v>370</v>
      </c>
      <c r="G200" s="86">
        <v>3</v>
      </c>
      <c r="H200" s="86">
        <v>2019</v>
      </c>
      <c r="I200" s="197">
        <v>205637</v>
      </c>
      <c r="J200" s="87" t="s">
        <v>370</v>
      </c>
      <c r="K200" s="86">
        <v>3</v>
      </c>
      <c r="L200" s="86">
        <v>2020</v>
      </c>
      <c r="M200" s="197">
        <v>1563570</v>
      </c>
      <c r="N200" s="87" t="s">
        <v>370</v>
      </c>
      <c r="O200" s="86">
        <v>3</v>
      </c>
      <c r="P200" s="86">
        <v>2021</v>
      </c>
      <c r="Q200" s="197">
        <v>226677</v>
      </c>
      <c r="R200" s="87" t="s">
        <v>370</v>
      </c>
      <c r="S200" s="86">
        <v>3</v>
      </c>
      <c r="T200" s="86">
        <v>2022</v>
      </c>
      <c r="U200" s="197">
        <v>196540</v>
      </c>
      <c r="V200" s="87" t="s">
        <v>370</v>
      </c>
      <c r="W200" s="86"/>
      <c r="X200" s="86"/>
      <c r="Y200" s="197"/>
      <c r="Z200" s="87" t="s">
        <v>370</v>
      </c>
      <c r="AA200" s="86"/>
      <c r="AB200" s="86"/>
      <c r="AC200" s="197"/>
    </row>
    <row r="201" spans="1:29" x14ac:dyDescent="0.25">
      <c r="A201" s="88" t="s">
        <v>463</v>
      </c>
      <c r="B201" s="85">
        <v>1184174484</v>
      </c>
      <c r="C201" s="86">
        <v>3</v>
      </c>
      <c r="D201" s="86">
        <v>2017</v>
      </c>
      <c r="E201" s="197">
        <v>129330.52</v>
      </c>
      <c r="F201" s="87" t="s">
        <v>370</v>
      </c>
      <c r="G201" s="86">
        <v>3</v>
      </c>
      <c r="H201" s="86">
        <v>2019</v>
      </c>
      <c r="I201" s="197">
        <v>172200</v>
      </c>
      <c r="J201" s="87" t="s">
        <v>370</v>
      </c>
      <c r="K201" s="86">
        <v>3</v>
      </c>
      <c r="L201" s="86">
        <v>2020</v>
      </c>
      <c r="M201" s="197">
        <v>78742</v>
      </c>
      <c r="N201" s="87" t="s">
        <v>370</v>
      </c>
      <c r="O201" s="86">
        <v>3</v>
      </c>
      <c r="P201" s="86">
        <v>2021</v>
      </c>
      <c r="Q201" s="197">
        <v>125588</v>
      </c>
      <c r="R201" s="87" t="s">
        <v>370</v>
      </c>
      <c r="S201" s="86"/>
      <c r="T201" s="86"/>
      <c r="U201" s="197"/>
      <c r="V201" s="87" t="s">
        <v>370</v>
      </c>
      <c r="W201" s="86"/>
      <c r="X201" s="86"/>
      <c r="Y201" s="197"/>
      <c r="Z201" s="87" t="s">
        <v>370</v>
      </c>
      <c r="AA201" s="86"/>
      <c r="AB201" s="86"/>
      <c r="AC201" s="197"/>
    </row>
    <row r="202" spans="1:29" x14ac:dyDescent="0.25">
      <c r="A202" s="88" t="s">
        <v>464</v>
      </c>
      <c r="B202" s="85">
        <v>1457397952</v>
      </c>
      <c r="C202" s="86">
        <v>3</v>
      </c>
      <c r="D202" s="86">
        <v>2016</v>
      </c>
      <c r="E202" s="197">
        <v>132833</v>
      </c>
      <c r="F202" s="87" t="s">
        <v>370</v>
      </c>
      <c r="G202" s="86">
        <v>3</v>
      </c>
      <c r="H202" s="86">
        <v>2019</v>
      </c>
      <c r="I202" s="197">
        <v>127888</v>
      </c>
      <c r="J202" s="87" t="s">
        <v>370</v>
      </c>
      <c r="K202" s="86">
        <v>3</v>
      </c>
      <c r="L202" s="86">
        <v>2020</v>
      </c>
      <c r="M202" s="197">
        <v>101337</v>
      </c>
      <c r="N202" s="87" t="s">
        <v>370</v>
      </c>
      <c r="O202" s="86"/>
      <c r="P202" s="86"/>
      <c r="Q202" s="197"/>
      <c r="R202" s="87" t="s">
        <v>370</v>
      </c>
      <c r="S202" s="86"/>
      <c r="T202" s="86"/>
      <c r="U202" s="197"/>
      <c r="V202" s="87" t="s">
        <v>370</v>
      </c>
      <c r="W202" s="86"/>
      <c r="X202" s="86"/>
      <c r="Y202" s="197"/>
      <c r="Z202" s="87" t="s">
        <v>370</v>
      </c>
      <c r="AA202" s="86"/>
      <c r="AB202" s="86"/>
      <c r="AC202" s="197"/>
    </row>
    <row r="203" spans="1:29" x14ac:dyDescent="0.25">
      <c r="A203" s="85" t="s">
        <v>465</v>
      </c>
      <c r="B203" s="85">
        <v>1497058416</v>
      </c>
      <c r="C203" s="86">
        <v>3</v>
      </c>
      <c r="D203" s="86">
        <v>2016</v>
      </c>
      <c r="E203" s="197">
        <v>151765</v>
      </c>
      <c r="F203" s="87" t="s">
        <v>370</v>
      </c>
      <c r="G203" s="86">
        <v>3</v>
      </c>
      <c r="H203" s="86">
        <v>2017</v>
      </c>
      <c r="I203" s="197">
        <v>53371</v>
      </c>
      <c r="J203" s="87" t="s">
        <v>370</v>
      </c>
      <c r="K203" s="86">
        <v>3</v>
      </c>
      <c r="L203" s="86">
        <v>2018</v>
      </c>
      <c r="M203" s="197">
        <v>221004</v>
      </c>
      <c r="N203" s="87" t="s">
        <v>370</v>
      </c>
      <c r="O203" s="86">
        <v>3</v>
      </c>
      <c r="P203" s="86">
        <v>2019</v>
      </c>
      <c r="Q203" s="197">
        <v>373748</v>
      </c>
      <c r="R203" s="87" t="s">
        <v>370</v>
      </c>
      <c r="S203" s="86">
        <v>3</v>
      </c>
      <c r="T203" s="86">
        <v>2020</v>
      </c>
      <c r="U203" s="197">
        <v>197264</v>
      </c>
      <c r="V203" s="87" t="s">
        <v>370</v>
      </c>
      <c r="W203" s="86">
        <v>3</v>
      </c>
      <c r="X203" s="86">
        <v>2022</v>
      </c>
      <c r="Y203" s="197">
        <v>636288</v>
      </c>
      <c r="Z203" s="87" t="s">
        <v>370</v>
      </c>
      <c r="AA203" s="86"/>
      <c r="AB203" s="86"/>
      <c r="AC203" s="197"/>
    </row>
    <row r="204" spans="1:29" x14ac:dyDescent="0.25">
      <c r="A204" s="85" t="s">
        <v>466</v>
      </c>
      <c r="B204" s="85">
        <v>1235591918</v>
      </c>
      <c r="C204" s="86">
        <v>3</v>
      </c>
      <c r="D204" s="86">
        <v>2019</v>
      </c>
      <c r="E204" s="197">
        <v>67882</v>
      </c>
      <c r="F204" s="87" t="s">
        <v>370</v>
      </c>
      <c r="G204" s="86">
        <v>3</v>
      </c>
      <c r="H204" s="86">
        <v>2022</v>
      </c>
      <c r="I204" s="197">
        <v>80967</v>
      </c>
      <c r="J204" s="87" t="s">
        <v>370</v>
      </c>
      <c r="K204" s="86"/>
      <c r="L204" s="86"/>
      <c r="M204" s="197"/>
      <c r="N204" s="87" t="s">
        <v>370</v>
      </c>
      <c r="O204" s="86"/>
      <c r="P204" s="86"/>
      <c r="Q204" s="197"/>
      <c r="R204" s="87" t="s">
        <v>370</v>
      </c>
      <c r="S204" s="86"/>
      <c r="T204" s="86"/>
      <c r="U204" s="197"/>
      <c r="V204" s="87" t="s">
        <v>370</v>
      </c>
      <c r="W204" s="86"/>
      <c r="X204" s="86"/>
      <c r="Y204" s="197"/>
      <c r="Z204" s="87" t="s">
        <v>370</v>
      </c>
      <c r="AA204" s="86"/>
      <c r="AB204" s="86"/>
      <c r="AC204" s="197"/>
    </row>
    <row r="205" spans="1:29" x14ac:dyDescent="0.25">
      <c r="A205" s="85" t="s">
        <v>467</v>
      </c>
      <c r="B205" s="85">
        <v>1952337073</v>
      </c>
      <c r="C205" s="86">
        <v>3</v>
      </c>
      <c r="D205" s="86">
        <v>2021</v>
      </c>
      <c r="E205" s="197">
        <v>441628</v>
      </c>
      <c r="F205" s="87" t="s">
        <v>370</v>
      </c>
      <c r="G205" s="86"/>
      <c r="H205" s="86"/>
      <c r="I205" s="197"/>
      <c r="J205" s="87" t="s">
        <v>370</v>
      </c>
      <c r="K205" s="86"/>
      <c r="L205" s="86"/>
      <c r="M205" s="197"/>
      <c r="N205" s="87" t="s">
        <v>370</v>
      </c>
      <c r="O205" s="86"/>
      <c r="P205" s="86"/>
      <c r="Q205" s="197"/>
      <c r="R205" s="87" t="s">
        <v>370</v>
      </c>
      <c r="S205" s="86"/>
      <c r="T205" s="86"/>
      <c r="U205" s="197"/>
      <c r="V205" s="87" t="s">
        <v>370</v>
      </c>
      <c r="W205" s="86"/>
      <c r="X205" s="86"/>
      <c r="Y205" s="197"/>
      <c r="Z205" s="87" t="s">
        <v>370</v>
      </c>
      <c r="AA205" s="86"/>
      <c r="AB205" s="86"/>
      <c r="AC205" s="197"/>
    </row>
    <row r="206" spans="1:29" x14ac:dyDescent="0.25">
      <c r="A206" s="85" t="s">
        <v>468</v>
      </c>
      <c r="B206" s="85">
        <v>1326074048</v>
      </c>
      <c r="C206" s="86">
        <v>3</v>
      </c>
      <c r="D206" s="86">
        <v>2017</v>
      </c>
      <c r="E206" s="197">
        <v>181261</v>
      </c>
      <c r="F206" s="87" t="s">
        <v>370</v>
      </c>
      <c r="G206" s="86">
        <v>3</v>
      </c>
      <c r="H206" s="86">
        <v>2019</v>
      </c>
      <c r="I206" s="197">
        <v>368375</v>
      </c>
      <c r="J206" s="87" t="s">
        <v>370</v>
      </c>
      <c r="K206" s="86">
        <v>3</v>
      </c>
      <c r="L206" s="86">
        <v>2021</v>
      </c>
      <c r="M206" s="197">
        <v>263328</v>
      </c>
      <c r="N206" s="87" t="s">
        <v>370</v>
      </c>
      <c r="O206" s="86">
        <v>3</v>
      </c>
      <c r="P206" s="86">
        <v>2022</v>
      </c>
      <c r="Q206" s="197">
        <v>297165.71000000002</v>
      </c>
      <c r="R206" s="87" t="s">
        <v>370</v>
      </c>
      <c r="S206" s="86"/>
      <c r="T206" s="86"/>
      <c r="U206" s="197"/>
      <c r="V206" s="87" t="s">
        <v>370</v>
      </c>
      <c r="W206" s="86"/>
      <c r="X206" s="86"/>
      <c r="Y206" s="197"/>
      <c r="Z206" s="87" t="s">
        <v>370</v>
      </c>
      <c r="AA206" s="86"/>
      <c r="AB206" s="86"/>
      <c r="AC206" s="197"/>
    </row>
    <row r="207" spans="1:29" x14ac:dyDescent="0.25">
      <c r="A207" s="85" t="s">
        <v>793</v>
      </c>
      <c r="B207" s="85">
        <v>1962505313</v>
      </c>
      <c r="C207" s="86"/>
      <c r="D207" s="86"/>
      <c r="E207" s="197"/>
      <c r="F207" s="87" t="s">
        <v>370</v>
      </c>
      <c r="G207" s="86"/>
      <c r="H207" s="86"/>
      <c r="I207" s="197"/>
      <c r="J207" s="87" t="s">
        <v>370</v>
      </c>
      <c r="K207" s="86"/>
      <c r="L207" s="86"/>
      <c r="M207" s="197"/>
      <c r="N207" s="87" t="s">
        <v>370</v>
      </c>
      <c r="O207" s="86"/>
      <c r="P207" s="86"/>
      <c r="Q207" s="197"/>
      <c r="R207" s="87" t="s">
        <v>370</v>
      </c>
      <c r="S207" s="86"/>
      <c r="T207" s="86"/>
      <c r="U207" s="197"/>
      <c r="V207" s="87" t="s">
        <v>370</v>
      </c>
      <c r="W207" s="86"/>
      <c r="X207" s="86"/>
      <c r="Y207" s="197"/>
      <c r="Z207" s="87" t="s">
        <v>370</v>
      </c>
      <c r="AA207" s="86"/>
      <c r="AB207" s="86"/>
      <c r="AC207" s="197"/>
    </row>
    <row r="208" spans="1:29" x14ac:dyDescent="0.25">
      <c r="A208" s="88" t="s">
        <v>245</v>
      </c>
      <c r="B208" s="85">
        <v>1720033475</v>
      </c>
      <c r="C208" s="86">
        <v>3</v>
      </c>
      <c r="D208" s="86">
        <v>2019</v>
      </c>
      <c r="E208" s="197">
        <v>152441</v>
      </c>
      <c r="F208" s="87" t="s">
        <v>370</v>
      </c>
      <c r="G208" s="86">
        <v>3</v>
      </c>
      <c r="H208" s="86">
        <v>2022</v>
      </c>
      <c r="I208" s="197">
        <v>786849</v>
      </c>
      <c r="J208" s="87" t="s">
        <v>370</v>
      </c>
      <c r="K208" s="86"/>
      <c r="L208" s="86"/>
      <c r="M208" s="197"/>
      <c r="N208" s="87" t="s">
        <v>370</v>
      </c>
      <c r="O208" s="86"/>
      <c r="P208" s="86"/>
      <c r="Q208" s="197"/>
      <c r="R208" s="87" t="s">
        <v>370</v>
      </c>
      <c r="S208" s="86"/>
      <c r="T208" s="86"/>
      <c r="U208" s="197"/>
      <c r="V208" s="87" t="s">
        <v>370</v>
      </c>
      <c r="W208" s="86"/>
      <c r="X208" s="86"/>
      <c r="Y208" s="197"/>
      <c r="Z208" s="87" t="s">
        <v>370</v>
      </c>
      <c r="AA208" s="86"/>
      <c r="AB208" s="86"/>
      <c r="AC208" s="197"/>
    </row>
    <row r="209" spans="1:29" x14ac:dyDescent="0.25">
      <c r="A209" s="88" t="s">
        <v>246</v>
      </c>
      <c r="B209" s="85">
        <v>1477641694</v>
      </c>
      <c r="C209" s="86"/>
      <c r="D209" s="86"/>
      <c r="E209" s="197"/>
      <c r="F209" s="87" t="s">
        <v>370</v>
      </c>
      <c r="G209" s="86"/>
      <c r="H209" s="86"/>
      <c r="I209" s="197"/>
      <c r="J209" s="87" t="s">
        <v>370</v>
      </c>
      <c r="K209" s="86"/>
      <c r="L209" s="86"/>
      <c r="M209" s="197"/>
      <c r="N209" s="87" t="s">
        <v>370</v>
      </c>
      <c r="O209" s="86"/>
      <c r="P209" s="86"/>
      <c r="Q209" s="197"/>
      <c r="R209" s="87" t="s">
        <v>370</v>
      </c>
      <c r="S209" s="86"/>
      <c r="T209" s="86"/>
      <c r="U209" s="197"/>
      <c r="V209" s="87" t="s">
        <v>370</v>
      </c>
      <c r="W209" s="86"/>
      <c r="X209" s="86"/>
      <c r="Y209" s="197"/>
      <c r="Z209" s="87" t="s">
        <v>370</v>
      </c>
      <c r="AA209" s="86"/>
      <c r="AB209" s="86"/>
      <c r="AC209" s="197"/>
    </row>
    <row r="210" spans="1:29" x14ac:dyDescent="0.25">
      <c r="A210" s="88" t="s">
        <v>469</v>
      </c>
      <c r="B210" s="85">
        <v>1790317840</v>
      </c>
      <c r="C210" s="86">
        <v>3</v>
      </c>
      <c r="D210" s="86">
        <v>2016</v>
      </c>
      <c r="E210" s="197">
        <v>149460</v>
      </c>
      <c r="F210" s="87" t="s">
        <v>370</v>
      </c>
      <c r="G210" s="86">
        <v>3</v>
      </c>
      <c r="H210" s="86">
        <v>2017</v>
      </c>
      <c r="I210" s="197">
        <v>92407</v>
      </c>
      <c r="J210" s="87" t="s">
        <v>370</v>
      </c>
      <c r="K210" s="86">
        <v>3</v>
      </c>
      <c r="L210" s="86">
        <v>2018</v>
      </c>
      <c r="M210" s="197">
        <v>171020</v>
      </c>
      <c r="N210" s="87" t="s">
        <v>370</v>
      </c>
      <c r="O210" s="86">
        <v>3</v>
      </c>
      <c r="P210" s="86">
        <v>2019</v>
      </c>
      <c r="Q210" s="197">
        <v>241158</v>
      </c>
      <c r="R210" s="87" t="s">
        <v>370</v>
      </c>
      <c r="S210" s="86">
        <v>3</v>
      </c>
      <c r="T210" s="86">
        <v>2022</v>
      </c>
      <c r="U210" s="197">
        <v>899693</v>
      </c>
      <c r="V210" s="87" t="s">
        <v>370</v>
      </c>
      <c r="W210" s="86"/>
      <c r="X210" s="86"/>
      <c r="Y210" s="197"/>
      <c r="Z210" s="87" t="s">
        <v>370</v>
      </c>
      <c r="AA210" s="86"/>
      <c r="AB210" s="86"/>
      <c r="AC210" s="197"/>
    </row>
    <row r="211" spans="1:29" x14ac:dyDescent="0.25">
      <c r="A211" s="88" t="s">
        <v>470</v>
      </c>
      <c r="B211" s="85">
        <v>1336565779</v>
      </c>
      <c r="C211" s="86">
        <v>3</v>
      </c>
      <c r="D211" s="86">
        <v>2019</v>
      </c>
      <c r="E211" s="197">
        <v>77563</v>
      </c>
      <c r="F211" s="87" t="s">
        <v>370</v>
      </c>
      <c r="G211" s="86">
        <v>3</v>
      </c>
      <c r="H211" s="86">
        <v>2020</v>
      </c>
      <c r="I211" s="197">
        <v>132596</v>
      </c>
      <c r="J211" s="87" t="s">
        <v>370</v>
      </c>
      <c r="K211" s="86">
        <v>3</v>
      </c>
      <c r="L211" s="86">
        <v>2021</v>
      </c>
      <c r="M211" s="197">
        <v>109124</v>
      </c>
      <c r="N211" s="87" t="s">
        <v>370</v>
      </c>
      <c r="O211" s="86">
        <v>3</v>
      </c>
      <c r="P211" s="86">
        <v>2022</v>
      </c>
      <c r="Q211" s="197">
        <v>463994</v>
      </c>
      <c r="R211" s="87" t="s">
        <v>370</v>
      </c>
      <c r="S211" s="86"/>
      <c r="T211" s="86"/>
      <c r="U211" s="197"/>
      <c r="V211" s="87" t="s">
        <v>370</v>
      </c>
      <c r="W211" s="86"/>
      <c r="X211" s="86"/>
      <c r="Y211" s="197"/>
      <c r="Z211" s="87" t="s">
        <v>370</v>
      </c>
      <c r="AA211" s="86"/>
      <c r="AB211" s="86"/>
      <c r="AC211" s="197"/>
    </row>
    <row r="212" spans="1:29" x14ac:dyDescent="0.25">
      <c r="A212" s="88" t="s">
        <v>471</v>
      </c>
      <c r="B212" s="85">
        <v>1649224056</v>
      </c>
      <c r="C212" s="86">
        <v>3</v>
      </c>
      <c r="D212" s="86">
        <v>2017</v>
      </c>
      <c r="E212" s="197">
        <v>155323</v>
      </c>
      <c r="F212" s="87" t="s">
        <v>370</v>
      </c>
      <c r="G212" s="86">
        <v>3</v>
      </c>
      <c r="H212" s="86">
        <v>2020</v>
      </c>
      <c r="I212" s="197">
        <v>286440</v>
      </c>
      <c r="J212" s="87" t="s">
        <v>370</v>
      </c>
      <c r="K212" s="86">
        <v>3</v>
      </c>
      <c r="L212" s="86">
        <v>2021</v>
      </c>
      <c r="M212" s="197">
        <v>110986</v>
      </c>
      <c r="N212" s="87" t="s">
        <v>370</v>
      </c>
      <c r="O212" s="86">
        <v>3</v>
      </c>
      <c r="P212" s="86">
        <v>2022</v>
      </c>
      <c r="Q212" s="197">
        <v>150374</v>
      </c>
      <c r="R212" s="87" t="s">
        <v>370</v>
      </c>
      <c r="S212" s="86"/>
      <c r="T212" s="86"/>
      <c r="U212" s="197"/>
      <c r="V212" s="87" t="s">
        <v>370</v>
      </c>
      <c r="W212" s="86"/>
      <c r="X212" s="86"/>
      <c r="Y212" s="197"/>
      <c r="Z212" s="87" t="s">
        <v>370</v>
      </c>
      <c r="AA212" s="86"/>
      <c r="AB212" s="86"/>
      <c r="AC212" s="197"/>
    </row>
    <row r="213" spans="1:29" x14ac:dyDescent="0.25">
      <c r="A213" s="85" t="s">
        <v>247</v>
      </c>
      <c r="B213" s="85">
        <v>1831197714</v>
      </c>
      <c r="C213" s="86">
        <v>3</v>
      </c>
      <c r="D213" s="86">
        <v>2016</v>
      </c>
      <c r="E213" s="197">
        <v>59110</v>
      </c>
      <c r="F213" s="87" t="s">
        <v>370</v>
      </c>
      <c r="G213" s="86">
        <v>3</v>
      </c>
      <c r="H213" s="86">
        <v>2019</v>
      </c>
      <c r="I213" s="197">
        <v>69478</v>
      </c>
      <c r="J213" s="87" t="s">
        <v>370</v>
      </c>
      <c r="K213" s="86" t="s">
        <v>795</v>
      </c>
      <c r="L213" s="86" t="s">
        <v>795</v>
      </c>
      <c r="M213" s="197"/>
      <c r="N213" s="87" t="s">
        <v>370</v>
      </c>
      <c r="O213" s="86"/>
      <c r="P213" s="86"/>
      <c r="Q213" s="197"/>
      <c r="R213" s="87" t="s">
        <v>370</v>
      </c>
      <c r="S213" s="86"/>
      <c r="T213" s="86"/>
      <c r="U213" s="197"/>
      <c r="V213" s="87" t="s">
        <v>370</v>
      </c>
      <c r="W213" s="86"/>
      <c r="X213" s="86"/>
      <c r="Y213" s="197"/>
      <c r="Z213" s="87" t="s">
        <v>370</v>
      </c>
      <c r="AA213" s="86"/>
      <c r="AB213" s="86"/>
      <c r="AC213" s="197"/>
    </row>
    <row r="214" spans="1:29" x14ac:dyDescent="0.25">
      <c r="A214" s="88" t="s">
        <v>248</v>
      </c>
      <c r="B214" s="85">
        <v>1952396509</v>
      </c>
      <c r="C214" s="86"/>
      <c r="D214" s="86"/>
      <c r="E214" s="197"/>
      <c r="F214" s="87" t="s">
        <v>370</v>
      </c>
      <c r="G214" s="86"/>
      <c r="H214" s="86"/>
      <c r="I214" s="197"/>
      <c r="J214" s="87" t="s">
        <v>370</v>
      </c>
      <c r="K214" s="86"/>
      <c r="L214" s="86"/>
      <c r="M214" s="197"/>
      <c r="N214" s="87" t="s">
        <v>370</v>
      </c>
      <c r="O214" s="86"/>
      <c r="P214" s="86"/>
      <c r="Q214" s="197"/>
      <c r="R214" s="87" t="s">
        <v>370</v>
      </c>
      <c r="S214" s="86"/>
      <c r="T214" s="86"/>
      <c r="U214" s="197"/>
      <c r="V214" s="87" t="s">
        <v>370</v>
      </c>
      <c r="W214" s="86"/>
      <c r="X214" s="86"/>
      <c r="Y214" s="197"/>
      <c r="Z214" s="87" t="s">
        <v>370</v>
      </c>
      <c r="AA214" s="86"/>
      <c r="AB214" s="86"/>
      <c r="AC214" s="197"/>
    </row>
    <row r="215" spans="1:29" x14ac:dyDescent="0.25">
      <c r="A215" s="88" t="s">
        <v>249</v>
      </c>
      <c r="B215" s="85">
        <v>1396754875</v>
      </c>
      <c r="C215" s="86">
        <v>3</v>
      </c>
      <c r="D215" s="86">
        <v>2016</v>
      </c>
      <c r="E215" s="197">
        <v>85239</v>
      </c>
      <c r="F215" s="87" t="s">
        <v>370</v>
      </c>
      <c r="G215" s="86">
        <v>3</v>
      </c>
      <c r="H215" s="86">
        <v>2017</v>
      </c>
      <c r="I215" s="197">
        <v>45401</v>
      </c>
      <c r="J215" s="87" t="s">
        <v>370</v>
      </c>
      <c r="K215" s="86">
        <v>3</v>
      </c>
      <c r="L215" s="86">
        <v>2018</v>
      </c>
      <c r="M215" s="197">
        <v>1738602</v>
      </c>
      <c r="N215" s="87" t="s">
        <v>370</v>
      </c>
      <c r="O215" s="86">
        <v>3</v>
      </c>
      <c r="P215" s="86">
        <v>2019</v>
      </c>
      <c r="Q215" s="197">
        <v>144401</v>
      </c>
      <c r="R215" s="87" t="s">
        <v>370</v>
      </c>
      <c r="S215" s="86">
        <v>3</v>
      </c>
      <c r="T215" s="86">
        <v>2021</v>
      </c>
      <c r="U215" s="197">
        <v>90001</v>
      </c>
      <c r="V215" s="87" t="s">
        <v>370</v>
      </c>
      <c r="W215" s="86">
        <v>3</v>
      </c>
      <c r="X215" s="86">
        <v>2022</v>
      </c>
      <c r="Y215" s="197">
        <v>167340.45000000001</v>
      </c>
      <c r="Z215" s="87" t="s">
        <v>370</v>
      </c>
      <c r="AA215" s="86"/>
      <c r="AB215" s="86"/>
      <c r="AC215" s="197"/>
    </row>
    <row r="216" spans="1:29" x14ac:dyDescent="0.25">
      <c r="A216" s="96" t="s">
        <v>472</v>
      </c>
      <c r="B216" s="85">
        <v>1952486771</v>
      </c>
      <c r="C216" s="86">
        <v>3</v>
      </c>
      <c r="D216" s="86">
        <v>2018</v>
      </c>
      <c r="E216" s="197">
        <v>74899</v>
      </c>
      <c r="F216" s="87" t="s">
        <v>370</v>
      </c>
      <c r="G216" s="86">
        <v>2</v>
      </c>
      <c r="H216" s="86">
        <v>2020</v>
      </c>
      <c r="I216" s="197">
        <v>134</v>
      </c>
      <c r="J216" s="87" t="s">
        <v>370</v>
      </c>
      <c r="K216" s="86"/>
      <c r="L216" s="86"/>
      <c r="M216" s="197"/>
      <c r="N216" s="87" t="s">
        <v>370</v>
      </c>
      <c r="O216" s="86"/>
      <c r="P216" s="86"/>
      <c r="Q216" s="197"/>
      <c r="R216" s="87" t="s">
        <v>370</v>
      </c>
      <c r="S216" s="86"/>
      <c r="T216" s="86"/>
      <c r="U216" s="197"/>
      <c r="V216" s="87" t="s">
        <v>370</v>
      </c>
      <c r="W216" s="86"/>
      <c r="X216" s="86"/>
      <c r="Y216" s="197"/>
      <c r="Z216" s="87" t="s">
        <v>370</v>
      </c>
      <c r="AA216" s="86"/>
      <c r="AB216" s="86"/>
      <c r="AC216" s="197"/>
    </row>
    <row r="217" spans="1:29" x14ac:dyDescent="0.25">
      <c r="A217" s="88" t="s">
        <v>473</v>
      </c>
      <c r="B217" s="85">
        <v>1396771515</v>
      </c>
      <c r="C217" s="86">
        <v>3</v>
      </c>
      <c r="D217" s="86">
        <v>2016</v>
      </c>
      <c r="E217" s="197">
        <v>289221</v>
      </c>
      <c r="F217" s="87" t="s">
        <v>370</v>
      </c>
      <c r="G217" s="86">
        <v>3</v>
      </c>
      <c r="H217" s="86">
        <v>2018</v>
      </c>
      <c r="I217" s="197">
        <v>326573</v>
      </c>
      <c r="J217" s="87" t="s">
        <v>370</v>
      </c>
      <c r="K217" s="86">
        <v>3</v>
      </c>
      <c r="L217" s="86">
        <v>2019</v>
      </c>
      <c r="M217" s="197">
        <v>194745</v>
      </c>
      <c r="N217" s="87" t="s">
        <v>370</v>
      </c>
      <c r="O217" s="86">
        <v>3</v>
      </c>
      <c r="P217" s="86">
        <v>2021</v>
      </c>
      <c r="Q217" s="197">
        <v>112046</v>
      </c>
      <c r="R217" s="87" t="s">
        <v>370</v>
      </c>
      <c r="S217" s="86">
        <v>3</v>
      </c>
      <c r="T217" s="86">
        <v>2022</v>
      </c>
      <c r="U217" s="197">
        <v>102021</v>
      </c>
      <c r="V217" s="87" t="s">
        <v>370</v>
      </c>
      <c r="W217" s="86"/>
      <c r="X217" s="86"/>
      <c r="Y217" s="197"/>
      <c r="Z217" s="87" t="s">
        <v>370</v>
      </c>
      <c r="AA217" s="86"/>
      <c r="AB217" s="86"/>
      <c r="AC217" s="197"/>
    </row>
    <row r="218" spans="1:29" x14ac:dyDescent="0.25">
      <c r="A218" s="85" t="s">
        <v>250</v>
      </c>
      <c r="B218" s="85">
        <v>1932107547</v>
      </c>
      <c r="C218" s="86"/>
      <c r="D218" s="86"/>
      <c r="E218" s="197"/>
      <c r="F218" s="87" t="s">
        <v>370</v>
      </c>
      <c r="G218" s="86"/>
      <c r="H218" s="86"/>
      <c r="I218" s="197"/>
      <c r="J218" s="87" t="s">
        <v>370</v>
      </c>
      <c r="K218" s="86"/>
      <c r="L218" s="86"/>
      <c r="M218" s="197"/>
      <c r="N218" s="87" t="s">
        <v>370</v>
      </c>
      <c r="O218" s="86"/>
      <c r="P218" s="86"/>
      <c r="Q218" s="197"/>
      <c r="R218" s="87" t="s">
        <v>370</v>
      </c>
      <c r="S218" s="86"/>
      <c r="T218" s="86"/>
      <c r="U218" s="197"/>
      <c r="V218" s="87" t="s">
        <v>370</v>
      </c>
      <c r="W218" s="86"/>
      <c r="X218" s="86"/>
      <c r="Y218" s="197"/>
      <c r="Z218" s="87" t="s">
        <v>370</v>
      </c>
      <c r="AA218" s="86"/>
      <c r="AB218" s="86"/>
      <c r="AC218" s="197"/>
    </row>
    <row r="219" spans="1:29" x14ac:dyDescent="0.25">
      <c r="A219" s="88" t="s">
        <v>474</v>
      </c>
      <c r="B219" s="85">
        <v>1013951896</v>
      </c>
      <c r="C219" s="86">
        <v>3</v>
      </c>
      <c r="D219" s="86">
        <v>2021</v>
      </c>
      <c r="E219" s="197">
        <v>70708</v>
      </c>
      <c r="F219" s="87" t="s">
        <v>370</v>
      </c>
      <c r="G219" s="86">
        <v>3</v>
      </c>
      <c r="H219" s="86">
        <v>2022</v>
      </c>
      <c r="I219" s="197">
        <v>70115</v>
      </c>
      <c r="J219" s="87" t="s">
        <v>370</v>
      </c>
      <c r="K219" s="86"/>
      <c r="L219" s="86"/>
      <c r="M219" s="197"/>
      <c r="N219" s="87" t="s">
        <v>370</v>
      </c>
      <c r="O219" s="86"/>
      <c r="P219" s="86"/>
      <c r="Q219" s="197"/>
      <c r="R219" s="87" t="s">
        <v>370</v>
      </c>
      <c r="S219" s="86"/>
      <c r="T219" s="86"/>
      <c r="U219" s="197"/>
      <c r="V219" s="87" t="s">
        <v>370</v>
      </c>
      <c r="W219" s="86"/>
      <c r="X219" s="86"/>
      <c r="Y219" s="197"/>
      <c r="Z219" s="87" t="s">
        <v>370</v>
      </c>
      <c r="AA219" s="86"/>
      <c r="AB219" s="86"/>
      <c r="AC219" s="197"/>
    </row>
    <row r="220" spans="1:29" x14ac:dyDescent="0.25">
      <c r="A220" s="88" t="s">
        <v>475</v>
      </c>
      <c r="B220" s="85">
        <v>1477146959</v>
      </c>
      <c r="C220" s="86">
        <v>3</v>
      </c>
      <c r="D220" s="86">
        <v>2020</v>
      </c>
      <c r="E220" s="197">
        <v>93952</v>
      </c>
      <c r="F220" s="87" t="s">
        <v>370</v>
      </c>
      <c r="G220" s="86">
        <v>3</v>
      </c>
      <c r="H220" s="86">
        <v>2022</v>
      </c>
      <c r="I220" s="197">
        <v>614030</v>
      </c>
      <c r="J220" s="87" t="s">
        <v>370</v>
      </c>
      <c r="K220" s="86"/>
      <c r="L220" s="86"/>
      <c r="M220" s="197"/>
      <c r="N220" s="87" t="s">
        <v>370</v>
      </c>
      <c r="O220" s="86"/>
      <c r="P220" s="86"/>
      <c r="Q220" s="197"/>
      <c r="R220" s="87" t="s">
        <v>370</v>
      </c>
      <c r="S220" s="86"/>
      <c r="T220" s="86"/>
      <c r="U220" s="197"/>
      <c r="V220" s="87" t="s">
        <v>370</v>
      </c>
      <c r="W220" s="86"/>
      <c r="X220" s="86"/>
      <c r="Y220" s="197"/>
      <c r="Z220" s="87" t="s">
        <v>370</v>
      </c>
      <c r="AA220" s="86"/>
      <c r="AB220" s="86"/>
      <c r="AC220" s="197"/>
    </row>
    <row r="221" spans="1:29" x14ac:dyDescent="0.25">
      <c r="A221" s="85" t="s">
        <v>251</v>
      </c>
      <c r="B221" s="85">
        <v>1093754459</v>
      </c>
      <c r="C221" s="86">
        <v>3</v>
      </c>
      <c r="D221" s="86">
        <v>2017</v>
      </c>
      <c r="E221" s="197">
        <v>155246</v>
      </c>
      <c r="F221" s="87" t="s">
        <v>370</v>
      </c>
      <c r="G221" s="86">
        <v>3</v>
      </c>
      <c r="H221" s="86">
        <v>2021</v>
      </c>
      <c r="I221" s="197">
        <v>43449</v>
      </c>
      <c r="J221" s="87" t="s">
        <v>370</v>
      </c>
      <c r="K221" s="86">
        <v>3</v>
      </c>
      <c r="L221" s="86">
        <v>2022</v>
      </c>
      <c r="M221" s="197">
        <v>36260</v>
      </c>
      <c r="N221" s="87" t="s">
        <v>370</v>
      </c>
      <c r="O221" s="86"/>
      <c r="P221" s="86"/>
      <c r="Q221" s="197"/>
      <c r="R221" s="87" t="s">
        <v>370</v>
      </c>
      <c r="S221" s="86"/>
      <c r="T221" s="86"/>
      <c r="U221" s="197"/>
      <c r="V221" s="87" t="s">
        <v>370</v>
      </c>
      <c r="W221" s="86"/>
      <c r="X221" s="86"/>
      <c r="Y221" s="197"/>
      <c r="Z221" s="87" t="s">
        <v>370</v>
      </c>
      <c r="AA221" s="86"/>
      <c r="AB221" s="86"/>
      <c r="AC221" s="197"/>
    </row>
    <row r="222" spans="1:29" x14ac:dyDescent="0.25">
      <c r="A222" s="88" t="s">
        <v>252</v>
      </c>
      <c r="B222" s="85">
        <v>1861521635</v>
      </c>
      <c r="C222" s="86">
        <v>3</v>
      </c>
      <c r="D222" s="86">
        <v>2016</v>
      </c>
      <c r="E222" s="197">
        <v>58696</v>
      </c>
      <c r="F222" s="87" t="s">
        <v>370</v>
      </c>
      <c r="G222" s="86">
        <v>3</v>
      </c>
      <c r="H222" s="86">
        <v>2018</v>
      </c>
      <c r="I222" s="197">
        <v>78827</v>
      </c>
      <c r="J222" s="87" t="s">
        <v>370</v>
      </c>
      <c r="K222" s="86">
        <v>3</v>
      </c>
      <c r="L222" s="86">
        <v>2020</v>
      </c>
      <c r="M222" s="197">
        <v>73203</v>
      </c>
      <c r="N222" s="87" t="s">
        <v>370</v>
      </c>
      <c r="O222" s="86">
        <v>3</v>
      </c>
      <c r="P222" s="86">
        <v>2022</v>
      </c>
      <c r="Q222" s="197">
        <v>63955</v>
      </c>
      <c r="R222" s="87" t="s">
        <v>370</v>
      </c>
      <c r="S222" s="86"/>
      <c r="T222" s="86"/>
      <c r="U222" s="197"/>
      <c r="V222" s="87" t="s">
        <v>370</v>
      </c>
      <c r="W222" s="86"/>
      <c r="X222" s="86"/>
      <c r="Y222" s="197"/>
      <c r="Z222" s="87" t="s">
        <v>370</v>
      </c>
      <c r="AA222" s="86"/>
      <c r="AB222" s="86"/>
      <c r="AC222" s="197"/>
    </row>
    <row r="223" spans="1:29" x14ac:dyDescent="0.25">
      <c r="A223" s="85" t="s">
        <v>253</v>
      </c>
      <c r="B223" s="85">
        <v>1558391250</v>
      </c>
      <c r="C223" s="86">
        <v>3</v>
      </c>
      <c r="D223" s="86">
        <v>2021</v>
      </c>
      <c r="E223" s="197">
        <v>218151</v>
      </c>
      <c r="F223" s="87" t="s">
        <v>370</v>
      </c>
      <c r="G223" s="86">
        <v>3</v>
      </c>
      <c r="H223" s="86">
        <v>2022</v>
      </c>
      <c r="I223" s="197">
        <v>64990</v>
      </c>
      <c r="J223" s="87" t="s">
        <v>370</v>
      </c>
      <c r="K223" s="86"/>
      <c r="L223" s="86"/>
      <c r="M223" s="197"/>
      <c r="N223" s="87" t="s">
        <v>370</v>
      </c>
      <c r="O223" s="86"/>
      <c r="P223" s="86"/>
      <c r="Q223" s="197"/>
      <c r="R223" s="87" t="s">
        <v>370</v>
      </c>
      <c r="S223" s="86"/>
      <c r="T223" s="86"/>
      <c r="U223" s="197"/>
      <c r="V223" s="87" t="s">
        <v>370</v>
      </c>
      <c r="W223" s="86"/>
      <c r="X223" s="86"/>
      <c r="Y223" s="197"/>
      <c r="Z223" s="87" t="s">
        <v>370</v>
      </c>
      <c r="AA223" s="86"/>
      <c r="AB223" s="86"/>
      <c r="AC223" s="197"/>
    </row>
    <row r="224" spans="1:29" x14ac:dyDescent="0.25">
      <c r="A224" s="88" t="s">
        <v>476</v>
      </c>
      <c r="B224" s="85">
        <v>1033611959</v>
      </c>
      <c r="C224" s="86">
        <v>2</v>
      </c>
      <c r="D224" s="86">
        <v>2018</v>
      </c>
      <c r="E224" s="197">
        <v>133</v>
      </c>
      <c r="F224" s="87" t="s">
        <v>370</v>
      </c>
      <c r="G224" s="86">
        <v>3</v>
      </c>
      <c r="H224" s="86">
        <v>2021</v>
      </c>
      <c r="I224" s="197">
        <v>67373</v>
      </c>
      <c r="J224" s="87" t="s">
        <v>370</v>
      </c>
      <c r="K224" s="86"/>
      <c r="L224" s="86"/>
      <c r="M224" s="197"/>
      <c r="N224" s="87" t="s">
        <v>370</v>
      </c>
      <c r="O224" s="86"/>
      <c r="P224" s="86"/>
      <c r="Q224" s="197"/>
      <c r="R224" s="87" t="s">
        <v>370</v>
      </c>
      <c r="S224" s="86"/>
      <c r="T224" s="86"/>
      <c r="U224" s="197"/>
      <c r="V224" s="87" t="s">
        <v>370</v>
      </c>
      <c r="W224" s="86"/>
      <c r="X224" s="86"/>
      <c r="Y224" s="197"/>
      <c r="Z224" s="87" t="s">
        <v>370</v>
      </c>
      <c r="AA224" s="86"/>
      <c r="AB224" s="86"/>
      <c r="AC224" s="197"/>
    </row>
    <row r="225" spans="1:29" x14ac:dyDescent="0.25">
      <c r="A225" s="92" t="s">
        <v>477</v>
      </c>
      <c r="B225" s="85">
        <v>1962832899</v>
      </c>
      <c r="C225" s="86">
        <v>3</v>
      </c>
      <c r="D225" s="86">
        <v>2019</v>
      </c>
      <c r="E225" s="197">
        <v>85094</v>
      </c>
      <c r="F225" s="87"/>
      <c r="G225" s="86">
        <v>3</v>
      </c>
      <c r="H225" s="86">
        <v>2020</v>
      </c>
      <c r="I225" s="197">
        <v>104460</v>
      </c>
      <c r="J225" s="87"/>
      <c r="K225" s="86">
        <v>1</v>
      </c>
      <c r="L225" s="86">
        <v>2021</v>
      </c>
      <c r="M225" s="197">
        <v>-12</v>
      </c>
      <c r="N225" s="87"/>
      <c r="O225" s="86"/>
      <c r="P225" s="86"/>
      <c r="Q225" s="197"/>
      <c r="R225" s="87"/>
      <c r="S225" s="86"/>
      <c r="T225" s="86"/>
      <c r="U225" s="197"/>
      <c r="V225" s="87"/>
      <c r="W225" s="86"/>
      <c r="X225" s="86"/>
      <c r="Y225" s="197"/>
      <c r="Z225" s="87"/>
      <c r="AA225" s="86"/>
      <c r="AB225" s="86"/>
      <c r="AC225" s="197"/>
    </row>
    <row r="226" spans="1:29" x14ac:dyDescent="0.25">
      <c r="A226" s="88" t="s">
        <v>254</v>
      </c>
      <c r="B226" s="85">
        <v>1336612530</v>
      </c>
      <c r="C226" s="86">
        <v>3</v>
      </c>
      <c r="D226" s="86">
        <v>2016</v>
      </c>
      <c r="E226" s="197">
        <v>185332</v>
      </c>
      <c r="F226" s="87" t="s">
        <v>370</v>
      </c>
      <c r="G226" s="86">
        <v>3</v>
      </c>
      <c r="H226" s="86">
        <v>2017</v>
      </c>
      <c r="I226" s="197">
        <v>65641</v>
      </c>
      <c r="J226" s="87" t="s">
        <v>370</v>
      </c>
      <c r="K226" s="86"/>
      <c r="L226" s="86"/>
      <c r="M226" s="197"/>
      <c r="N226" s="87" t="s">
        <v>370</v>
      </c>
      <c r="O226" s="86"/>
      <c r="P226" s="86"/>
      <c r="Q226" s="197"/>
      <c r="R226" s="87" t="s">
        <v>370</v>
      </c>
      <c r="S226" s="86"/>
      <c r="T226" s="86"/>
      <c r="U226" s="197"/>
      <c r="V226" s="87" t="s">
        <v>370</v>
      </c>
      <c r="W226" s="86"/>
      <c r="X226" s="86"/>
      <c r="Y226" s="197"/>
      <c r="Z226" s="87" t="s">
        <v>370</v>
      </c>
      <c r="AA226" s="86"/>
      <c r="AB226" s="86"/>
      <c r="AC226" s="197"/>
    </row>
    <row r="227" spans="1:29" x14ac:dyDescent="0.25">
      <c r="A227" s="85" t="s">
        <v>255</v>
      </c>
      <c r="B227" s="85">
        <v>1427248905</v>
      </c>
      <c r="C227" s="86"/>
      <c r="D227" s="86"/>
      <c r="E227" s="197"/>
      <c r="F227" s="87" t="s">
        <v>370</v>
      </c>
      <c r="G227" s="86"/>
      <c r="H227" s="86"/>
      <c r="I227" s="197"/>
      <c r="J227" s="87" t="s">
        <v>370</v>
      </c>
      <c r="K227" s="86"/>
      <c r="L227" s="86"/>
      <c r="M227" s="197"/>
      <c r="N227" s="87" t="s">
        <v>370</v>
      </c>
      <c r="O227" s="86"/>
      <c r="P227" s="86"/>
      <c r="Q227" s="197"/>
      <c r="R227" s="87" t="s">
        <v>370</v>
      </c>
      <c r="S227" s="86"/>
      <c r="T227" s="86"/>
      <c r="U227" s="197"/>
      <c r="V227" s="87" t="s">
        <v>370</v>
      </c>
      <c r="W227" s="86"/>
      <c r="X227" s="86"/>
      <c r="Y227" s="197"/>
      <c r="Z227" s="87" t="s">
        <v>370</v>
      </c>
      <c r="AA227" s="86"/>
      <c r="AB227" s="86"/>
      <c r="AC227" s="197"/>
    </row>
    <row r="228" spans="1:29" x14ac:dyDescent="0.25">
      <c r="A228" s="85" t="s">
        <v>256</v>
      </c>
      <c r="B228" s="85">
        <v>1609976901</v>
      </c>
      <c r="C228" s="86">
        <v>1</v>
      </c>
      <c r="D228" s="86">
        <v>2019</v>
      </c>
      <c r="E228" s="197">
        <v>16</v>
      </c>
      <c r="F228" s="87" t="s">
        <v>370</v>
      </c>
      <c r="G228" s="86">
        <v>1</v>
      </c>
      <c r="H228" s="86">
        <v>2021</v>
      </c>
      <c r="I228" s="197">
        <v>16</v>
      </c>
      <c r="J228" s="87" t="s">
        <v>441</v>
      </c>
      <c r="K228" s="86"/>
      <c r="L228" s="86"/>
      <c r="M228" s="197"/>
      <c r="N228" s="87" t="s">
        <v>370</v>
      </c>
      <c r="O228" s="86"/>
      <c r="P228" s="86"/>
      <c r="Q228" s="197"/>
      <c r="R228" s="87" t="s">
        <v>370</v>
      </c>
      <c r="S228" s="86"/>
      <c r="T228" s="86"/>
      <c r="U228" s="197"/>
      <c r="V228" s="87" t="s">
        <v>370</v>
      </c>
      <c r="W228" s="86"/>
      <c r="X228" s="86"/>
      <c r="Y228" s="197"/>
      <c r="Z228" s="87" t="s">
        <v>370</v>
      </c>
      <c r="AA228" s="86"/>
      <c r="AB228" s="86"/>
      <c r="AC228" s="197"/>
    </row>
    <row r="229" spans="1:29" x14ac:dyDescent="0.25">
      <c r="A229" s="85" t="s">
        <v>257</v>
      </c>
      <c r="B229" s="85">
        <v>1235239567</v>
      </c>
      <c r="C229" s="86">
        <v>1</v>
      </c>
      <c r="D229" s="86">
        <v>2019</v>
      </c>
      <c r="E229" s="197">
        <v>-16</v>
      </c>
      <c r="F229" s="87" t="s">
        <v>370</v>
      </c>
      <c r="G229" s="86"/>
      <c r="H229" s="86"/>
      <c r="I229" s="197"/>
      <c r="J229" s="87" t="s">
        <v>370</v>
      </c>
      <c r="K229" s="86"/>
      <c r="L229" s="86"/>
      <c r="M229" s="197"/>
      <c r="N229" s="87" t="s">
        <v>370</v>
      </c>
      <c r="O229" s="86"/>
      <c r="P229" s="86"/>
      <c r="Q229" s="197"/>
      <c r="R229" s="87" t="s">
        <v>370</v>
      </c>
      <c r="S229" s="86"/>
      <c r="T229" s="86"/>
      <c r="U229" s="197"/>
      <c r="V229" s="87" t="s">
        <v>370</v>
      </c>
      <c r="W229" s="86"/>
      <c r="X229" s="86"/>
      <c r="Y229" s="197"/>
      <c r="Z229" s="87" t="s">
        <v>370</v>
      </c>
      <c r="AA229" s="86"/>
      <c r="AB229" s="86"/>
      <c r="AC229" s="197"/>
    </row>
    <row r="230" spans="1:29" x14ac:dyDescent="0.25">
      <c r="A230" s="85" t="s">
        <v>258</v>
      </c>
      <c r="B230" s="85">
        <v>1841390002</v>
      </c>
      <c r="C230" s="86"/>
      <c r="D230" s="86"/>
      <c r="E230" s="197"/>
      <c r="F230" s="87" t="s">
        <v>370</v>
      </c>
      <c r="G230" s="86"/>
      <c r="H230" s="86"/>
      <c r="I230" s="197"/>
      <c r="J230" s="87" t="s">
        <v>370</v>
      </c>
      <c r="K230" s="86"/>
      <c r="L230" s="86"/>
      <c r="M230" s="197"/>
      <c r="N230" s="87" t="s">
        <v>370</v>
      </c>
      <c r="O230" s="86"/>
      <c r="P230" s="86"/>
      <c r="Q230" s="197"/>
      <c r="R230" s="87" t="s">
        <v>370</v>
      </c>
      <c r="S230" s="86"/>
      <c r="T230" s="86"/>
      <c r="U230" s="197"/>
      <c r="V230" s="87" t="s">
        <v>370</v>
      </c>
      <c r="W230" s="86"/>
      <c r="X230" s="86"/>
      <c r="Y230" s="197"/>
      <c r="Z230" s="87" t="s">
        <v>370</v>
      </c>
      <c r="AA230" s="86"/>
      <c r="AB230" s="86"/>
      <c r="AC230" s="197"/>
    </row>
    <row r="231" spans="1:29" x14ac:dyDescent="0.25">
      <c r="A231" s="97" t="s">
        <v>259</v>
      </c>
      <c r="B231" s="85">
        <v>1194825448</v>
      </c>
      <c r="C231" s="86"/>
      <c r="D231" s="86"/>
      <c r="E231" s="197"/>
      <c r="F231" s="87" t="s">
        <v>370</v>
      </c>
      <c r="G231" s="86"/>
      <c r="H231" s="86"/>
      <c r="I231" s="197"/>
      <c r="J231" s="87" t="s">
        <v>370</v>
      </c>
      <c r="K231" s="86"/>
      <c r="L231" s="86"/>
      <c r="M231" s="197"/>
      <c r="N231" s="87" t="s">
        <v>370</v>
      </c>
      <c r="O231" s="86"/>
      <c r="P231" s="86"/>
      <c r="Q231" s="197"/>
      <c r="R231" s="87" t="s">
        <v>370</v>
      </c>
      <c r="S231" s="86"/>
      <c r="T231" s="86"/>
      <c r="U231" s="197"/>
      <c r="V231" s="87" t="s">
        <v>370</v>
      </c>
      <c r="W231" s="86"/>
      <c r="X231" s="86"/>
      <c r="Y231" s="197"/>
      <c r="Z231" s="87" t="s">
        <v>370</v>
      </c>
      <c r="AA231" s="86"/>
      <c r="AB231" s="86"/>
      <c r="AC231" s="197"/>
    </row>
    <row r="232" spans="1:29" x14ac:dyDescent="0.25">
      <c r="A232" s="85" t="s">
        <v>260</v>
      </c>
      <c r="B232" s="85">
        <v>1275823155</v>
      </c>
      <c r="C232" s="86">
        <v>2</v>
      </c>
      <c r="D232" s="86">
        <v>2016</v>
      </c>
      <c r="E232" s="197">
        <v>120</v>
      </c>
      <c r="F232" s="87" t="s">
        <v>370</v>
      </c>
      <c r="G232" s="86"/>
      <c r="H232" s="86"/>
      <c r="I232" s="197"/>
      <c r="J232" s="87" t="s">
        <v>370</v>
      </c>
      <c r="K232" s="86"/>
      <c r="L232" s="86"/>
      <c r="M232" s="197"/>
      <c r="N232" s="87" t="s">
        <v>370</v>
      </c>
      <c r="O232" s="86"/>
      <c r="P232" s="86"/>
      <c r="Q232" s="197"/>
      <c r="R232" s="87" t="s">
        <v>370</v>
      </c>
      <c r="S232" s="86"/>
      <c r="T232" s="86"/>
      <c r="U232" s="197"/>
      <c r="V232" s="87" t="s">
        <v>370</v>
      </c>
      <c r="W232" s="86"/>
      <c r="X232" s="86"/>
      <c r="Y232" s="197"/>
      <c r="Z232" s="87" t="s">
        <v>370</v>
      </c>
      <c r="AA232" s="86"/>
      <c r="AB232" s="86"/>
      <c r="AC232" s="197"/>
    </row>
    <row r="233" spans="1:29" x14ac:dyDescent="0.25">
      <c r="A233" s="85" t="s">
        <v>261</v>
      </c>
      <c r="B233" s="85">
        <v>1265816185</v>
      </c>
      <c r="C233" s="86">
        <v>3</v>
      </c>
      <c r="D233" s="86">
        <v>2016</v>
      </c>
      <c r="E233" s="197">
        <v>1348829</v>
      </c>
      <c r="F233" s="87" t="s">
        <v>370</v>
      </c>
      <c r="G233" s="86"/>
      <c r="H233" s="86"/>
      <c r="I233" s="197"/>
      <c r="J233" s="87" t="s">
        <v>370</v>
      </c>
      <c r="K233" s="86"/>
      <c r="L233" s="86"/>
      <c r="M233" s="197"/>
      <c r="N233" s="87" t="s">
        <v>370</v>
      </c>
      <c r="O233" s="86"/>
      <c r="P233" s="86"/>
      <c r="Q233" s="197"/>
      <c r="R233" s="87" t="s">
        <v>370</v>
      </c>
      <c r="S233" s="86"/>
      <c r="T233" s="86"/>
      <c r="U233" s="197"/>
      <c r="V233" s="87" t="s">
        <v>370</v>
      </c>
      <c r="W233" s="86"/>
      <c r="X233" s="86"/>
      <c r="Y233" s="197"/>
      <c r="Z233" s="87" t="s">
        <v>370</v>
      </c>
      <c r="AA233" s="86"/>
      <c r="AB233" s="86"/>
      <c r="AC233" s="197"/>
    </row>
    <row r="234" spans="1:29" x14ac:dyDescent="0.25">
      <c r="A234" s="88" t="s">
        <v>262</v>
      </c>
      <c r="B234" s="85">
        <v>1326519844</v>
      </c>
      <c r="C234" s="86">
        <v>3</v>
      </c>
      <c r="D234" s="86">
        <v>2016</v>
      </c>
      <c r="E234" s="197">
        <v>79821</v>
      </c>
      <c r="F234" s="87" t="s">
        <v>370</v>
      </c>
      <c r="G234" s="86">
        <v>3</v>
      </c>
      <c r="H234" s="86">
        <v>2017</v>
      </c>
      <c r="I234" s="197">
        <v>67880.56</v>
      </c>
      <c r="J234" s="87" t="s">
        <v>370</v>
      </c>
      <c r="K234" s="86"/>
      <c r="L234" s="86"/>
      <c r="M234" s="197"/>
      <c r="N234" s="87" t="s">
        <v>370</v>
      </c>
      <c r="O234" s="86"/>
      <c r="P234" s="86"/>
      <c r="Q234" s="197"/>
      <c r="R234" s="87" t="s">
        <v>370</v>
      </c>
      <c r="S234" s="86"/>
      <c r="T234" s="86"/>
      <c r="U234" s="197"/>
      <c r="V234" s="87" t="s">
        <v>370</v>
      </c>
      <c r="W234" s="86"/>
      <c r="X234" s="86"/>
      <c r="Y234" s="197"/>
      <c r="Z234" s="87" t="s">
        <v>370</v>
      </c>
      <c r="AA234" s="86"/>
      <c r="AB234" s="86"/>
      <c r="AC234" s="197"/>
    </row>
    <row r="235" spans="1:29" x14ac:dyDescent="0.25">
      <c r="A235" s="85" t="s">
        <v>263</v>
      </c>
      <c r="B235" s="85">
        <v>1396202024</v>
      </c>
      <c r="C235" s="86">
        <v>3</v>
      </c>
      <c r="D235" s="86">
        <v>2016</v>
      </c>
      <c r="E235" s="197">
        <v>73018</v>
      </c>
      <c r="F235" s="87" t="s">
        <v>370</v>
      </c>
      <c r="G235" s="86">
        <v>3</v>
      </c>
      <c r="H235" s="86">
        <v>2017</v>
      </c>
      <c r="I235" s="197">
        <v>62475</v>
      </c>
      <c r="J235" s="87" t="s">
        <v>370</v>
      </c>
      <c r="K235" s="86">
        <v>3</v>
      </c>
      <c r="L235" s="86">
        <v>2019</v>
      </c>
      <c r="M235" s="197">
        <v>144623</v>
      </c>
      <c r="N235" s="87" t="s">
        <v>370</v>
      </c>
      <c r="O235" s="86">
        <v>3</v>
      </c>
      <c r="P235" s="86">
        <v>2020</v>
      </c>
      <c r="Q235" s="197">
        <v>90133</v>
      </c>
      <c r="R235" s="87" t="s">
        <v>370</v>
      </c>
      <c r="S235" s="86">
        <v>3</v>
      </c>
      <c r="T235" s="86">
        <v>2021</v>
      </c>
      <c r="U235" s="197">
        <v>131527</v>
      </c>
      <c r="V235" s="87" t="s">
        <v>370</v>
      </c>
      <c r="W235" s="86">
        <v>3</v>
      </c>
      <c r="X235" s="86">
        <v>2022</v>
      </c>
      <c r="Y235" s="197">
        <v>54839</v>
      </c>
      <c r="Z235" s="87" t="s">
        <v>370</v>
      </c>
      <c r="AA235" s="86"/>
      <c r="AB235" s="86"/>
      <c r="AC235" s="197"/>
    </row>
    <row r="236" spans="1:29" x14ac:dyDescent="0.25">
      <c r="A236" s="85" t="s">
        <v>264</v>
      </c>
      <c r="B236" s="85">
        <v>1114480233</v>
      </c>
      <c r="C236" s="86">
        <v>3</v>
      </c>
      <c r="D236" s="86">
        <v>2018</v>
      </c>
      <c r="E236" s="197">
        <v>703158</v>
      </c>
      <c r="F236" s="87" t="s">
        <v>370</v>
      </c>
      <c r="G236" s="86">
        <v>3</v>
      </c>
      <c r="H236" s="86">
        <v>2019</v>
      </c>
      <c r="I236" s="197">
        <v>119892</v>
      </c>
      <c r="J236" s="87" t="s">
        <v>370</v>
      </c>
      <c r="K236" s="86">
        <v>3</v>
      </c>
      <c r="L236" s="86">
        <v>2020</v>
      </c>
      <c r="M236" s="197">
        <v>293091</v>
      </c>
      <c r="N236" s="87" t="s">
        <v>370</v>
      </c>
      <c r="O236" s="86">
        <v>3</v>
      </c>
      <c r="P236" s="86">
        <v>2021</v>
      </c>
      <c r="Q236" s="197">
        <v>88021</v>
      </c>
      <c r="R236" s="87" t="s">
        <v>370</v>
      </c>
      <c r="S236" s="86">
        <v>3</v>
      </c>
      <c r="T236" s="86">
        <v>2022</v>
      </c>
      <c r="U236" s="197">
        <v>130169</v>
      </c>
      <c r="V236" s="87" t="s">
        <v>370</v>
      </c>
      <c r="W236" s="86"/>
      <c r="X236" s="86"/>
      <c r="Y236" s="197"/>
      <c r="Z236" s="87" t="s">
        <v>370</v>
      </c>
      <c r="AA236" s="86"/>
      <c r="AB236" s="86"/>
      <c r="AC236" s="197"/>
    </row>
    <row r="237" spans="1:29" x14ac:dyDescent="0.25">
      <c r="A237" s="85" t="s">
        <v>265</v>
      </c>
      <c r="B237" s="85">
        <v>1902462401</v>
      </c>
      <c r="C237" s="86">
        <v>3</v>
      </c>
      <c r="D237" s="86">
        <v>2016</v>
      </c>
      <c r="E237" s="197">
        <v>122609</v>
      </c>
      <c r="F237" s="87" t="s">
        <v>370</v>
      </c>
      <c r="G237" s="86">
        <v>3</v>
      </c>
      <c r="H237" s="86">
        <v>2019</v>
      </c>
      <c r="I237" s="197">
        <v>124263</v>
      </c>
      <c r="J237" s="87" t="s">
        <v>370</v>
      </c>
      <c r="K237" s="86">
        <v>3</v>
      </c>
      <c r="L237" s="86">
        <v>2020</v>
      </c>
      <c r="M237" s="197">
        <v>221616</v>
      </c>
      <c r="N237" s="87" t="s">
        <v>370</v>
      </c>
      <c r="O237" s="86">
        <v>3</v>
      </c>
      <c r="P237" s="86">
        <v>2021</v>
      </c>
      <c r="Q237" s="197">
        <v>43367</v>
      </c>
      <c r="R237" s="87" t="s">
        <v>370</v>
      </c>
      <c r="S237" s="86">
        <v>3</v>
      </c>
      <c r="T237" s="86">
        <v>2022</v>
      </c>
      <c r="U237" s="197">
        <v>66395</v>
      </c>
      <c r="V237" s="87" t="s">
        <v>370</v>
      </c>
      <c r="W237" s="86"/>
      <c r="X237" s="86"/>
      <c r="Y237" s="197"/>
      <c r="Z237" s="87" t="s">
        <v>370</v>
      </c>
      <c r="AA237" s="86"/>
      <c r="AB237" s="86"/>
      <c r="AC237" s="197"/>
    </row>
    <row r="238" spans="1:29" x14ac:dyDescent="0.25">
      <c r="A238" s="85" t="s">
        <v>266</v>
      </c>
      <c r="B238" s="85">
        <v>1962052498</v>
      </c>
      <c r="C238" s="86">
        <v>3</v>
      </c>
      <c r="D238" s="86">
        <v>2020</v>
      </c>
      <c r="E238" s="197">
        <v>133236</v>
      </c>
      <c r="F238" s="87" t="s">
        <v>370</v>
      </c>
      <c r="G238" s="86">
        <v>3</v>
      </c>
      <c r="H238" s="86">
        <v>2021</v>
      </c>
      <c r="I238" s="197">
        <v>96241</v>
      </c>
      <c r="J238" s="87" t="s">
        <v>370</v>
      </c>
      <c r="K238" s="86">
        <v>3</v>
      </c>
      <c r="L238" s="86">
        <v>2022</v>
      </c>
      <c r="M238" s="197">
        <v>71526</v>
      </c>
      <c r="N238" s="87" t="s">
        <v>370</v>
      </c>
      <c r="O238" s="86"/>
      <c r="P238" s="86"/>
      <c r="Q238" s="197"/>
      <c r="R238" s="87" t="s">
        <v>370</v>
      </c>
      <c r="S238" s="86"/>
      <c r="T238" s="86"/>
      <c r="U238" s="197"/>
      <c r="V238" s="87" t="s">
        <v>370</v>
      </c>
      <c r="W238" s="86"/>
      <c r="X238" s="86"/>
      <c r="Y238" s="197"/>
      <c r="Z238" s="87" t="s">
        <v>370</v>
      </c>
      <c r="AA238" s="86"/>
      <c r="AB238" s="86"/>
      <c r="AC238" s="197"/>
    </row>
    <row r="239" spans="1:29" x14ac:dyDescent="0.25">
      <c r="A239" s="85" t="s">
        <v>267</v>
      </c>
      <c r="B239" s="85">
        <v>1225688757</v>
      </c>
      <c r="C239" s="86">
        <v>3</v>
      </c>
      <c r="D239" s="86">
        <v>2020</v>
      </c>
      <c r="E239" s="197">
        <v>253965</v>
      </c>
      <c r="F239" s="87" t="s">
        <v>370</v>
      </c>
      <c r="G239" s="86">
        <v>3</v>
      </c>
      <c r="H239" s="86">
        <v>2021</v>
      </c>
      <c r="I239" s="197">
        <v>264087</v>
      </c>
      <c r="J239" s="87" t="s">
        <v>370</v>
      </c>
      <c r="K239" s="86"/>
      <c r="L239" s="86"/>
      <c r="M239" s="197"/>
      <c r="N239" s="87" t="s">
        <v>370</v>
      </c>
      <c r="O239" s="86"/>
      <c r="P239" s="86"/>
      <c r="Q239" s="197"/>
      <c r="R239" s="87" t="s">
        <v>370</v>
      </c>
      <c r="S239" s="86"/>
      <c r="T239" s="86"/>
      <c r="U239" s="197"/>
      <c r="V239" s="87" t="s">
        <v>370</v>
      </c>
      <c r="W239" s="86"/>
      <c r="X239" s="86"/>
      <c r="Y239" s="197"/>
      <c r="Z239" s="87" t="s">
        <v>370</v>
      </c>
      <c r="AA239" s="86"/>
      <c r="AB239" s="86"/>
      <c r="AC239" s="197"/>
    </row>
    <row r="240" spans="1:29" x14ac:dyDescent="0.25">
      <c r="A240" s="85" t="s">
        <v>268</v>
      </c>
      <c r="B240" s="85">
        <v>1851941389</v>
      </c>
      <c r="C240" s="86">
        <v>3</v>
      </c>
      <c r="D240" s="86">
        <v>2019</v>
      </c>
      <c r="E240" s="197">
        <v>89398</v>
      </c>
      <c r="F240" s="87" t="s">
        <v>370</v>
      </c>
      <c r="G240" s="86">
        <v>3</v>
      </c>
      <c r="H240" s="86">
        <v>2020</v>
      </c>
      <c r="I240" s="197">
        <v>189127</v>
      </c>
      <c r="J240" s="87" t="s">
        <v>370</v>
      </c>
      <c r="K240" s="86">
        <v>3</v>
      </c>
      <c r="L240" s="86">
        <v>2021</v>
      </c>
      <c r="M240" s="197">
        <v>160064</v>
      </c>
      <c r="N240" s="87" t="s">
        <v>370</v>
      </c>
      <c r="O240" s="86">
        <v>3</v>
      </c>
      <c r="P240" s="86">
        <v>2022</v>
      </c>
      <c r="Q240" s="197">
        <v>115657</v>
      </c>
      <c r="R240" s="87" t="s">
        <v>370</v>
      </c>
      <c r="S240" s="86"/>
      <c r="T240" s="86"/>
      <c r="U240" s="197"/>
      <c r="V240" s="87" t="s">
        <v>370</v>
      </c>
      <c r="W240" s="86"/>
      <c r="X240" s="86"/>
      <c r="Y240" s="197"/>
      <c r="Z240" s="87" t="s">
        <v>370</v>
      </c>
      <c r="AA240" s="86"/>
      <c r="AB240" s="86"/>
      <c r="AC240" s="197"/>
    </row>
    <row r="241" spans="1:29" x14ac:dyDescent="0.25">
      <c r="A241" s="85" t="s">
        <v>478</v>
      </c>
      <c r="B241" s="85">
        <v>1194779504</v>
      </c>
      <c r="C241" s="86">
        <v>3</v>
      </c>
      <c r="D241" s="86">
        <v>2020</v>
      </c>
      <c r="E241" s="197">
        <v>168750</v>
      </c>
      <c r="F241" s="87" t="s">
        <v>370</v>
      </c>
      <c r="G241" s="86">
        <v>3</v>
      </c>
      <c r="H241" s="86">
        <v>2021</v>
      </c>
      <c r="I241" s="197">
        <v>190364</v>
      </c>
      <c r="J241" s="87" t="s">
        <v>370</v>
      </c>
      <c r="K241" s="86"/>
      <c r="L241" s="86"/>
      <c r="M241" s="197"/>
      <c r="N241" s="87" t="s">
        <v>370</v>
      </c>
      <c r="O241" s="86"/>
      <c r="P241" s="86"/>
      <c r="Q241" s="197"/>
      <c r="R241" s="87" t="s">
        <v>370</v>
      </c>
      <c r="S241" s="86"/>
      <c r="T241" s="86"/>
      <c r="U241" s="197"/>
      <c r="V241" s="87" t="s">
        <v>370</v>
      </c>
      <c r="W241" s="86"/>
      <c r="X241" s="86"/>
      <c r="Y241" s="197"/>
      <c r="Z241" s="87" t="s">
        <v>370</v>
      </c>
      <c r="AA241" s="86"/>
      <c r="AB241" s="86"/>
      <c r="AC241" s="197"/>
    </row>
    <row r="242" spans="1:29" x14ac:dyDescent="0.25">
      <c r="A242" s="85" t="s">
        <v>269</v>
      </c>
      <c r="B242" s="85">
        <v>1538137468</v>
      </c>
      <c r="C242" s="86"/>
      <c r="D242" s="86"/>
      <c r="E242" s="197"/>
      <c r="F242" s="87" t="s">
        <v>370</v>
      </c>
      <c r="G242" s="86"/>
      <c r="H242" s="86"/>
      <c r="I242" s="197"/>
      <c r="J242" s="87" t="s">
        <v>370</v>
      </c>
      <c r="K242" s="86"/>
      <c r="L242" s="86"/>
      <c r="M242" s="197"/>
      <c r="N242" s="87" t="s">
        <v>370</v>
      </c>
      <c r="O242" s="86"/>
      <c r="P242" s="86"/>
      <c r="Q242" s="197"/>
      <c r="R242" s="87" t="s">
        <v>370</v>
      </c>
      <c r="S242" s="86"/>
      <c r="T242" s="86"/>
      <c r="U242" s="197"/>
      <c r="V242" s="87" t="s">
        <v>370</v>
      </c>
      <c r="W242" s="86"/>
      <c r="X242" s="86"/>
      <c r="Y242" s="197"/>
      <c r="Z242" s="87" t="s">
        <v>370</v>
      </c>
      <c r="AA242" s="86"/>
      <c r="AB242" s="86"/>
      <c r="AC242" s="197"/>
    </row>
    <row r="243" spans="1:29" x14ac:dyDescent="0.25">
      <c r="A243" s="88" t="s">
        <v>270</v>
      </c>
      <c r="B243" s="85">
        <v>1780693663</v>
      </c>
      <c r="C243" s="86">
        <v>3</v>
      </c>
      <c r="D243" s="86">
        <v>2016</v>
      </c>
      <c r="E243" s="197">
        <v>223969</v>
      </c>
      <c r="F243" s="87" t="s">
        <v>370</v>
      </c>
      <c r="G243" s="86">
        <v>3</v>
      </c>
      <c r="H243" s="86">
        <v>2017</v>
      </c>
      <c r="I243" s="197">
        <v>56608</v>
      </c>
      <c r="J243" s="87" t="s">
        <v>370</v>
      </c>
      <c r="K243" s="86">
        <v>3</v>
      </c>
      <c r="L243" s="86">
        <v>2018</v>
      </c>
      <c r="M243" s="197">
        <v>62907</v>
      </c>
      <c r="N243" s="87" t="s">
        <v>370</v>
      </c>
      <c r="O243" s="86">
        <v>3</v>
      </c>
      <c r="P243" s="86">
        <v>2019</v>
      </c>
      <c r="Q243" s="197">
        <v>367036</v>
      </c>
      <c r="R243" s="87" t="s">
        <v>370</v>
      </c>
      <c r="S243" s="86">
        <v>3</v>
      </c>
      <c r="T243" s="86">
        <v>2020</v>
      </c>
      <c r="U243" s="197">
        <v>41320</v>
      </c>
      <c r="V243" s="87" t="s">
        <v>370</v>
      </c>
      <c r="W243" s="86">
        <v>3</v>
      </c>
      <c r="X243" s="86">
        <v>2021</v>
      </c>
      <c r="Y243" s="197">
        <v>66440</v>
      </c>
      <c r="Z243" s="87" t="s">
        <v>370</v>
      </c>
      <c r="AA243" s="86"/>
      <c r="AB243" s="86"/>
      <c r="AC243" s="197"/>
    </row>
    <row r="244" spans="1:29" x14ac:dyDescent="0.25">
      <c r="A244" s="88" t="s">
        <v>271</v>
      </c>
      <c r="B244" s="85">
        <v>1407966864</v>
      </c>
      <c r="C244" s="86"/>
      <c r="D244" s="86"/>
      <c r="E244" s="197"/>
      <c r="F244" s="87" t="s">
        <v>370</v>
      </c>
      <c r="G244" s="86"/>
      <c r="H244" s="86"/>
      <c r="I244" s="197"/>
      <c r="J244" s="87" t="s">
        <v>370</v>
      </c>
      <c r="K244" s="86"/>
      <c r="L244" s="86"/>
      <c r="M244" s="197"/>
      <c r="N244" s="87" t="s">
        <v>370</v>
      </c>
      <c r="O244" s="86"/>
      <c r="P244" s="86"/>
      <c r="Q244" s="197"/>
      <c r="R244" s="87" t="s">
        <v>370</v>
      </c>
      <c r="S244" s="86"/>
      <c r="T244" s="86"/>
      <c r="U244" s="197"/>
      <c r="V244" s="87" t="s">
        <v>370</v>
      </c>
      <c r="W244" s="86"/>
      <c r="X244" s="86"/>
      <c r="Y244" s="197"/>
      <c r="Z244" s="87" t="s">
        <v>370</v>
      </c>
      <c r="AA244" s="86"/>
      <c r="AB244" s="86"/>
      <c r="AC244" s="197"/>
    </row>
    <row r="245" spans="1:29" x14ac:dyDescent="0.25">
      <c r="A245" s="88" t="s">
        <v>794</v>
      </c>
      <c r="B245" s="85">
        <v>1942583752</v>
      </c>
      <c r="C245" s="86">
        <v>3</v>
      </c>
      <c r="D245" s="86">
        <v>2017</v>
      </c>
      <c r="E245" s="197">
        <v>3222922</v>
      </c>
      <c r="F245" s="87" t="s">
        <v>370</v>
      </c>
      <c r="G245" s="86"/>
      <c r="H245" s="86"/>
      <c r="I245" s="197"/>
      <c r="J245" s="87" t="s">
        <v>370</v>
      </c>
      <c r="K245" s="86"/>
      <c r="L245" s="86"/>
      <c r="M245" s="197"/>
      <c r="N245" s="87" t="s">
        <v>370</v>
      </c>
      <c r="O245" s="86"/>
      <c r="P245" s="86"/>
      <c r="Q245" s="197"/>
      <c r="R245" s="87" t="s">
        <v>370</v>
      </c>
      <c r="S245" s="86"/>
      <c r="T245" s="86"/>
      <c r="U245" s="197"/>
      <c r="V245" s="87" t="s">
        <v>370</v>
      </c>
      <c r="W245" s="86"/>
      <c r="X245" s="86"/>
      <c r="Y245" s="197"/>
      <c r="Z245" s="87" t="s">
        <v>370</v>
      </c>
      <c r="AA245" s="86"/>
      <c r="AB245" s="86"/>
      <c r="AC245" s="197"/>
    </row>
    <row r="246" spans="1:29" x14ac:dyDescent="0.25">
      <c r="A246" s="88" t="s">
        <v>273</v>
      </c>
      <c r="B246" s="85">
        <v>1144646274</v>
      </c>
      <c r="C246" s="86">
        <v>3</v>
      </c>
      <c r="D246" s="86">
        <v>2019</v>
      </c>
      <c r="E246" s="197">
        <v>95197</v>
      </c>
      <c r="F246" s="87" t="s">
        <v>370</v>
      </c>
      <c r="G246" s="86">
        <v>3</v>
      </c>
      <c r="H246" s="86">
        <v>2021</v>
      </c>
      <c r="I246" s="197">
        <v>130038</v>
      </c>
      <c r="J246" s="87" t="s">
        <v>370</v>
      </c>
      <c r="K246" s="86">
        <v>3</v>
      </c>
      <c r="L246" s="86">
        <v>2022</v>
      </c>
      <c r="M246" s="197">
        <v>245923</v>
      </c>
      <c r="N246" s="87" t="s">
        <v>370</v>
      </c>
      <c r="O246" s="86"/>
      <c r="P246" s="86"/>
      <c r="Q246" s="197"/>
      <c r="R246" s="87" t="s">
        <v>370</v>
      </c>
      <c r="S246" s="86"/>
      <c r="T246" s="86"/>
      <c r="U246" s="197"/>
      <c r="V246" s="87" t="s">
        <v>370</v>
      </c>
      <c r="W246" s="86"/>
      <c r="X246" s="86"/>
      <c r="Y246" s="197"/>
      <c r="Z246" s="87" t="s">
        <v>370</v>
      </c>
      <c r="AA246" s="86"/>
      <c r="AB246" s="86"/>
      <c r="AC246" s="197"/>
    </row>
    <row r="247" spans="1:29" x14ac:dyDescent="0.25">
      <c r="A247" s="85" t="s">
        <v>274</v>
      </c>
      <c r="B247" s="85">
        <v>1124015458</v>
      </c>
      <c r="C247" s="86">
        <v>3</v>
      </c>
      <c r="D247" s="86">
        <v>2018</v>
      </c>
      <c r="E247" s="197">
        <v>227186</v>
      </c>
      <c r="F247" s="87" t="s">
        <v>370</v>
      </c>
      <c r="G247" s="86">
        <v>3</v>
      </c>
      <c r="H247" s="86">
        <v>2019</v>
      </c>
      <c r="I247" s="197">
        <v>140756</v>
      </c>
      <c r="J247" s="87" t="s">
        <v>370</v>
      </c>
      <c r="K247" s="86">
        <v>3</v>
      </c>
      <c r="L247" s="86">
        <v>2021</v>
      </c>
      <c r="M247" s="197">
        <v>223563</v>
      </c>
      <c r="N247" s="87" t="s">
        <v>370</v>
      </c>
      <c r="O247" s="86">
        <v>3</v>
      </c>
      <c r="P247" s="86">
        <v>2022</v>
      </c>
      <c r="Q247" s="197">
        <v>74383</v>
      </c>
      <c r="R247" s="87" t="s">
        <v>370</v>
      </c>
      <c r="S247" s="86"/>
      <c r="T247" s="86"/>
      <c r="U247" s="197"/>
      <c r="V247" s="87" t="s">
        <v>370</v>
      </c>
      <c r="W247" s="86"/>
      <c r="X247" s="86"/>
      <c r="Y247" s="197"/>
      <c r="Z247" s="87" t="s">
        <v>370</v>
      </c>
      <c r="AA247" s="86"/>
      <c r="AB247" s="86"/>
      <c r="AC247" s="197"/>
    </row>
    <row r="248" spans="1:29" x14ac:dyDescent="0.25">
      <c r="A248" s="85" t="s">
        <v>479</v>
      </c>
      <c r="B248" s="85">
        <v>1982640785</v>
      </c>
      <c r="C248" s="86">
        <v>3</v>
      </c>
      <c r="D248" s="86">
        <v>2017</v>
      </c>
      <c r="E248" s="197">
        <v>129229</v>
      </c>
      <c r="F248" s="87" t="s">
        <v>370</v>
      </c>
      <c r="G248" s="86">
        <v>3</v>
      </c>
      <c r="H248" s="86">
        <v>2021</v>
      </c>
      <c r="I248" s="197">
        <v>384169</v>
      </c>
      <c r="J248" s="87" t="s">
        <v>370</v>
      </c>
      <c r="K248" s="86">
        <v>3</v>
      </c>
      <c r="L248" s="86">
        <v>2022</v>
      </c>
      <c r="M248" s="197">
        <v>470850</v>
      </c>
      <c r="N248" s="87" t="s">
        <v>370</v>
      </c>
      <c r="O248" s="86"/>
      <c r="P248" s="86"/>
      <c r="Q248" s="197"/>
      <c r="R248" s="87" t="s">
        <v>370</v>
      </c>
      <c r="S248" s="86"/>
      <c r="T248" s="86"/>
      <c r="U248" s="197"/>
      <c r="V248" s="87" t="s">
        <v>370</v>
      </c>
      <c r="W248" s="86"/>
      <c r="X248" s="86"/>
      <c r="Y248" s="197"/>
      <c r="Z248" s="87" t="s">
        <v>370</v>
      </c>
      <c r="AA248" s="86"/>
      <c r="AB248" s="86"/>
      <c r="AC248" s="197"/>
    </row>
    <row r="249" spans="1:29" x14ac:dyDescent="0.25">
      <c r="A249" s="85" t="s">
        <v>275</v>
      </c>
      <c r="B249" s="85">
        <v>1922456664</v>
      </c>
      <c r="C249" s="86"/>
      <c r="D249" s="86"/>
      <c r="E249" s="197"/>
      <c r="F249" s="87" t="s">
        <v>370</v>
      </c>
      <c r="G249" s="86"/>
      <c r="H249" s="86"/>
      <c r="I249" s="197"/>
      <c r="J249" s="87" t="s">
        <v>370</v>
      </c>
      <c r="K249" s="86"/>
      <c r="L249" s="86"/>
      <c r="M249" s="197"/>
      <c r="N249" s="87" t="s">
        <v>370</v>
      </c>
      <c r="O249" s="86"/>
      <c r="P249" s="86"/>
      <c r="Q249" s="197"/>
      <c r="R249" s="87" t="s">
        <v>370</v>
      </c>
      <c r="S249" s="86"/>
      <c r="T249" s="86"/>
      <c r="U249" s="197"/>
      <c r="V249" s="87" t="s">
        <v>370</v>
      </c>
      <c r="W249" s="86"/>
      <c r="X249" s="86"/>
      <c r="Y249" s="197"/>
      <c r="Z249" s="87" t="s">
        <v>370</v>
      </c>
      <c r="AA249" s="86"/>
      <c r="AB249" s="86"/>
      <c r="AC249" s="197"/>
    </row>
    <row r="250" spans="1:29" x14ac:dyDescent="0.25">
      <c r="A250" s="85" t="s">
        <v>480</v>
      </c>
      <c r="B250" s="85">
        <v>1811923931</v>
      </c>
      <c r="C250" s="86">
        <v>3</v>
      </c>
      <c r="D250" s="86">
        <v>2018</v>
      </c>
      <c r="E250" s="197">
        <v>1193236</v>
      </c>
      <c r="F250" s="87" t="s">
        <v>370</v>
      </c>
      <c r="G250" s="86">
        <v>3</v>
      </c>
      <c r="H250" s="86">
        <v>2019</v>
      </c>
      <c r="I250" s="197">
        <v>52024</v>
      </c>
      <c r="J250" s="87" t="s">
        <v>370</v>
      </c>
      <c r="K250" s="86">
        <v>3</v>
      </c>
      <c r="L250" s="86">
        <v>2020</v>
      </c>
      <c r="M250" s="197">
        <v>153874</v>
      </c>
      <c r="N250" s="87" t="s">
        <v>370</v>
      </c>
      <c r="O250" s="86">
        <v>3</v>
      </c>
      <c r="P250" s="86">
        <v>2021</v>
      </c>
      <c r="Q250" s="197">
        <v>382162</v>
      </c>
      <c r="R250" s="87" t="s">
        <v>370</v>
      </c>
      <c r="S250" s="86"/>
      <c r="T250" s="86"/>
      <c r="U250" s="197"/>
      <c r="V250" s="87" t="s">
        <v>370</v>
      </c>
      <c r="W250" s="86"/>
      <c r="X250" s="86"/>
      <c r="Y250" s="197"/>
      <c r="Z250" s="87" t="s">
        <v>370</v>
      </c>
      <c r="AA250" s="86"/>
      <c r="AB250" s="86"/>
      <c r="AC250" s="197"/>
    </row>
    <row r="251" spans="1:29" x14ac:dyDescent="0.25">
      <c r="A251" s="85" t="s">
        <v>276</v>
      </c>
      <c r="B251" s="85">
        <v>1073034138</v>
      </c>
      <c r="C251" s="86">
        <v>3</v>
      </c>
      <c r="D251" s="86">
        <v>2019</v>
      </c>
      <c r="E251" s="197">
        <v>442564</v>
      </c>
      <c r="F251" s="87" t="s">
        <v>370</v>
      </c>
      <c r="G251" s="86">
        <v>3</v>
      </c>
      <c r="H251" s="86">
        <v>2020</v>
      </c>
      <c r="I251" s="197">
        <v>731037</v>
      </c>
      <c r="J251" s="87" t="s">
        <v>370</v>
      </c>
      <c r="K251" s="86">
        <v>3</v>
      </c>
      <c r="L251" s="86">
        <v>2021</v>
      </c>
      <c r="M251" s="197">
        <v>515828</v>
      </c>
      <c r="N251" s="87" t="s">
        <v>370</v>
      </c>
      <c r="O251" s="86">
        <v>3</v>
      </c>
      <c r="P251" s="86">
        <v>2022</v>
      </c>
      <c r="Q251" s="197">
        <v>112307</v>
      </c>
      <c r="R251" s="87" t="s">
        <v>370</v>
      </c>
      <c r="S251" s="86"/>
      <c r="T251" s="86"/>
      <c r="U251" s="197"/>
      <c r="V251" s="87" t="s">
        <v>370</v>
      </c>
      <c r="W251" s="86"/>
      <c r="X251" s="86"/>
      <c r="Y251" s="197"/>
      <c r="Z251" s="87" t="s">
        <v>370</v>
      </c>
      <c r="AA251" s="86"/>
      <c r="AB251" s="86"/>
      <c r="AC251" s="197"/>
    </row>
    <row r="252" spans="1:29" x14ac:dyDescent="0.25">
      <c r="A252" s="88" t="s">
        <v>367</v>
      </c>
      <c r="B252" s="85">
        <v>1720085293</v>
      </c>
      <c r="C252" s="86">
        <v>3</v>
      </c>
      <c r="D252" s="86">
        <v>2019</v>
      </c>
      <c r="E252" s="197">
        <v>123746</v>
      </c>
      <c r="F252" s="87" t="s">
        <v>370</v>
      </c>
      <c r="G252" s="86">
        <v>3</v>
      </c>
      <c r="H252" s="86">
        <v>2020</v>
      </c>
      <c r="I252" s="197">
        <v>126337</v>
      </c>
      <c r="J252" s="87" t="s">
        <v>370</v>
      </c>
      <c r="K252" s="86">
        <v>3</v>
      </c>
      <c r="L252" s="86">
        <v>2021</v>
      </c>
      <c r="M252" s="197">
        <v>347793</v>
      </c>
      <c r="N252" s="87" t="s">
        <v>370</v>
      </c>
      <c r="O252" s="86">
        <v>3</v>
      </c>
      <c r="P252" s="86">
        <v>2022</v>
      </c>
      <c r="Q252" s="197">
        <v>145319</v>
      </c>
      <c r="R252" s="87" t="s">
        <v>370</v>
      </c>
      <c r="S252" s="86"/>
      <c r="T252" s="86"/>
      <c r="U252" s="197"/>
      <c r="V252" s="87" t="s">
        <v>370</v>
      </c>
      <c r="W252" s="86"/>
      <c r="X252" s="86"/>
      <c r="Y252" s="197"/>
      <c r="Z252" s="87" t="s">
        <v>370</v>
      </c>
      <c r="AA252" s="86"/>
      <c r="AB252" s="86"/>
      <c r="AC252" s="197"/>
    </row>
    <row r="253" spans="1:29" x14ac:dyDescent="0.25">
      <c r="A253" s="88" t="s">
        <v>481</v>
      </c>
      <c r="B253" s="85">
        <v>1962447565</v>
      </c>
      <c r="C253" s="86">
        <v>3</v>
      </c>
      <c r="D253" s="86">
        <v>2017</v>
      </c>
      <c r="E253" s="197">
        <v>152481</v>
      </c>
      <c r="F253" s="87" t="s">
        <v>370</v>
      </c>
      <c r="G253" s="86">
        <v>3</v>
      </c>
      <c r="H253" s="86">
        <v>2019</v>
      </c>
      <c r="I253" s="197">
        <v>308877</v>
      </c>
      <c r="J253" s="87" t="s">
        <v>370</v>
      </c>
      <c r="K253" s="86">
        <v>3</v>
      </c>
      <c r="L253" s="86">
        <v>2020</v>
      </c>
      <c r="M253" s="197">
        <v>129799</v>
      </c>
      <c r="N253" s="87" t="s">
        <v>370</v>
      </c>
      <c r="O253" s="86"/>
      <c r="P253" s="86"/>
      <c r="Q253" s="197"/>
      <c r="R253" s="87" t="s">
        <v>370</v>
      </c>
      <c r="S253" s="86"/>
      <c r="T253" s="86"/>
      <c r="U253" s="197"/>
      <c r="V253" s="87" t="s">
        <v>370</v>
      </c>
      <c r="W253" s="86"/>
      <c r="X253" s="86"/>
      <c r="Y253" s="197"/>
      <c r="Z253" s="87" t="s">
        <v>370</v>
      </c>
      <c r="AA253" s="86"/>
      <c r="AB253" s="86"/>
      <c r="AC253" s="197"/>
    </row>
    <row r="254" spans="1:29" x14ac:dyDescent="0.25">
      <c r="A254" s="96" t="s">
        <v>482</v>
      </c>
      <c r="B254" s="85">
        <v>1891871901</v>
      </c>
      <c r="C254" s="86"/>
      <c r="D254" s="86"/>
      <c r="E254" s="197"/>
      <c r="F254" s="87" t="s">
        <v>370</v>
      </c>
      <c r="G254" s="86"/>
      <c r="H254" s="86"/>
      <c r="I254" s="197"/>
      <c r="J254" s="87" t="s">
        <v>370</v>
      </c>
      <c r="K254" s="86"/>
      <c r="L254" s="86"/>
      <c r="M254" s="197"/>
      <c r="N254" s="87" t="s">
        <v>370</v>
      </c>
      <c r="O254" s="86"/>
      <c r="P254" s="86"/>
      <c r="Q254" s="197"/>
      <c r="R254" s="87" t="s">
        <v>370</v>
      </c>
      <c r="S254" s="86"/>
      <c r="T254" s="86"/>
      <c r="U254" s="197"/>
      <c r="V254" s="87" t="s">
        <v>370</v>
      </c>
      <c r="W254" s="86"/>
      <c r="X254" s="86"/>
      <c r="Y254" s="197"/>
      <c r="Z254" s="87" t="s">
        <v>370</v>
      </c>
      <c r="AA254" s="86"/>
      <c r="AB254" s="86"/>
      <c r="AC254" s="197"/>
    </row>
    <row r="255" spans="1:29" x14ac:dyDescent="0.25">
      <c r="A255" s="88" t="s">
        <v>277</v>
      </c>
      <c r="B255" s="85">
        <v>1720166838</v>
      </c>
      <c r="C255" s="86"/>
      <c r="D255" s="86"/>
      <c r="E255" s="197"/>
      <c r="F255" s="87" t="s">
        <v>370</v>
      </c>
      <c r="G255" s="86"/>
      <c r="H255" s="86"/>
      <c r="I255" s="197"/>
      <c r="J255" s="87" t="s">
        <v>370</v>
      </c>
      <c r="K255" s="86"/>
      <c r="L255" s="86"/>
      <c r="M255" s="197"/>
      <c r="N255" s="87" t="s">
        <v>370</v>
      </c>
      <c r="O255" s="86"/>
      <c r="P255" s="86"/>
      <c r="Q255" s="197"/>
      <c r="R255" s="87" t="s">
        <v>370</v>
      </c>
      <c r="S255" s="86"/>
      <c r="T255" s="86"/>
      <c r="U255" s="197"/>
      <c r="V255" s="87" t="s">
        <v>370</v>
      </c>
      <c r="W255" s="86"/>
      <c r="X255" s="86"/>
      <c r="Y255" s="197"/>
      <c r="Z255" s="87" t="s">
        <v>370</v>
      </c>
      <c r="AA255" s="86"/>
      <c r="AB255" s="86"/>
      <c r="AC255" s="197"/>
    </row>
    <row r="256" spans="1:29" x14ac:dyDescent="0.25">
      <c r="A256" s="88" t="s">
        <v>483</v>
      </c>
      <c r="B256" s="85">
        <v>1518112036</v>
      </c>
      <c r="C256" s="86">
        <v>3</v>
      </c>
      <c r="D256" s="86">
        <v>2016</v>
      </c>
      <c r="E256" s="197">
        <v>177066</v>
      </c>
      <c r="F256" s="87" t="s">
        <v>370</v>
      </c>
      <c r="G256" s="86">
        <v>3</v>
      </c>
      <c r="H256" s="86">
        <v>2017</v>
      </c>
      <c r="I256" s="197">
        <v>71779</v>
      </c>
      <c r="J256" s="87" t="s">
        <v>370</v>
      </c>
      <c r="K256" s="86">
        <v>3</v>
      </c>
      <c r="L256" s="86">
        <v>2018</v>
      </c>
      <c r="M256" s="197">
        <v>143298</v>
      </c>
      <c r="N256" s="87" t="s">
        <v>370</v>
      </c>
      <c r="O256" s="86">
        <v>3</v>
      </c>
      <c r="P256" s="86">
        <v>2019</v>
      </c>
      <c r="Q256" s="197">
        <v>157662</v>
      </c>
      <c r="R256" s="87" t="s">
        <v>370</v>
      </c>
      <c r="S256" s="86">
        <v>3</v>
      </c>
      <c r="T256" s="86">
        <v>2020</v>
      </c>
      <c r="U256" s="197">
        <v>104168</v>
      </c>
      <c r="V256" s="87" t="s">
        <v>370</v>
      </c>
      <c r="W256" s="86">
        <v>3</v>
      </c>
      <c r="X256" s="86">
        <v>2022</v>
      </c>
      <c r="Y256" s="197">
        <v>116415</v>
      </c>
      <c r="Z256" s="87" t="s">
        <v>370</v>
      </c>
      <c r="AA256" s="86"/>
      <c r="AB256" s="86"/>
      <c r="AC256" s="197"/>
    </row>
    <row r="257" spans="1:29" x14ac:dyDescent="0.25">
      <c r="A257" s="85" t="s">
        <v>484</v>
      </c>
      <c r="B257" s="85">
        <v>1447435722</v>
      </c>
      <c r="C257" s="86">
        <v>3</v>
      </c>
      <c r="D257" s="86">
        <v>2016</v>
      </c>
      <c r="E257" s="197">
        <v>151020</v>
      </c>
      <c r="F257" s="87" t="s">
        <v>370</v>
      </c>
      <c r="G257" s="86">
        <v>3</v>
      </c>
      <c r="H257" s="86">
        <v>2017</v>
      </c>
      <c r="I257" s="197">
        <v>143328</v>
      </c>
      <c r="J257" s="87" t="s">
        <v>370</v>
      </c>
      <c r="K257" s="86">
        <v>3</v>
      </c>
      <c r="L257" s="86">
        <v>2018</v>
      </c>
      <c r="M257" s="197">
        <v>104755</v>
      </c>
      <c r="N257" s="87" t="s">
        <v>370</v>
      </c>
      <c r="O257" s="86">
        <v>3</v>
      </c>
      <c r="P257" s="86">
        <v>2019</v>
      </c>
      <c r="Q257" s="197">
        <v>204631</v>
      </c>
      <c r="R257" s="87" t="s">
        <v>370</v>
      </c>
      <c r="S257" s="86">
        <v>3</v>
      </c>
      <c r="T257" s="86">
        <v>2020</v>
      </c>
      <c r="U257" s="197">
        <v>66292</v>
      </c>
      <c r="V257" s="87" t="s">
        <v>370</v>
      </c>
      <c r="W257" s="86">
        <v>3</v>
      </c>
      <c r="X257" s="86">
        <v>2022</v>
      </c>
      <c r="Y257" s="197">
        <v>65598</v>
      </c>
      <c r="Z257" s="87" t="s">
        <v>370</v>
      </c>
      <c r="AA257" s="86"/>
      <c r="AB257" s="86"/>
      <c r="AC257" s="197"/>
    </row>
    <row r="258" spans="1:29" x14ac:dyDescent="0.25">
      <c r="A258" s="85" t="s">
        <v>485</v>
      </c>
      <c r="B258" s="85">
        <v>1245287762</v>
      </c>
      <c r="C258" s="86">
        <v>3</v>
      </c>
      <c r="D258" s="86">
        <v>2016</v>
      </c>
      <c r="E258" s="197">
        <v>137564</v>
      </c>
      <c r="F258" s="87" t="s">
        <v>370</v>
      </c>
      <c r="G258" s="86">
        <v>3</v>
      </c>
      <c r="H258" s="86">
        <v>2019</v>
      </c>
      <c r="I258" s="197">
        <v>125286</v>
      </c>
      <c r="J258" s="87" t="s">
        <v>370</v>
      </c>
      <c r="K258" s="86">
        <v>3</v>
      </c>
      <c r="L258" s="86">
        <v>2020</v>
      </c>
      <c r="M258" s="197">
        <v>94646</v>
      </c>
      <c r="N258" s="87" t="s">
        <v>370</v>
      </c>
      <c r="O258" s="86">
        <v>3</v>
      </c>
      <c r="P258" s="86">
        <v>2022</v>
      </c>
      <c r="Q258" s="197">
        <v>151108</v>
      </c>
      <c r="R258" s="87" t="s">
        <v>370</v>
      </c>
      <c r="S258" s="86"/>
      <c r="T258" s="86"/>
      <c r="U258" s="197"/>
      <c r="V258" s="87" t="s">
        <v>370</v>
      </c>
      <c r="W258" s="86"/>
      <c r="X258" s="86"/>
      <c r="Y258" s="197"/>
      <c r="Z258" s="87" t="s">
        <v>370</v>
      </c>
      <c r="AA258" s="86"/>
      <c r="AB258" s="86"/>
      <c r="AC258" s="197"/>
    </row>
    <row r="259" spans="1:29" x14ac:dyDescent="0.25">
      <c r="A259" s="88" t="s">
        <v>486</v>
      </c>
      <c r="B259" s="85">
        <v>1134175524</v>
      </c>
      <c r="C259" s="86">
        <v>3</v>
      </c>
      <c r="D259" s="86">
        <v>2016</v>
      </c>
      <c r="E259" s="197">
        <v>52755</v>
      </c>
      <c r="F259" s="87" t="s">
        <v>370</v>
      </c>
      <c r="G259" s="86">
        <v>3</v>
      </c>
      <c r="H259" s="86">
        <v>2017</v>
      </c>
      <c r="I259" s="197">
        <v>149097</v>
      </c>
      <c r="J259" s="87" t="s">
        <v>370</v>
      </c>
      <c r="K259" s="86">
        <v>3</v>
      </c>
      <c r="L259" s="86">
        <v>2018</v>
      </c>
      <c r="M259" s="197">
        <v>56812</v>
      </c>
      <c r="N259" s="87" t="s">
        <v>370</v>
      </c>
      <c r="O259" s="86">
        <v>3</v>
      </c>
      <c r="P259" s="86">
        <v>2019</v>
      </c>
      <c r="Q259" s="197">
        <v>50173</v>
      </c>
      <c r="R259" s="87" t="s">
        <v>370</v>
      </c>
      <c r="S259" s="86">
        <v>3</v>
      </c>
      <c r="T259" s="86">
        <v>2020</v>
      </c>
      <c r="U259" s="197">
        <v>43011</v>
      </c>
      <c r="V259" s="87" t="s">
        <v>370</v>
      </c>
      <c r="W259" s="86">
        <v>3</v>
      </c>
      <c r="X259" s="86">
        <v>2022</v>
      </c>
      <c r="Y259" s="197">
        <v>139269</v>
      </c>
      <c r="Z259" s="87" t="s">
        <v>370</v>
      </c>
      <c r="AA259" s="86"/>
      <c r="AB259" s="86"/>
      <c r="AC259" s="197"/>
    </row>
    <row r="260" spans="1:29" x14ac:dyDescent="0.25">
      <c r="A260" s="88" t="s">
        <v>487</v>
      </c>
      <c r="B260" s="85">
        <v>1144277666</v>
      </c>
      <c r="C260" s="86">
        <v>3</v>
      </c>
      <c r="D260" s="86">
        <v>2016</v>
      </c>
      <c r="E260" s="197">
        <v>76726</v>
      </c>
      <c r="F260" s="87" t="s">
        <v>370</v>
      </c>
      <c r="G260" s="86">
        <v>3</v>
      </c>
      <c r="H260" s="86">
        <v>2017</v>
      </c>
      <c r="I260" s="197">
        <v>271109</v>
      </c>
      <c r="J260" s="87" t="s">
        <v>370</v>
      </c>
      <c r="K260" s="86">
        <v>3</v>
      </c>
      <c r="L260" s="86">
        <v>2018</v>
      </c>
      <c r="M260" s="197">
        <v>205278</v>
      </c>
      <c r="N260" s="87" t="s">
        <v>370</v>
      </c>
      <c r="O260" s="86">
        <v>3</v>
      </c>
      <c r="P260" s="86">
        <v>2019</v>
      </c>
      <c r="Q260" s="197">
        <v>114911</v>
      </c>
      <c r="R260" s="87" t="s">
        <v>370</v>
      </c>
      <c r="S260" s="86">
        <v>3</v>
      </c>
      <c r="T260" s="86">
        <v>2020</v>
      </c>
      <c r="U260" s="197">
        <v>88963</v>
      </c>
      <c r="V260" s="87" t="s">
        <v>370</v>
      </c>
      <c r="W260" s="86"/>
      <c r="X260" s="86"/>
      <c r="Y260" s="197"/>
      <c r="Z260" s="87" t="s">
        <v>370</v>
      </c>
      <c r="AA260" s="86"/>
      <c r="AB260" s="86"/>
      <c r="AC260" s="197"/>
    </row>
    <row r="261" spans="1:29" x14ac:dyDescent="0.25">
      <c r="A261" s="88" t="s">
        <v>488</v>
      </c>
      <c r="B261" s="85">
        <v>1245285253</v>
      </c>
      <c r="C261" s="86">
        <v>3</v>
      </c>
      <c r="D261" s="86">
        <v>2016</v>
      </c>
      <c r="E261" s="197">
        <v>84245</v>
      </c>
      <c r="F261" s="87" t="s">
        <v>370</v>
      </c>
      <c r="G261" s="86">
        <v>3</v>
      </c>
      <c r="H261" s="86">
        <v>2017</v>
      </c>
      <c r="I261" s="197">
        <v>348434</v>
      </c>
      <c r="J261" s="87" t="s">
        <v>370</v>
      </c>
      <c r="K261" s="86">
        <v>3</v>
      </c>
      <c r="L261" s="86">
        <v>2018</v>
      </c>
      <c r="M261" s="197">
        <v>120732</v>
      </c>
      <c r="N261" s="87" t="s">
        <v>370</v>
      </c>
      <c r="O261" s="86">
        <v>3</v>
      </c>
      <c r="P261" s="86">
        <v>2019</v>
      </c>
      <c r="Q261" s="197">
        <v>72762</v>
      </c>
      <c r="R261" s="87" t="s">
        <v>370</v>
      </c>
      <c r="S261" s="86">
        <v>3</v>
      </c>
      <c r="T261" s="86">
        <v>2020</v>
      </c>
      <c r="U261" s="197">
        <v>60493</v>
      </c>
      <c r="V261" s="87" t="s">
        <v>370</v>
      </c>
      <c r="W261" s="86">
        <v>3</v>
      </c>
      <c r="X261" s="86">
        <v>2022</v>
      </c>
      <c r="Y261" s="197">
        <v>323360</v>
      </c>
      <c r="Z261" s="87" t="s">
        <v>370</v>
      </c>
      <c r="AA261" s="86"/>
      <c r="AB261" s="86"/>
      <c r="AC261" s="197"/>
    </row>
    <row r="262" spans="1:29" x14ac:dyDescent="0.25">
      <c r="A262" s="88" t="s">
        <v>489</v>
      </c>
      <c r="B262" s="85">
        <v>1730136250</v>
      </c>
      <c r="C262" s="86">
        <v>3</v>
      </c>
      <c r="D262" s="86">
        <v>2016</v>
      </c>
      <c r="E262" s="197">
        <v>109068</v>
      </c>
      <c r="F262" s="87" t="s">
        <v>370</v>
      </c>
      <c r="G262" s="86">
        <v>3</v>
      </c>
      <c r="H262" s="86">
        <v>2017</v>
      </c>
      <c r="I262" s="197">
        <v>85197</v>
      </c>
      <c r="J262" s="87" t="s">
        <v>370</v>
      </c>
      <c r="K262" s="86">
        <v>3</v>
      </c>
      <c r="L262" s="86">
        <v>2018</v>
      </c>
      <c r="M262" s="197">
        <v>192545</v>
      </c>
      <c r="N262" s="87" t="s">
        <v>370</v>
      </c>
      <c r="O262" s="86">
        <v>3</v>
      </c>
      <c r="P262" s="86">
        <v>2019</v>
      </c>
      <c r="Q262" s="197">
        <v>153851</v>
      </c>
      <c r="R262" s="87" t="s">
        <v>370</v>
      </c>
      <c r="S262" s="86">
        <v>3</v>
      </c>
      <c r="T262" s="86">
        <v>2020</v>
      </c>
      <c r="U262" s="197">
        <v>200682</v>
      </c>
      <c r="V262" s="87" t="s">
        <v>370</v>
      </c>
      <c r="W262" s="86">
        <v>3</v>
      </c>
      <c r="X262" s="86">
        <v>2022</v>
      </c>
      <c r="Y262" s="197">
        <v>148834</v>
      </c>
      <c r="Z262" s="87" t="s">
        <v>370</v>
      </c>
      <c r="AA262" s="86"/>
      <c r="AB262" s="86"/>
      <c r="AC262" s="197"/>
    </row>
    <row r="263" spans="1:29" x14ac:dyDescent="0.25">
      <c r="A263" s="88" t="s">
        <v>490</v>
      </c>
      <c r="B263" s="85">
        <v>1033513320</v>
      </c>
      <c r="C263" s="86">
        <v>3</v>
      </c>
      <c r="D263" s="86">
        <v>2016</v>
      </c>
      <c r="E263" s="197">
        <v>156448</v>
      </c>
      <c r="F263" s="87" t="s">
        <v>370</v>
      </c>
      <c r="G263" s="86">
        <v>3</v>
      </c>
      <c r="H263" s="86">
        <v>2017</v>
      </c>
      <c r="I263" s="197">
        <v>132172</v>
      </c>
      <c r="J263" s="87" t="s">
        <v>370</v>
      </c>
      <c r="K263" s="86">
        <v>3</v>
      </c>
      <c r="L263" s="86">
        <v>2018</v>
      </c>
      <c r="M263" s="197">
        <v>247632</v>
      </c>
      <c r="N263" s="87" t="s">
        <v>370</v>
      </c>
      <c r="O263" s="86">
        <v>3</v>
      </c>
      <c r="P263" s="86">
        <v>2019</v>
      </c>
      <c r="Q263" s="197">
        <v>444938</v>
      </c>
      <c r="R263" s="87" t="s">
        <v>370</v>
      </c>
      <c r="S263" s="86">
        <v>3</v>
      </c>
      <c r="T263" s="86">
        <v>2020</v>
      </c>
      <c r="U263" s="197">
        <v>117034</v>
      </c>
      <c r="V263" s="87" t="s">
        <v>370</v>
      </c>
      <c r="W263" s="86"/>
      <c r="X263" s="86"/>
      <c r="Y263" s="197"/>
      <c r="Z263" s="87" t="s">
        <v>370</v>
      </c>
      <c r="AA263" s="86"/>
      <c r="AB263" s="86"/>
      <c r="AC263" s="197"/>
    </row>
    <row r="264" spans="1:29" x14ac:dyDescent="0.25">
      <c r="A264" s="85" t="s">
        <v>491</v>
      </c>
      <c r="B264" s="85">
        <v>1023358991</v>
      </c>
      <c r="C264" s="86">
        <v>3</v>
      </c>
      <c r="D264" s="86">
        <v>2016</v>
      </c>
      <c r="E264" s="197">
        <v>90490</v>
      </c>
      <c r="F264" s="87" t="s">
        <v>370</v>
      </c>
      <c r="G264" s="86">
        <v>3</v>
      </c>
      <c r="H264" s="86">
        <v>2017</v>
      </c>
      <c r="I264" s="197">
        <v>263236</v>
      </c>
      <c r="J264" s="87" t="s">
        <v>370</v>
      </c>
      <c r="K264" s="86">
        <v>3</v>
      </c>
      <c r="L264" s="86">
        <v>2018</v>
      </c>
      <c r="M264" s="197">
        <v>99652</v>
      </c>
      <c r="N264" s="87" t="s">
        <v>370</v>
      </c>
      <c r="O264" s="86">
        <v>3</v>
      </c>
      <c r="P264" s="86">
        <v>2019</v>
      </c>
      <c r="Q264" s="197">
        <v>66631</v>
      </c>
      <c r="R264" s="87" t="s">
        <v>370</v>
      </c>
      <c r="S264" s="86">
        <v>3</v>
      </c>
      <c r="T264" s="86">
        <v>2020</v>
      </c>
      <c r="U264" s="197">
        <v>74344</v>
      </c>
      <c r="V264" s="87" t="s">
        <v>370</v>
      </c>
      <c r="W264" s="86">
        <v>3</v>
      </c>
      <c r="X264" s="86">
        <v>2022</v>
      </c>
      <c r="Y264" s="197">
        <v>145605</v>
      </c>
      <c r="Z264" s="87" t="s">
        <v>370</v>
      </c>
      <c r="AA264" s="86"/>
      <c r="AB264" s="86"/>
      <c r="AC264" s="197"/>
    </row>
    <row r="265" spans="1:29" x14ac:dyDescent="0.25">
      <c r="A265" s="88" t="s">
        <v>492</v>
      </c>
      <c r="B265" s="85">
        <v>1700833233</v>
      </c>
      <c r="C265" s="86">
        <v>3</v>
      </c>
      <c r="D265" s="86">
        <v>2016</v>
      </c>
      <c r="E265" s="197">
        <v>181812</v>
      </c>
      <c r="F265" s="87" t="s">
        <v>370</v>
      </c>
      <c r="G265" s="86">
        <v>3</v>
      </c>
      <c r="H265" s="86">
        <v>2017</v>
      </c>
      <c r="I265" s="197">
        <v>240393</v>
      </c>
      <c r="J265" s="87" t="s">
        <v>370</v>
      </c>
      <c r="K265" s="86">
        <v>3</v>
      </c>
      <c r="L265" s="86">
        <v>2018</v>
      </c>
      <c r="M265" s="197">
        <v>48861</v>
      </c>
      <c r="N265" s="87" t="s">
        <v>370</v>
      </c>
      <c r="O265" s="86">
        <v>3</v>
      </c>
      <c r="P265" s="86">
        <v>2019</v>
      </c>
      <c r="Q265" s="197">
        <v>76097</v>
      </c>
      <c r="R265" s="87" t="s">
        <v>370</v>
      </c>
      <c r="S265" s="86">
        <v>3</v>
      </c>
      <c r="T265" s="86">
        <v>2020</v>
      </c>
      <c r="U265" s="197">
        <v>80267</v>
      </c>
      <c r="V265" s="87" t="s">
        <v>370</v>
      </c>
      <c r="W265" s="86">
        <v>3</v>
      </c>
      <c r="X265" s="86">
        <v>2022</v>
      </c>
      <c r="Y265" s="197">
        <v>82824</v>
      </c>
      <c r="Z265" s="87" t="s">
        <v>370</v>
      </c>
      <c r="AA265" s="86"/>
      <c r="AB265" s="86"/>
      <c r="AC265" s="197"/>
    </row>
    <row r="266" spans="1:29" x14ac:dyDescent="0.25">
      <c r="A266" s="88" t="s">
        <v>493</v>
      </c>
      <c r="B266" s="85">
        <v>1851348379</v>
      </c>
      <c r="C266" s="86">
        <v>3</v>
      </c>
      <c r="D266" s="86">
        <v>2016</v>
      </c>
      <c r="E266" s="197">
        <v>88033</v>
      </c>
      <c r="F266" s="87" t="s">
        <v>370</v>
      </c>
      <c r="G266" s="86">
        <v>3</v>
      </c>
      <c r="H266" s="86">
        <v>2017</v>
      </c>
      <c r="I266" s="197">
        <v>326485</v>
      </c>
      <c r="J266" s="87" t="s">
        <v>370</v>
      </c>
      <c r="K266" s="86">
        <v>3</v>
      </c>
      <c r="L266" s="86">
        <v>2018</v>
      </c>
      <c r="M266" s="197">
        <v>147942</v>
      </c>
      <c r="N266" s="87" t="s">
        <v>370</v>
      </c>
      <c r="O266" s="86">
        <v>3</v>
      </c>
      <c r="P266" s="86">
        <v>2019</v>
      </c>
      <c r="Q266" s="197">
        <v>82767</v>
      </c>
      <c r="R266" s="87" t="s">
        <v>370</v>
      </c>
      <c r="S266" s="86">
        <v>3</v>
      </c>
      <c r="T266" s="86">
        <v>2020</v>
      </c>
      <c r="U266" s="197">
        <v>126117</v>
      </c>
      <c r="V266" s="87" t="s">
        <v>370</v>
      </c>
      <c r="W266" s="86">
        <v>3</v>
      </c>
      <c r="X266" s="86">
        <v>2022</v>
      </c>
      <c r="Y266" s="197">
        <v>164809</v>
      </c>
      <c r="Z266" s="87" t="s">
        <v>370</v>
      </c>
      <c r="AA266" s="86"/>
      <c r="AB266" s="86"/>
      <c r="AC266" s="197"/>
    </row>
    <row r="267" spans="1:29" x14ac:dyDescent="0.25">
      <c r="A267" s="88" t="s">
        <v>494</v>
      </c>
      <c r="B267" s="85">
        <v>1992106348</v>
      </c>
      <c r="C267" s="86">
        <v>3</v>
      </c>
      <c r="D267" s="86">
        <v>2016</v>
      </c>
      <c r="E267" s="197">
        <v>57656</v>
      </c>
      <c r="F267" s="87" t="s">
        <v>370</v>
      </c>
      <c r="G267" s="86">
        <v>3</v>
      </c>
      <c r="H267" s="86">
        <v>2017</v>
      </c>
      <c r="I267" s="197">
        <v>124613</v>
      </c>
      <c r="J267" s="87" t="s">
        <v>370</v>
      </c>
      <c r="K267" s="86">
        <v>3</v>
      </c>
      <c r="L267" s="86">
        <v>2019</v>
      </c>
      <c r="M267" s="197">
        <v>69792</v>
      </c>
      <c r="N267" s="87" t="s">
        <v>370</v>
      </c>
      <c r="O267" s="86">
        <v>3</v>
      </c>
      <c r="P267" s="86">
        <v>2020</v>
      </c>
      <c r="Q267" s="197">
        <v>89537</v>
      </c>
      <c r="R267" s="87" t="s">
        <v>370</v>
      </c>
      <c r="S267" s="86">
        <v>3</v>
      </c>
      <c r="T267" s="86">
        <v>2022</v>
      </c>
      <c r="U267" s="197">
        <v>87131</v>
      </c>
      <c r="V267" s="87" t="s">
        <v>370</v>
      </c>
      <c r="W267" s="86"/>
      <c r="X267" s="86"/>
      <c r="Y267" s="197"/>
      <c r="Z267" s="87" t="s">
        <v>370</v>
      </c>
      <c r="AA267" s="86"/>
      <c r="AB267" s="86"/>
      <c r="AC267" s="197"/>
    </row>
    <row r="268" spans="1:29" x14ac:dyDescent="0.25">
      <c r="A268" s="88" t="s">
        <v>495</v>
      </c>
      <c r="B268" s="85">
        <v>1548696834</v>
      </c>
      <c r="C268" s="86">
        <v>3</v>
      </c>
      <c r="D268" s="86">
        <v>2021</v>
      </c>
      <c r="E268" s="197">
        <v>31169</v>
      </c>
      <c r="F268" s="87" t="s">
        <v>370</v>
      </c>
      <c r="G268" s="86"/>
      <c r="H268" s="86"/>
      <c r="I268" s="197"/>
      <c r="J268" s="87" t="s">
        <v>370</v>
      </c>
      <c r="K268" s="86"/>
      <c r="L268" s="86"/>
      <c r="M268" s="197"/>
      <c r="N268" s="87" t="s">
        <v>370</v>
      </c>
      <c r="O268" s="86"/>
      <c r="P268" s="86"/>
      <c r="Q268" s="197"/>
      <c r="R268" s="87" t="s">
        <v>370</v>
      </c>
      <c r="S268" s="86"/>
      <c r="T268" s="86"/>
      <c r="U268" s="197"/>
      <c r="V268" s="87" t="s">
        <v>370</v>
      </c>
      <c r="W268" s="86"/>
      <c r="X268" s="86"/>
      <c r="Y268" s="197"/>
      <c r="Z268" s="87" t="s">
        <v>370</v>
      </c>
      <c r="AA268" s="86"/>
      <c r="AB268" s="86"/>
      <c r="AC268" s="197"/>
    </row>
    <row r="269" spans="1:29" x14ac:dyDescent="0.25">
      <c r="A269" s="88" t="s">
        <v>278</v>
      </c>
      <c r="B269" s="85">
        <v>1396161527</v>
      </c>
      <c r="C269" s="86">
        <v>3</v>
      </c>
      <c r="D269" s="86">
        <v>2016</v>
      </c>
      <c r="E269" s="197">
        <v>88271</v>
      </c>
      <c r="F269" s="87" t="s">
        <v>370</v>
      </c>
      <c r="G269" s="86">
        <v>3</v>
      </c>
      <c r="H269" s="86">
        <v>2019</v>
      </c>
      <c r="I269" s="197">
        <v>81801</v>
      </c>
      <c r="J269" s="87" t="s">
        <v>370</v>
      </c>
      <c r="K269" s="86">
        <v>3</v>
      </c>
      <c r="L269" s="86">
        <v>2021</v>
      </c>
      <c r="M269" s="197">
        <v>270273</v>
      </c>
      <c r="N269" s="87" t="s">
        <v>370</v>
      </c>
      <c r="O269" s="86">
        <v>3</v>
      </c>
      <c r="P269" s="86">
        <v>2022</v>
      </c>
      <c r="Q269" s="197">
        <v>514584</v>
      </c>
      <c r="R269" s="87" t="s">
        <v>370</v>
      </c>
      <c r="S269" s="86"/>
      <c r="T269" s="86"/>
      <c r="U269" s="197"/>
      <c r="V269" s="87" t="s">
        <v>370</v>
      </c>
      <c r="W269" s="86"/>
      <c r="X269" s="86"/>
      <c r="Y269" s="197"/>
      <c r="Z269" s="87" t="s">
        <v>370</v>
      </c>
      <c r="AA269" s="86"/>
      <c r="AB269" s="86"/>
      <c r="AC269" s="197"/>
    </row>
    <row r="270" spans="1:29" x14ac:dyDescent="0.25">
      <c r="A270" s="88" t="s">
        <v>279</v>
      </c>
      <c r="B270" s="85">
        <v>1770582363</v>
      </c>
      <c r="C270" s="86">
        <v>3</v>
      </c>
      <c r="D270" s="86">
        <v>2016</v>
      </c>
      <c r="E270" s="197">
        <v>104436</v>
      </c>
      <c r="F270" s="87" t="s">
        <v>370</v>
      </c>
      <c r="G270" s="86">
        <v>3</v>
      </c>
      <c r="H270" s="86">
        <v>2018</v>
      </c>
      <c r="I270" s="197">
        <v>111607</v>
      </c>
      <c r="J270" s="87" t="s">
        <v>370</v>
      </c>
      <c r="K270" s="86">
        <v>3</v>
      </c>
      <c r="L270" s="86">
        <v>2019</v>
      </c>
      <c r="M270" s="197">
        <v>1186472</v>
      </c>
      <c r="N270" s="87" t="s">
        <v>370</v>
      </c>
      <c r="O270" s="86">
        <v>3</v>
      </c>
      <c r="P270" s="86">
        <v>2022</v>
      </c>
      <c r="Q270" s="197">
        <v>768516</v>
      </c>
      <c r="R270" s="87" t="s">
        <v>370</v>
      </c>
      <c r="S270" s="86"/>
      <c r="T270" s="86"/>
      <c r="U270" s="197"/>
      <c r="V270" s="87" t="s">
        <v>370</v>
      </c>
      <c r="W270" s="86"/>
      <c r="X270" s="86"/>
      <c r="Y270" s="197"/>
      <c r="Z270" s="87" t="s">
        <v>370</v>
      </c>
      <c r="AA270" s="86"/>
      <c r="AB270" s="86"/>
      <c r="AC270" s="197"/>
    </row>
    <row r="271" spans="1:29" x14ac:dyDescent="0.25">
      <c r="A271" s="88" t="s">
        <v>280</v>
      </c>
      <c r="B271" s="85">
        <v>1376542878</v>
      </c>
      <c r="C271" s="86">
        <v>3</v>
      </c>
      <c r="D271" s="86">
        <v>2017</v>
      </c>
      <c r="E271" s="197">
        <v>230244</v>
      </c>
      <c r="F271" s="87" t="s">
        <v>370</v>
      </c>
      <c r="G271" s="86">
        <v>3</v>
      </c>
      <c r="H271" s="86">
        <v>2018</v>
      </c>
      <c r="I271" s="197">
        <v>158576</v>
      </c>
      <c r="J271" s="87" t="s">
        <v>370</v>
      </c>
      <c r="K271" s="86">
        <v>3</v>
      </c>
      <c r="L271" s="86">
        <v>2019</v>
      </c>
      <c r="M271" s="197">
        <v>1084165</v>
      </c>
      <c r="N271" s="87" t="s">
        <v>370</v>
      </c>
      <c r="O271" s="86">
        <v>3</v>
      </c>
      <c r="P271" s="86">
        <v>2022</v>
      </c>
      <c r="Q271" s="197">
        <v>131867</v>
      </c>
      <c r="R271" s="87" t="s">
        <v>370</v>
      </c>
      <c r="S271" s="86"/>
      <c r="T271" s="86"/>
      <c r="U271" s="197"/>
      <c r="V271" s="87" t="s">
        <v>370</v>
      </c>
      <c r="W271" s="86"/>
      <c r="X271" s="86"/>
      <c r="Y271" s="197"/>
      <c r="Z271" s="87" t="s">
        <v>370</v>
      </c>
      <c r="AA271" s="86"/>
      <c r="AB271" s="86"/>
      <c r="AC271" s="197"/>
    </row>
    <row r="272" spans="1:29" x14ac:dyDescent="0.25">
      <c r="A272" s="88" t="s">
        <v>496</v>
      </c>
      <c r="B272" s="85">
        <v>1598127276</v>
      </c>
      <c r="C272" s="86"/>
      <c r="D272" s="86"/>
      <c r="E272" s="197"/>
      <c r="F272" s="87" t="s">
        <v>370</v>
      </c>
      <c r="G272" s="86"/>
      <c r="H272" s="86"/>
      <c r="I272" s="197"/>
      <c r="J272" s="87" t="s">
        <v>370</v>
      </c>
      <c r="K272" s="86"/>
      <c r="L272" s="86"/>
      <c r="M272" s="197"/>
      <c r="N272" s="87" t="s">
        <v>370</v>
      </c>
      <c r="O272" s="86"/>
      <c r="P272" s="86"/>
      <c r="Q272" s="197"/>
      <c r="R272" s="87" t="s">
        <v>370</v>
      </c>
      <c r="S272" s="86"/>
      <c r="T272" s="86"/>
      <c r="U272" s="197"/>
      <c r="V272" s="87" t="s">
        <v>370</v>
      </c>
      <c r="W272" s="86"/>
      <c r="X272" s="86"/>
      <c r="Y272" s="197"/>
      <c r="Z272" s="87" t="s">
        <v>370</v>
      </c>
      <c r="AA272" s="86"/>
      <c r="AB272" s="86"/>
      <c r="AC272" s="197"/>
    </row>
    <row r="273" spans="1:29" x14ac:dyDescent="0.25">
      <c r="A273" s="88" t="s">
        <v>497</v>
      </c>
      <c r="B273" s="85">
        <v>1689603060</v>
      </c>
      <c r="C273" s="86">
        <v>3</v>
      </c>
      <c r="D273" s="86">
        <v>2019</v>
      </c>
      <c r="E273" s="197">
        <v>80203</v>
      </c>
      <c r="F273" s="87" t="s">
        <v>370</v>
      </c>
      <c r="G273" s="86">
        <v>3</v>
      </c>
      <c r="H273" s="86">
        <v>2021</v>
      </c>
      <c r="I273" s="197">
        <v>88210</v>
      </c>
      <c r="J273" s="87" t="s">
        <v>370</v>
      </c>
      <c r="K273" s="86"/>
      <c r="L273" s="86"/>
      <c r="M273" s="197"/>
      <c r="N273" s="87" t="s">
        <v>370</v>
      </c>
      <c r="O273" s="86"/>
      <c r="P273" s="86"/>
      <c r="Q273" s="197"/>
      <c r="R273" s="87" t="s">
        <v>370</v>
      </c>
      <c r="S273" s="86"/>
      <c r="T273" s="86"/>
      <c r="U273" s="197"/>
      <c r="V273" s="87" t="s">
        <v>370</v>
      </c>
      <c r="W273" s="86"/>
      <c r="X273" s="86"/>
      <c r="Y273" s="197"/>
      <c r="Z273" s="87" t="s">
        <v>370</v>
      </c>
      <c r="AA273" s="86"/>
      <c r="AB273" s="86"/>
      <c r="AC273" s="197"/>
    </row>
    <row r="274" spans="1:29" x14ac:dyDescent="0.25">
      <c r="A274" s="88" t="s">
        <v>281</v>
      </c>
      <c r="B274" s="85">
        <v>1700874880</v>
      </c>
      <c r="C274" s="86">
        <v>3</v>
      </c>
      <c r="D274" s="86">
        <v>2016</v>
      </c>
      <c r="E274" s="197">
        <v>1045770</v>
      </c>
      <c r="F274" s="87" t="s">
        <v>370</v>
      </c>
      <c r="G274" s="86">
        <v>3</v>
      </c>
      <c r="H274" s="86">
        <v>2021</v>
      </c>
      <c r="I274" s="197">
        <v>100567</v>
      </c>
      <c r="J274" s="87" t="s">
        <v>370</v>
      </c>
      <c r="K274" s="86"/>
      <c r="L274" s="86"/>
      <c r="M274" s="197"/>
      <c r="N274" s="87" t="s">
        <v>370</v>
      </c>
      <c r="O274" s="86"/>
      <c r="P274" s="86"/>
      <c r="Q274" s="197"/>
      <c r="R274" s="87" t="s">
        <v>370</v>
      </c>
      <c r="S274" s="86"/>
      <c r="T274" s="86"/>
      <c r="U274" s="197"/>
      <c r="V274" s="87" t="s">
        <v>370</v>
      </c>
      <c r="W274" s="86"/>
      <c r="X274" s="86"/>
      <c r="Y274" s="197"/>
      <c r="Z274" s="87" t="s">
        <v>370</v>
      </c>
      <c r="AA274" s="86"/>
      <c r="AB274" s="86"/>
      <c r="AC274" s="197"/>
    </row>
    <row r="275" spans="1:29" x14ac:dyDescent="0.25">
      <c r="A275" s="88" t="s">
        <v>282</v>
      </c>
      <c r="B275" s="85">
        <v>1306293170</v>
      </c>
      <c r="C275" s="86">
        <v>1</v>
      </c>
      <c r="D275" s="86">
        <v>2019</v>
      </c>
      <c r="E275" s="197">
        <v>-22</v>
      </c>
      <c r="F275" s="87" t="s">
        <v>370</v>
      </c>
      <c r="G275" s="86"/>
      <c r="H275" s="86"/>
      <c r="I275" s="197"/>
      <c r="J275" s="87" t="s">
        <v>370</v>
      </c>
      <c r="K275" s="86"/>
      <c r="L275" s="86"/>
      <c r="M275" s="197"/>
      <c r="N275" s="87" t="s">
        <v>370</v>
      </c>
      <c r="O275" s="86"/>
      <c r="P275" s="86"/>
      <c r="Q275" s="197"/>
      <c r="R275" s="87" t="s">
        <v>370</v>
      </c>
      <c r="S275" s="86"/>
      <c r="T275" s="86"/>
      <c r="U275" s="197"/>
      <c r="V275" s="87" t="s">
        <v>370</v>
      </c>
      <c r="W275" s="86"/>
      <c r="X275" s="86"/>
      <c r="Y275" s="197"/>
      <c r="Z275" s="87" t="s">
        <v>370</v>
      </c>
      <c r="AA275" s="86"/>
      <c r="AB275" s="86"/>
      <c r="AC275" s="197"/>
    </row>
    <row r="276" spans="1:29" x14ac:dyDescent="0.25">
      <c r="A276" s="88" t="s">
        <v>283</v>
      </c>
      <c r="B276" s="85">
        <v>1518968890</v>
      </c>
      <c r="C276" s="86"/>
      <c r="D276" s="86"/>
      <c r="E276" s="197"/>
      <c r="F276" s="92" t="s">
        <v>370</v>
      </c>
      <c r="G276" s="86"/>
      <c r="H276" s="86"/>
      <c r="I276" s="197"/>
      <c r="J276" s="92" t="s">
        <v>370</v>
      </c>
      <c r="K276" s="86"/>
      <c r="L276" s="86"/>
      <c r="M276" s="197"/>
      <c r="N276" s="92" t="s">
        <v>370</v>
      </c>
      <c r="O276" s="86"/>
      <c r="P276" s="86"/>
      <c r="Q276" s="197"/>
      <c r="R276" s="92" t="s">
        <v>370</v>
      </c>
      <c r="S276" s="86"/>
      <c r="T276" s="86"/>
      <c r="U276" s="197"/>
      <c r="V276" s="87" t="s">
        <v>370</v>
      </c>
      <c r="W276" s="86"/>
      <c r="X276" s="86"/>
      <c r="Y276" s="197"/>
      <c r="Z276" s="87" t="s">
        <v>370</v>
      </c>
      <c r="AA276" s="86"/>
      <c r="AB276" s="86"/>
      <c r="AC276" s="197"/>
    </row>
    <row r="277" spans="1:29" x14ac:dyDescent="0.25">
      <c r="A277" s="85" t="s">
        <v>498</v>
      </c>
      <c r="B277" s="85">
        <v>1750317897</v>
      </c>
      <c r="C277" s="86">
        <v>3</v>
      </c>
      <c r="D277" s="86">
        <v>2016</v>
      </c>
      <c r="E277" s="197">
        <v>125003</v>
      </c>
      <c r="F277" s="87" t="s">
        <v>370</v>
      </c>
      <c r="G277" s="86">
        <v>3</v>
      </c>
      <c r="H277" s="86">
        <v>2021</v>
      </c>
      <c r="I277" s="197">
        <v>193147</v>
      </c>
      <c r="J277" s="87" t="s">
        <v>370</v>
      </c>
      <c r="K277" s="86"/>
      <c r="L277" s="86"/>
      <c r="M277" s="197"/>
      <c r="N277" s="87" t="s">
        <v>370</v>
      </c>
      <c r="O277" s="86"/>
      <c r="P277" s="86"/>
      <c r="Q277" s="197"/>
      <c r="R277" s="87" t="s">
        <v>370</v>
      </c>
      <c r="S277" s="86"/>
      <c r="T277" s="86"/>
      <c r="U277" s="197"/>
      <c r="V277" s="87" t="s">
        <v>370</v>
      </c>
      <c r="W277" s="86"/>
      <c r="X277" s="86"/>
      <c r="Y277" s="197"/>
      <c r="Z277" s="87" t="s">
        <v>370</v>
      </c>
      <c r="AA277" s="86"/>
      <c r="AB277" s="86"/>
      <c r="AC277" s="197"/>
    </row>
    <row r="278" spans="1:29" x14ac:dyDescent="0.25">
      <c r="A278" s="88" t="s">
        <v>499</v>
      </c>
      <c r="B278" s="85">
        <v>1659307395</v>
      </c>
      <c r="C278" s="86">
        <v>3</v>
      </c>
      <c r="D278" s="86">
        <v>2019</v>
      </c>
      <c r="E278" s="197">
        <v>78986</v>
      </c>
      <c r="F278" s="87" t="s">
        <v>370</v>
      </c>
      <c r="G278" s="86">
        <v>3</v>
      </c>
      <c r="H278" s="86">
        <v>2020</v>
      </c>
      <c r="I278" s="197">
        <v>228017</v>
      </c>
      <c r="J278" s="87" t="s">
        <v>370</v>
      </c>
      <c r="K278" s="86">
        <v>3</v>
      </c>
      <c r="L278" s="86">
        <v>2021</v>
      </c>
      <c r="M278" s="197">
        <v>194369</v>
      </c>
      <c r="N278" s="87" t="s">
        <v>370</v>
      </c>
      <c r="O278" s="86"/>
      <c r="P278" s="86"/>
      <c r="Q278" s="197"/>
      <c r="R278" s="87" t="s">
        <v>370</v>
      </c>
      <c r="S278" s="86"/>
      <c r="T278" s="86"/>
      <c r="U278" s="197"/>
      <c r="V278" s="87" t="s">
        <v>370</v>
      </c>
      <c r="W278" s="86"/>
      <c r="X278" s="86"/>
      <c r="Y278" s="197"/>
      <c r="Z278" s="87" t="s">
        <v>370</v>
      </c>
      <c r="AA278" s="86"/>
      <c r="AB278" s="86"/>
      <c r="AC278" s="197"/>
    </row>
    <row r="279" spans="1:29" x14ac:dyDescent="0.25">
      <c r="A279" s="88" t="s">
        <v>500</v>
      </c>
      <c r="B279" s="85">
        <v>1669083291</v>
      </c>
      <c r="C279" s="86"/>
      <c r="D279" s="86"/>
      <c r="E279" s="197"/>
      <c r="F279" s="87" t="s">
        <v>370</v>
      </c>
      <c r="G279" s="86"/>
      <c r="H279" s="86"/>
      <c r="I279" s="197"/>
      <c r="J279" s="87" t="s">
        <v>370</v>
      </c>
      <c r="K279" s="86"/>
      <c r="L279" s="86"/>
      <c r="M279" s="197"/>
      <c r="N279" s="87" t="s">
        <v>370</v>
      </c>
      <c r="O279" s="86"/>
      <c r="P279" s="86"/>
      <c r="Q279" s="197"/>
      <c r="R279" s="87" t="s">
        <v>370</v>
      </c>
      <c r="S279" s="86"/>
      <c r="T279" s="86"/>
      <c r="U279" s="197"/>
      <c r="V279" s="87" t="s">
        <v>370</v>
      </c>
      <c r="W279" s="86"/>
      <c r="X279" s="86"/>
      <c r="Y279" s="197"/>
      <c r="Z279" s="87" t="s">
        <v>370</v>
      </c>
      <c r="AA279" s="86"/>
      <c r="AB279" s="86"/>
      <c r="AC279" s="197"/>
    </row>
    <row r="280" spans="1:29" x14ac:dyDescent="0.25">
      <c r="A280" s="88" t="s">
        <v>284</v>
      </c>
      <c r="B280" s="85">
        <v>1205252640</v>
      </c>
      <c r="C280" s="86">
        <v>3</v>
      </c>
      <c r="D280" s="86">
        <v>2019</v>
      </c>
      <c r="E280" s="197">
        <v>118550</v>
      </c>
      <c r="F280" s="87" t="s">
        <v>370</v>
      </c>
      <c r="G280" s="86">
        <v>3</v>
      </c>
      <c r="H280" s="86">
        <v>2020</v>
      </c>
      <c r="I280" s="197">
        <v>223279</v>
      </c>
      <c r="J280" s="87" t="s">
        <v>370</v>
      </c>
      <c r="K280" s="86">
        <v>3</v>
      </c>
      <c r="L280" s="86">
        <v>2021</v>
      </c>
      <c r="M280" s="197">
        <v>218955</v>
      </c>
      <c r="N280" s="87" t="s">
        <v>370</v>
      </c>
      <c r="O280" s="86">
        <v>3</v>
      </c>
      <c r="P280" s="86">
        <v>2022</v>
      </c>
      <c r="Q280" s="197">
        <v>283746</v>
      </c>
      <c r="R280" s="87" t="s">
        <v>370</v>
      </c>
      <c r="S280" s="86"/>
      <c r="T280" s="86"/>
      <c r="U280" s="197"/>
      <c r="V280" s="87" t="s">
        <v>370</v>
      </c>
      <c r="W280" s="86"/>
      <c r="X280" s="86"/>
      <c r="Y280" s="197"/>
      <c r="Z280" s="87" t="s">
        <v>370</v>
      </c>
      <c r="AA280" s="86"/>
      <c r="AB280" s="86"/>
      <c r="AC280" s="197"/>
    </row>
    <row r="281" spans="1:29" x14ac:dyDescent="0.25">
      <c r="A281" s="85" t="s">
        <v>501</v>
      </c>
      <c r="B281" s="85">
        <v>1336193754</v>
      </c>
      <c r="C281" s="86">
        <v>3</v>
      </c>
      <c r="D281" s="86">
        <v>2019</v>
      </c>
      <c r="E281" s="197">
        <v>257986</v>
      </c>
      <c r="F281" s="87" t="s">
        <v>370</v>
      </c>
      <c r="G281" s="86">
        <v>3</v>
      </c>
      <c r="H281" s="86">
        <v>2020</v>
      </c>
      <c r="I281" s="197">
        <v>139463</v>
      </c>
      <c r="J281" s="87" t="s">
        <v>370</v>
      </c>
      <c r="K281" s="86">
        <v>1</v>
      </c>
      <c r="L281" s="86">
        <v>2021</v>
      </c>
      <c r="M281" s="197">
        <v>-10</v>
      </c>
      <c r="N281" s="87" t="s">
        <v>462</v>
      </c>
      <c r="O281" s="86">
        <v>3</v>
      </c>
      <c r="P281" s="86">
        <v>2021</v>
      </c>
      <c r="Q281" s="197">
        <v>123675</v>
      </c>
      <c r="R281" s="87" t="s">
        <v>370</v>
      </c>
      <c r="S281" s="86"/>
      <c r="T281" s="86"/>
      <c r="U281" s="197"/>
      <c r="V281" s="87" t="s">
        <v>370</v>
      </c>
      <c r="W281" s="86"/>
      <c r="X281" s="86"/>
      <c r="Y281" s="197"/>
      <c r="Z281" s="87" t="s">
        <v>370</v>
      </c>
      <c r="AA281" s="86"/>
      <c r="AB281" s="86"/>
      <c r="AC281" s="197"/>
    </row>
    <row r="282" spans="1:29" x14ac:dyDescent="0.25">
      <c r="A282" s="88" t="s">
        <v>285</v>
      </c>
      <c r="B282" s="85">
        <v>1568454262</v>
      </c>
      <c r="C282" s="86">
        <v>3</v>
      </c>
      <c r="D282" s="86">
        <v>2016</v>
      </c>
      <c r="E282" s="197">
        <v>119243</v>
      </c>
      <c r="F282" s="87" t="s">
        <v>370</v>
      </c>
      <c r="G282" s="86">
        <v>1</v>
      </c>
      <c r="H282" s="86">
        <v>2017</v>
      </c>
      <c r="I282" s="197">
        <v>16</v>
      </c>
      <c r="J282" s="87" t="s">
        <v>370</v>
      </c>
      <c r="K282" s="86">
        <v>2</v>
      </c>
      <c r="L282" s="86">
        <v>2017</v>
      </c>
      <c r="M282" s="197">
        <v>84</v>
      </c>
      <c r="N282" s="87" t="s">
        <v>370</v>
      </c>
      <c r="O282" s="86">
        <v>3</v>
      </c>
      <c r="P282" s="86">
        <v>2017</v>
      </c>
      <c r="Q282" s="197">
        <v>62998</v>
      </c>
      <c r="R282" s="87" t="s">
        <v>370</v>
      </c>
      <c r="S282" s="86">
        <v>3</v>
      </c>
      <c r="T282" s="86">
        <v>2019</v>
      </c>
      <c r="U282" s="197">
        <v>65491</v>
      </c>
      <c r="V282" s="87" t="s">
        <v>370</v>
      </c>
      <c r="W282" s="86">
        <v>3</v>
      </c>
      <c r="X282" s="86">
        <v>2022</v>
      </c>
      <c r="Y282" s="197">
        <v>54724</v>
      </c>
      <c r="Z282" s="87" t="s">
        <v>370</v>
      </c>
      <c r="AA282" s="86"/>
      <c r="AB282" s="86"/>
      <c r="AC282" s="197"/>
    </row>
    <row r="283" spans="1:29" x14ac:dyDescent="0.25">
      <c r="A283" s="85" t="s">
        <v>502</v>
      </c>
      <c r="B283" s="85">
        <v>1187450150</v>
      </c>
      <c r="C283" s="86"/>
      <c r="D283" s="86"/>
      <c r="E283" s="197"/>
      <c r="F283" s="87" t="s">
        <v>370</v>
      </c>
      <c r="G283" s="86"/>
      <c r="H283" s="86"/>
      <c r="I283" s="197"/>
      <c r="J283" s="87" t="s">
        <v>370</v>
      </c>
      <c r="K283" s="86"/>
      <c r="L283" s="86"/>
      <c r="M283" s="197"/>
      <c r="N283" s="87" t="s">
        <v>370</v>
      </c>
      <c r="O283" s="86"/>
      <c r="P283" s="86"/>
      <c r="Q283" s="197"/>
      <c r="R283" s="87" t="s">
        <v>370</v>
      </c>
      <c r="S283" s="86"/>
      <c r="T283" s="86"/>
      <c r="U283" s="197"/>
      <c r="V283" s="87" t="s">
        <v>370</v>
      </c>
      <c r="W283" s="86"/>
      <c r="X283" s="86"/>
      <c r="Y283" s="197"/>
      <c r="Z283" s="87" t="s">
        <v>370</v>
      </c>
      <c r="AA283" s="86"/>
      <c r="AB283" s="86"/>
      <c r="AC283" s="197"/>
    </row>
    <row r="284" spans="1:29" x14ac:dyDescent="0.25">
      <c r="A284" s="85" t="s">
        <v>286</v>
      </c>
      <c r="B284" s="85">
        <v>1811920267</v>
      </c>
      <c r="C284" s="86">
        <v>3</v>
      </c>
      <c r="D284" s="86">
        <v>2016</v>
      </c>
      <c r="E284" s="197">
        <v>171512</v>
      </c>
      <c r="F284" s="87" t="s">
        <v>370</v>
      </c>
      <c r="G284" s="86">
        <v>3</v>
      </c>
      <c r="H284" s="86">
        <v>2018</v>
      </c>
      <c r="I284" s="197">
        <v>103088</v>
      </c>
      <c r="J284" s="87" t="s">
        <v>370</v>
      </c>
      <c r="K284" s="86">
        <v>3</v>
      </c>
      <c r="L284" s="86">
        <v>2019</v>
      </c>
      <c r="M284" s="197">
        <v>202166</v>
      </c>
      <c r="N284" s="87" t="s">
        <v>370</v>
      </c>
      <c r="O284" s="86">
        <v>3</v>
      </c>
      <c r="P284" s="86">
        <v>2020</v>
      </c>
      <c r="Q284" s="197">
        <v>90027</v>
      </c>
      <c r="R284" s="87" t="s">
        <v>370</v>
      </c>
      <c r="S284" s="86">
        <v>3</v>
      </c>
      <c r="T284" s="86">
        <v>2021</v>
      </c>
      <c r="U284" s="197">
        <v>175526</v>
      </c>
      <c r="V284" s="87" t="s">
        <v>370</v>
      </c>
      <c r="W284" s="86">
        <v>3</v>
      </c>
      <c r="X284" s="86">
        <v>2022</v>
      </c>
      <c r="Y284" s="197">
        <v>111182</v>
      </c>
      <c r="Z284" s="87" t="s">
        <v>370</v>
      </c>
      <c r="AA284" s="86"/>
      <c r="AB284" s="86"/>
      <c r="AC284" s="197"/>
    </row>
    <row r="285" spans="1:29" x14ac:dyDescent="0.25">
      <c r="A285" s="88" t="s">
        <v>287</v>
      </c>
      <c r="B285" s="85">
        <v>1669023685</v>
      </c>
      <c r="C285" s="86">
        <v>3</v>
      </c>
      <c r="D285" s="86">
        <v>2016</v>
      </c>
      <c r="E285" s="197">
        <v>94205</v>
      </c>
      <c r="F285" s="87" t="s">
        <v>370</v>
      </c>
      <c r="G285" s="86">
        <v>3</v>
      </c>
      <c r="H285" s="86">
        <v>2017</v>
      </c>
      <c r="I285" s="197">
        <v>163461</v>
      </c>
      <c r="J285" s="87" t="s">
        <v>370</v>
      </c>
      <c r="K285" s="86">
        <v>3</v>
      </c>
      <c r="L285" s="86">
        <v>2018</v>
      </c>
      <c r="M285" s="197">
        <v>120103</v>
      </c>
      <c r="N285" s="87" t="s">
        <v>370</v>
      </c>
      <c r="O285" s="86">
        <v>3</v>
      </c>
      <c r="P285" s="86">
        <v>2019</v>
      </c>
      <c r="Q285" s="197">
        <v>563590</v>
      </c>
      <c r="R285" s="87" t="s">
        <v>370</v>
      </c>
      <c r="S285" s="86">
        <v>3</v>
      </c>
      <c r="T285" s="86">
        <v>2020</v>
      </c>
      <c r="U285" s="197">
        <v>421921</v>
      </c>
      <c r="V285" s="87" t="s">
        <v>370</v>
      </c>
      <c r="W285" s="86"/>
      <c r="X285" s="86"/>
      <c r="Y285" s="197"/>
      <c r="Z285" s="87" t="s">
        <v>370</v>
      </c>
      <c r="AA285" s="86"/>
      <c r="AB285" s="86"/>
      <c r="AC285" s="197"/>
    </row>
    <row r="286" spans="1:29" x14ac:dyDescent="0.25">
      <c r="A286" s="85" t="s">
        <v>288</v>
      </c>
      <c r="B286" s="85">
        <v>1053380626</v>
      </c>
      <c r="C286" s="86">
        <v>3</v>
      </c>
      <c r="D286" s="86">
        <v>2016</v>
      </c>
      <c r="E286" s="197">
        <v>75226</v>
      </c>
      <c r="F286" s="87" t="s">
        <v>370</v>
      </c>
      <c r="G286" s="86">
        <v>3</v>
      </c>
      <c r="H286" s="86">
        <v>2019</v>
      </c>
      <c r="I286" s="197">
        <v>184670</v>
      </c>
      <c r="J286" s="87" t="s">
        <v>370</v>
      </c>
      <c r="K286" s="86"/>
      <c r="L286" s="86"/>
      <c r="M286" s="197"/>
      <c r="N286" s="87" t="s">
        <v>370</v>
      </c>
      <c r="O286" s="86"/>
      <c r="P286" s="86"/>
      <c r="Q286" s="197"/>
      <c r="R286" s="87" t="s">
        <v>370</v>
      </c>
      <c r="S286" s="86"/>
      <c r="T286" s="86"/>
      <c r="U286" s="197"/>
      <c r="V286" s="87" t="s">
        <v>370</v>
      </c>
      <c r="W286" s="86"/>
      <c r="X286" s="86"/>
      <c r="Y286" s="197"/>
      <c r="Z286" s="87" t="s">
        <v>370</v>
      </c>
      <c r="AA286" s="86"/>
      <c r="AB286" s="86"/>
      <c r="AC286" s="197"/>
    </row>
    <row r="287" spans="1:29" x14ac:dyDescent="0.25">
      <c r="A287" s="88" t="s">
        <v>289</v>
      </c>
      <c r="B287" s="85">
        <v>1346241627</v>
      </c>
      <c r="C287" s="86">
        <v>2</v>
      </c>
      <c r="D287" s="86">
        <v>2017</v>
      </c>
      <c r="E287" s="197">
        <v>58</v>
      </c>
      <c r="F287" s="87" t="s">
        <v>370</v>
      </c>
      <c r="G287" s="86"/>
      <c r="H287" s="86"/>
      <c r="I287" s="197"/>
      <c r="J287" s="87" t="s">
        <v>370</v>
      </c>
      <c r="K287" s="86"/>
      <c r="L287" s="86"/>
      <c r="M287" s="197"/>
      <c r="N287" s="87" t="s">
        <v>370</v>
      </c>
      <c r="O287" s="86"/>
      <c r="P287" s="86"/>
      <c r="Q287" s="197"/>
      <c r="R287" s="87" t="s">
        <v>370</v>
      </c>
      <c r="S287" s="86"/>
      <c r="T287" s="86"/>
      <c r="U287" s="197"/>
      <c r="V287" s="87" t="s">
        <v>370</v>
      </c>
      <c r="W287" s="86"/>
      <c r="X287" s="86"/>
      <c r="Y287" s="197"/>
      <c r="Z287" s="87" t="s">
        <v>370</v>
      </c>
      <c r="AA287" s="86"/>
      <c r="AB287" s="86"/>
      <c r="AC287" s="197"/>
    </row>
    <row r="288" spans="1:29" x14ac:dyDescent="0.25">
      <c r="A288" s="85" t="s">
        <v>503</v>
      </c>
      <c r="B288" s="85">
        <v>1316921190</v>
      </c>
      <c r="C288" s="86">
        <v>3</v>
      </c>
      <c r="D288" s="86">
        <v>2022</v>
      </c>
      <c r="E288" s="197">
        <v>77649</v>
      </c>
      <c r="F288" s="87" t="s">
        <v>370</v>
      </c>
      <c r="G288" s="86"/>
      <c r="H288" s="86"/>
      <c r="I288" s="197"/>
      <c r="J288" s="87" t="s">
        <v>370</v>
      </c>
      <c r="K288" s="86"/>
      <c r="L288" s="86"/>
      <c r="M288" s="197"/>
      <c r="N288" s="87" t="s">
        <v>370</v>
      </c>
      <c r="O288" s="86"/>
      <c r="P288" s="86"/>
      <c r="Q288" s="197"/>
      <c r="R288" s="87" t="s">
        <v>370</v>
      </c>
      <c r="S288" s="86"/>
      <c r="T288" s="86"/>
      <c r="U288" s="197"/>
      <c r="V288" s="87" t="s">
        <v>370</v>
      </c>
      <c r="W288" s="86"/>
      <c r="X288" s="86"/>
      <c r="Y288" s="197"/>
      <c r="Z288" s="87" t="s">
        <v>370</v>
      </c>
      <c r="AA288" s="86"/>
      <c r="AB288" s="86"/>
      <c r="AC288" s="197"/>
    </row>
    <row r="289" spans="1:29" x14ac:dyDescent="0.25">
      <c r="A289" s="88" t="s">
        <v>504</v>
      </c>
      <c r="B289" s="85">
        <v>1740278126</v>
      </c>
      <c r="C289" s="86"/>
      <c r="D289" s="86"/>
      <c r="E289" s="197"/>
      <c r="F289" s="87" t="s">
        <v>370</v>
      </c>
      <c r="G289" s="86"/>
      <c r="H289" s="86"/>
      <c r="I289" s="197"/>
      <c r="J289" s="87" t="s">
        <v>370</v>
      </c>
      <c r="K289" s="86"/>
      <c r="L289" s="86"/>
      <c r="M289" s="197"/>
      <c r="N289" s="87" t="s">
        <v>370</v>
      </c>
      <c r="O289" s="86"/>
      <c r="P289" s="86"/>
      <c r="Q289" s="197"/>
      <c r="R289" s="87" t="s">
        <v>370</v>
      </c>
      <c r="S289" s="86"/>
      <c r="T289" s="86"/>
      <c r="U289" s="197"/>
      <c r="V289" s="87" t="s">
        <v>370</v>
      </c>
      <c r="W289" s="86"/>
      <c r="X289" s="86"/>
      <c r="Y289" s="197"/>
      <c r="Z289" s="87" t="s">
        <v>370</v>
      </c>
      <c r="AA289" s="86"/>
      <c r="AB289" s="86"/>
      <c r="AC289" s="197"/>
    </row>
    <row r="290" spans="1:29" x14ac:dyDescent="0.25">
      <c r="A290" s="88" t="s">
        <v>290</v>
      </c>
      <c r="B290" s="85">
        <v>1740386473</v>
      </c>
      <c r="C290" s="86">
        <v>3</v>
      </c>
      <c r="D290" s="86">
        <v>2016</v>
      </c>
      <c r="E290" s="197">
        <v>41854</v>
      </c>
      <c r="F290" s="87" t="s">
        <v>370</v>
      </c>
      <c r="G290" s="86">
        <v>3</v>
      </c>
      <c r="H290" s="86">
        <v>2019</v>
      </c>
      <c r="I290" s="197">
        <v>272849</v>
      </c>
      <c r="J290" s="87" t="s">
        <v>370</v>
      </c>
      <c r="K290" s="86">
        <v>3</v>
      </c>
      <c r="L290" s="86">
        <v>2020</v>
      </c>
      <c r="M290" s="197">
        <v>2172941</v>
      </c>
      <c r="N290" s="87" t="s">
        <v>370</v>
      </c>
      <c r="O290" s="86">
        <v>3</v>
      </c>
      <c r="P290" s="86">
        <v>2021</v>
      </c>
      <c r="Q290" s="197">
        <v>95175</v>
      </c>
      <c r="R290" s="87" t="s">
        <v>370</v>
      </c>
      <c r="S290" s="86"/>
      <c r="T290" s="86"/>
      <c r="U290" s="197"/>
      <c r="V290" s="87" t="s">
        <v>370</v>
      </c>
      <c r="W290" s="86"/>
      <c r="X290" s="86"/>
      <c r="Y290" s="197"/>
      <c r="Z290" s="87" t="s">
        <v>370</v>
      </c>
      <c r="AA290" s="86"/>
      <c r="AB290" s="86"/>
      <c r="AC290" s="197"/>
    </row>
    <row r="291" spans="1:29" x14ac:dyDescent="0.25">
      <c r="A291" s="88" t="s">
        <v>291</v>
      </c>
      <c r="B291" s="85">
        <v>1689628141</v>
      </c>
      <c r="C291" s="86">
        <v>3</v>
      </c>
      <c r="D291" s="86">
        <v>2019</v>
      </c>
      <c r="E291" s="197">
        <v>376372</v>
      </c>
      <c r="F291" s="87" t="s">
        <v>370</v>
      </c>
      <c r="G291" s="86">
        <v>3</v>
      </c>
      <c r="H291" s="86">
        <v>2020</v>
      </c>
      <c r="I291" s="197">
        <v>2060562</v>
      </c>
      <c r="J291" s="87" t="s">
        <v>370</v>
      </c>
      <c r="K291" s="86">
        <v>3</v>
      </c>
      <c r="L291" s="86">
        <v>2022</v>
      </c>
      <c r="M291" s="197">
        <v>225165</v>
      </c>
      <c r="N291" s="87" t="s">
        <v>370</v>
      </c>
      <c r="O291" s="86"/>
      <c r="P291" s="86"/>
      <c r="Q291" s="197"/>
      <c r="R291" s="87" t="s">
        <v>370</v>
      </c>
      <c r="S291" s="86"/>
      <c r="T291" s="86"/>
      <c r="U291" s="197"/>
      <c r="V291" s="87" t="s">
        <v>370</v>
      </c>
      <c r="W291" s="86"/>
      <c r="X291" s="86"/>
      <c r="Y291" s="197"/>
      <c r="Z291" s="87" t="s">
        <v>370</v>
      </c>
      <c r="AA291" s="86"/>
      <c r="AB291" s="86"/>
      <c r="AC291" s="197"/>
    </row>
    <row r="292" spans="1:29" x14ac:dyDescent="0.25">
      <c r="A292" s="85" t="s">
        <v>505</v>
      </c>
      <c r="B292" s="85">
        <v>1316351034</v>
      </c>
      <c r="C292" s="86">
        <v>3</v>
      </c>
      <c r="D292" s="86">
        <v>2016</v>
      </c>
      <c r="E292" s="197">
        <v>247780</v>
      </c>
      <c r="F292" s="87" t="s">
        <v>370</v>
      </c>
      <c r="G292" s="86">
        <v>3</v>
      </c>
      <c r="H292" s="86">
        <v>2017</v>
      </c>
      <c r="I292" s="197">
        <v>484285</v>
      </c>
      <c r="J292" s="87" t="s">
        <v>370</v>
      </c>
      <c r="K292" s="86">
        <v>3</v>
      </c>
      <c r="L292" s="86">
        <v>2018</v>
      </c>
      <c r="M292" s="197">
        <v>167925</v>
      </c>
      <c r="N292" s="87" t="s">
        <v>370</v>
      </c>
      <c r="O292" s="86">
        <v>3</v>
      </c>
      <c r="P292" s="86">
        <v>2019</v>
      </c>
      <c r="Q292" s="197">
        <v>127143</v>
      </c>
      <c r="R292" s="87" t="s">
        <v>370</v>
      </c>
      <c r="S292" s="86">
        <v>3</v>
      </c>
      <c r="T292" s="86">
        <v>2020</v>
      </c>
      <c r="U292" s="197">
        <v>151558</v>
      </c>
      <c r="V292" s="87" t="s">
        <v>370</v>
      </c>
      <c r="W292" s="86">
        <v>3</v>
      </c>
      <c r="X292" s="86">
        <v>2021</v>
      </c>
      <c r="Y292" s="197">
        <v>85423</v>
      </c>
      <c r="Z292" s="87" t="s">
        <v>370</v>
      </c>
      <c r="AA292" s="86">
        <v>3</v>
      </c>
      <c r="AB292" s="86">
        <v>2022</v>
      </c>
      <c r="AC292" s="197">
        <v>90233</v>
      </c>
    </row>
    <row r="293" spans="1:29" x14ac:dyDescent="0.25">
      <c r="A293" s="88" t="s">
        <v>506</v>
      </c>
      <c r="B293" s="85">
        <v>1437564739</v>
      </c>
      <c r="C293" s="86">
        <v>3</v>
      </c>
      <c r="D293" s="86">
        <v>2016</v>
      </c>
      <c r="E293" s="197">
        <v>490753</v>
      </c>
      <c r="F293" s="87" t="s">
        <v>370</v>
      </c>
      <c r="G293" s="86">
        <v>3</v>
      </c>
      <c r="H293" s="86">
        <v>2019</v>
      </c>
      <c r="I293" s="197">
        <v>160606</v>
      </c>
      <c r="J293" s="87" t="s">
        <v>370</v>
      </c>
      <c r="K293" s="86">
        <v>3</v>
      </c>
      <c r="L293" s="86">
        <v>2020</v>
      </c>
      <c r="M293" s="197">
        <v>68158</v>
      </c>
      <c r="N293" s="87" t="s">
        <v>370</v>
      </c>
      <c r="O293" s="86">
        <v>3</v>
      </c>
      <c r="P293" s="86">
        <v>2021</v>
      </c>
      <c r="Q293" s="197">
        <v>97519</v>
      </c>
      <c r="R293" s="87" t="s">
        <v>370</v>
      </c>
      <c r="S293" s="86">
        <v>3</v>
      </c>
      <c r="T293" s="86">
        <v>2022</v>
      </c>
      <c r="U293" s="197">
        <v>82053</v>
      </c>
      <c r="V293" s="87" t="s">
        <v>370</v>
      </c>
      <c r="W293" s="86"/>
      <c r="X293" s="86"/>
      <c r="Y293" s="197"/>
      <c r="Z293" s="87" t="s">
        <v>370</v>
      </c>
      <c r="AA293" s="86"/>
      <c r="AB293" s="86"/>
      <c r="AC293" s="197"/>
    </row>
    <row r="294" spans="1:29" x14ac:dyDescent="0.25">
      <c r="A294" s="88" t="s">
        <v>507</v>
      </c>
      <c r="B294" s="85">
        <v>1649685132</v>
      </c>
      <c r="C294" s="86">
        <v>3</v>
      </c>
      <c r="D294" s="86">
        <v>2016</v>
      </c>
      <c r="E294" s="197">
        <v>524476</v>
      </c>
      <c r="F294" s="87" t="s">
        <v>370</v>
      </c>
      <c r="G294" s="86">
        <v>3</v>
      </c>
      <c r="H294" s="86">
        <v>2019</v>
      </c>
      <c r="I294" s="197">
        <v>276347</v>
      </c>
      <c r="J294" s="87" t="s">
        <v>370</v>
      </c>
      <c r="K294" s="86">
        <v>3</v>
      </c>
      <c r="L294" s="86">
        <v>2020</v>
      </c>
      <c r="M294" s="197">
        <v>77584</v>
      </c>
      <c r="N294" s="87" t="s">
        <v>370</v>
      </c>
      <c r="O294" s="86">
        <v>3</v>
      </c>
      <c r="P294" s="86">
        <v>2021</v>
      </c>
      <c r="Q294" s="197">
        <v>87509</v>
      </c>
      <c r="R294" s="87" t="s">
        <v>370</v>
      </c>
      <c r="S294" s="86">
        <v>3</v>
      </c>
      <c r="T294" s="86">
        <v>2022</v>
      </c>
      <c r="U294" s="197">
        <v>57842</v>
      </c>
      <c r="V294" s="87" t="s">
        <v>370</v>
      </c>
      <c r="W294" s="86"/>
      <c r="X294" s="86"/>
      <c r="Y294" s="197"/>
      <c r="Z294" s="87" t="s">
        <v>370</v>
      </c>
      <c r="AA294" s="86"/>
      <c r="AB294" s="86"/>
      <c r="AC294" s="197"/>
    </row>
    <row r="295" spans="1:29" x14ac:dyDescent="0.25">
      <c r="A295" s="88" t="s">
        <v>292</v>
      </c>
      <c r="B295" s="85">
        <v>1063838381</v>
      </c>
      <c r="C295" s="86">
        <v>3</v>
      </c>
      <c r="D295" s="86">
        <v>2019</v>
      </c>
      <c r="E295" s="197">
        <v>61521</v>
      </c>
      <c r="F295" s="87" t="s">
        <v>370</v>
      </c>
      <c r="G295" s="86">
        <v>3</v>
      </c>
      <c r="H295" s="86">
        <v>2020</v>
      </c>
      <c r="I295" s="197">
        <v>84478</v>
      </c>
      <c r="J295" s="87" t="s">
        <v>370</v>
      </c>
      <c r="K295" s="86">
        <v>3</v>
      </c>
      <c r="L295" s="86">
        <v>2021</v>
      </c>
      <c r="M295" s="197">
        <v>291646</v>
      </c>
      <c r="N295" s="87" t="s">
        <v>370</v>
      </c>
      <c r="O295" s="86">
        <v>3</v>
      </c>
      <c r="P295" s="86">
        <v>2022</v>
      </c>
      <c r="Q295" s="197">
        <v>120069</v>
      </c>
      <c r="R295" s="87" t="s">
        <v>370</v>
      </c>
      <c r="S295" s="86"/>
      <c r="T295" s="86"/>
      <c r="U295" s="197"/>
      <c r="V295" s="87" t="s">
        <v>370</v>
      </c>
      <c r="W295" s="86"/>
      <c r="X295" s="86"/>
      <c r="Y295" s="197"/>
      <c r="Z295" s="87" t="s">
        <v>370</v>
      </c>
      <c r="AA295" s="86"/>
      <c r="AB295" s="86"/>
      <c r="AC295" s="197"/>
    </row>
    <row r="296" spans="1:29" x14ac:dyDescent="0.25">
      <c r="A296" s="85" t="s">
        <v>508</v>
      </c>
      <c r="B296" s="85">
        <v>1003869983</v>
      </c>
      <c r="C296" s="86">
        <v>3</v>
      </c>
      <c r="D296" s="86">
        <v>2020</v>
      </c>
      <c r="E296" s="197">
        <v>279073</v>
      </c>
      <c r="F296" s="87" t="s">
        <v>370</v>
      </c>
      <c r="G296" s="86">
        <v>3</v>
      </c>
      <c r="H296" s="86">
        <v>2021</v>
      </c>
      <c r="I296" s="197">
        <v>203809</v>
      </c>
      <c r="J296" s="87" t="s">
        <v>370</v>
      </c>
      <c r="K296" s="86"/>
      <c r="L296" s="86"/>
      <c r="M296" s="197"/>
      <c r="N296" s="87" t="s">
        <v>370</v>
      </c>
      <c r="O296" s="86"/>
      <c r="P296" s="86"/>
      <c r="Q296" s="197"/>
      <c r="R296" s="87" t="s">
        <v>370</v>
      </c>
      <c r="S296" s="86"/>
      <c r="T296" s="86"/>
      <c r="U296" s="197"/>
      <c r="V296" s="87" t="s">
        <v>370</v>
      </c>
      <c r="W296" s="86"/>
      <c r="X296" s="86"/>
      <c r="Y296" s="197"/>
      <c r="Z296" s="87" t="s">
        <v>370</v>
      </c>
      <c r="AA296" s="86"/>
      <c r="AB296" s="86"/>
      <c r="AC296" s="197"/>
    </row>
    <row r="297" spans="1:29" x14ac:dyDescent="0.25">
      <c r="A297" s="85" t="s">
        <v>293</v>
      </c>
      <c r="B297" s="85">
        <v>1093708497</v>
      </c>
      <c r="C297" s="86">
        <v>3</v>
      </c>
      <c r="D297" s="86">
        <v>2017</v>
      </c>
      <c r="E297" s="197">
        <v>215034</v>
      </c>
      <c r="F297" s="87" t="s">
        <v>370</v>
      </c>
      <c r="G297" s="86">
        <v>3</v>
      </c>
      <c r="H297" s="86">
        <v>2018</v>
      </c>
      <c r="I297" s="197">
        <v>267748</v>
      </c>
      <c r="J297" s="87" t="s">
        <v>370</v>
      </c>
      <c r="K297" s="86">
        <v>3</v>
      </c>
      <c r="L297" s="86">
        <v>2019</v>
      </c>
      <c r="M297" s="197">
        <v>199321</v>
      </c>
      <c r="N297" s="87" t="s">
        <v>370</v>
      </c>
      <c r="O297" s="86">
        <v>3</v>
      </c>
      <c r="P297" s="86">
        <v>2020</v>
      </c>
      <c r="Q297" s="197">
        <v>65839</v>
      </c>
      <c r="R297" s="87" t="s">
        <v>370</v>
      </c>
      <c r="S297" s="86">
        <v>3</v>
      </c>
      <c r="T297" s="86">
        <v>2022</v>
      </c>
      <c r="U297" s="197">
        <v>131362</v>
      </c>
      <c r="V297" s="87" t="s">
        <v>370</v>
      </c>
      <c r="W297" s="86"/>
      <c r="X297" s="86"/>
      <c r="Y297" s="197"/>
      <c r="Z297" s="87" t="s">
        <v>370</v>
      </c>
      <c r="AA297" s="86"/>
      <c r="AB297" s="86"/>
      <c r="AC297" s="197"/>
    </row>
    <row r="298" spans="1:29" x14ac:dyDescent="0.25">
      <c r="A298" s="85" t="s">
        <v>294</v>
      </c>
      <c r="B298" s="85">
        <v>1295733517</v>
      </c>
      <c r="C298" s="86">
        <v>3</v>
      </c>
      <c r="D298" s="86">
        <v>2016</v>
      </c>
      <c r="E298" s="197">
        <v>350278</v>
      </c>
      <c r="F298" s="87" t="s">
        <v>370</v>
      </c>
      <c r="G298" s="86">
        <v>3</v>
      </c>
      <c r="H298" s="86">
        <v>2017</v>
      </c>
      <c r="I298" s="197">
        <v>103881</v>
      </c>
      <c r="J298" s="87" t="s">
        <v>370</v>
      </c>
      <c r="K298" s="86">
        <v>3</v>
      </c>
      <c r="L298" s="86">
        <v>2018</v>
      </c>
      <c r="M298" s="197">
        <v>3656620</v>
      </c>
      <c r="N298" s="87" t="s">
        <v>370</v>
      </c>
      <c r="O298" s="86">
        <v>3</v>
      </c>
      <c r="P298" s="86">
        <v>2019</v>
      </c>
      <c r="Q298" s="197">
        <v>136952</v>
      </c>
      <c r="R298" s="87" t="s">
        <v>370</v>
      </c>
      <c r="S298" s="86">
        <v>3</v>
      </c>
      <c r="T298" s="86">
        <v>2020</v>
      </c>
      <c r="U298" s="197">
        <v>54703</v>
      </c>
      <c r="V298" s="87" t="s">
        <v>370</v>
      </c>
      <c r="W298" s="86">
        <v>3</v>
      </c>
      <c r="X298" s="86">
        <v>2022</v>
      </c>
      <c r="Y298" s="197">
        <v>147278</v>
      </c>
      <c r="Z298" s="87" t="s">
        <v>370</v>
      </c>
      <c r="AA298" s="86"/>
      <c r="AB298" s="86"/>
      <c r="AC298" s="197"/>
    </row>
    <row r="299" spans="1:29" x14ac:dyDescent="0.25">
      <c r="A299" s="88" t="s">
        <v>509</v>
      </c>
      <c r="B299" s="85">
        <v>1649268335</v>
      </c>
      <c r="C299" s="86">
        <v>3</v>
      </c>
      <c r="D299" s="86">
        <v>2016</v>
      </c>
      <c r="E299" s="197">
        <v>141906</v>
      </c>
      <c r="F299" s="87" t="s">
        <v>370</v>
      </c>
      <c r="G299" s="86">
        <v>3</v>
      </c>
      <c r="H299" s="86">
        <v>2017</v>
      </c>
      <c r="I299" s="197">
        <v>201251</v>
      </c>
      <c r="J299" s="87" t="s">
        <v>370</v>
      </c>
      <c r="K299" s="86">
        <v>3</v>
      </c>
      <c r="L299" s="86">
        <v>2018</v>
      </c>
      <c r="M299" s="197">
        <v>100640</v>
      </c>
      <c r="N299" s="87" t="s">
        <v>370</v>
      </c>
      <c r="O299" s="86">
        <v>3</v>
      </c>
      <c r="P299" s="86">
        <v>2021</v>
      </c>
      <c r="Q299" s="197">
        <v>104207</v>
      </c>
      <c r="R299" s="87" t="s">
        <v>370</v>
      </c>
      <c r="S299" s="86"/>
      <c r="T299" s="86"/>
      <c r="U299" s="197"/>
      <c r="V299" s="87" t="s">
        <v>370</v>
      </c>
      <c r="W299" s="86"/>
      <c r="X299" s="86"/>
      <c r="Y299" s="197"/>
      <c r="Z299" s="87" t="s">
        <v>370</v>
      </c>
      <c r="AA299" s="86"/>
      <c r="AB299" s="86"/>
      <c r="AC299" s="197"/>
    </row>
    <row r="300" spans="1:29" x14ac:dyDescent="0.25">
      <c r="A300" s="88" t="s">
        <v>510</v>
      </c>
      <c r="B300" s="85">
        <v>1861504946</v>
      </c>
      <c r="C300" s="86">
        <v>3</v>
      </c>
      <c r="D300" s="86">
        <v>2021</v>
      </c>
      <c r="E300" s="197">
        <v>69721</v>
      </c>
      <c r="F300" s="87" t="s">
        <v>370</v>
      </c>
      <c r="G300" s="86">
        <v>3</v>
      </c>
      <c r="H300" s="86">
        <v>2022</v>
      </c>
      <c r="I300" s="197">
        <v>67017</v>
      </c>
      <c r="J300" s="87" t="s">
        <v>370</v>
      </c>
      <c r="K300" s="86"/>
      <c r="L300" s="86"/>
      <c r="M300" s="197"/>
      <c r="N300" s="87" t="s">
        <v>370</v>
      </c>
      <c r="O300" s="86"/>
      <c r="P300" s="86"/>
      <c r="Q300" s="197"/>
      <c r="R300" s="87" t="s">
        <v>370</v>
      </c>
      <c r="S300" s="86"/>
      <c r="T300" s="86"/>
      <c r="U300" s="197"/>
      <c r="V300" s="87" t="s">
        <v>370</v>
      </c>
      <c r="W300" s="86"/>
      <c r="X300" s="86"/>
      <c r="Y300" s="197"/>
      <c r="Z300" s="87" t="s">
        <v>370</v>
      </c>
      <c r="AA300" s="86"/>
      <c r="AB300" s="86"/>
      <c r="AC300" s="197"/>
    </row>
    <row r="301" spans="1:29" x14ac:dyDescent="0.25">
      <c r="A301" s="88" t="s">
        <v>295</v>
      </c>
      <c r="B301" s="85">
        <v>1558029488</v>
      </c>
      <c r="C301" s="86">
        <v>3</v>
      </c>
      <c r="D301" s="86">
        <v>2022</v>
      </c>
      <c r="E301" s="197">
        <v>103583</v>
      </c>
      <c r="F301" s="87" t="s">
        <v>370</v>
      </c>
      <c r="G301" s="86"/>
      <c r="H301" s="86"/>
      <c r="I301" s="197"/>
      <c r="J301" s="87" t="s">
        <v>370</v>
      </c>
      <c r="K301" s="86"/>
      <c r="L301" s="86"/>
      <c r="M301" s="197"/>
      <c r="N301" s="87" t="s">
        <v>370</v>
      </c>
      <c r="O301" s="86"/>
      <c r="P301" s="86"/>
      <c r="Q301" s="197"/>
      <c r="R301" s="87" t="s">
        <v>370</v>
      </c>
      <c r="S301" s="86"/>
      <c r="T301" s="86"/>
      <c r="U301" s="197"/>
      <c r="V301" s="87" t="s">
        <v>370</v>
      </c>
      <c r="W301" s="86"/>
      <c r="X301" s="86"/>
      <c r="Y301" s="197"/>
      <c r="Z301" s="87" t="s">
        <v>370</v>
      </c>
      <c r="AA301" s="86"/>
      <c r="AB301" s="86"/>
      <c r="AC301" s="197"/>
    </row>
    <row r="302" spans="1:29" x14ac:dyDescent="0.25">
      <c r="A302" s="88" t="s">
        <v>511</v>
      </c>
      <c r="B302" s="85">
        <v>1437110913</v>
      </c>
      <c r="C302" s="86"/>
      <c r="D302" s="86"/>
      <c r="E302" s="197"/>
      <c r="F302" s="87" t="s">
        <v>370</v>
      </c>
      <c r="G302" s="86"/>
      <c r="H302" s="86"/>
      <c r="I302" s="197"/>
      <c r="J302" s="87" t="s">
        <v>370</v>
      </c>
      <c r="K302" s="86"/>
      <c r="L302" s="86"/>
      <c r="M302" s="197"/>
      <c r="N302" s="87" t="s">
        <v>370</v>
      </c>
      <c r="O302" s="86"/>
      <c r="P302" s="86"/>
      <c r="Q302" s="197"/>
      <c r="R302" s="87" t="s">
        <v>370</v>
      </c>
      <c r="S302" s="86"/>
      <c r="T302" s="86"/>
      <c r="U302" s="197"/>
      <c r="V302" s="87" t="s">
        <v>370</v>
      </c>
      <c r="W302" s="86"/>
      <c r="X302" s="86"/>
      <c r="Y302" s="197"/>
      <c r="Z302" s="87" t="s">
        <v>370</v>
      </c>
      <c r="AA302" s="86"/>
      <c r="AB302" s="86"/>
      <c r="AC302" s="197"/>
    </row>
    <row r="303" spans="1:29" x14ac:dyDescent="0.25">
      <c r="A303" s="88" t="s">
        <v>512</v>
      </c>
      <c r="B303" s="85">
        <v>1457709891</v>
      </c>
      <c r="C303" s="86"/>
      <c r="D303" s="86"/>
      <c r="E303" s="197"/>
      <c r="F303" s="87" t="s">
        <v>370</v>
      </c>
      <c r="G303" s="86"/>
      <c r="H303" s="86"/>
      <c r="I303" s="197"/>
      <c r="J303" s="87" t="s">
        <v>370</v>
      </c>
      <c r="K303" s="86"/>
      <c r="L303" s="86"/>
      <c r="M303" s="197"/>
      <c r="N303" s="87" t="s">
        <v>370</v>
      </c>
      <c r="O303" s="86"/>
      <c r="P303" s="86"/>
      <c r="Q303" s="197"/>
      <c r="R303" s="87" t="s">
        <v>370</v>
      </c>
      <c r="S303" s="86"/>
      <c r="T303" s="86"/>
      <c r="U303" s="197"/>
      <c r="V303" s="87" t="s">
        <v>370</v>
      </c>
      <c r="W303" s="86"/>
      <c r="X303" s="86"/>
      <c r="Y303" s="197"/>
      <c r="Z303" s="87" t="s">
        <v>370</v>
      </c>
      <c r="AA303" s="86"/>
      <c r="AB303" s="86"/>
      <c r="AC303" s="197"/>
    </row>
    <row r="304" spans="1:29" x14ac:dyDescent="0.25">
      <c r="A304" s="88" t="s">
        <v>296</v>
      </c>
      <c r="B304" s="85">
        <v>1043263981</v>
      </c>
      <c r="C304" s="86">
        <v>3</v>
      </c>
      <c r="D304" s="86">
        <v>2021</v>
      </c>
      <c r="E304" s="197">
        <v>608384</v>
      </c>
      <c r="F304" s="87" t="s">
        <v>370</v>
      </c>
      <c r="G304" s="86"/>
      <c r="H304" s="86"/>
      <c r="I304" s="197"/>
      <c r="J304" s="87" t="s">
        <v>370</v>
      </c>
      <c r="K304" s="86"/>
      <c r="L304" s="86"/>
      <c r="M304" s="197"/>
      <c r="N304" s="87" t="s">
        <v>370</v>
      </c>
      <c r="O304" s="86"/>
      <c r="P304" s="86"/>
      <c r="Q304" s="197"/>
      <c r="R304" s="87" t="s">
        <v>370</v>
      </c>
      <c r="S304" s="86"/>
      <c r="T304" s="86"/>
      <c r="U304" s="197"/>
      <c r="V304" s="87" t="s">
        <v>370</v>
      </c>
      <c r="W304" s="86"/>
      <c r="X304" s="86"/>
      <c r="Y304" s="197"/>
      <c r="Z304" s="87" t="s">
        <v>370</v>
      </c>
      <c r="AA304" s="86"/>
      <c r="AB304" s="86"/>
      <c r="AC304" s="197"/>
    </row>
    <row r="305" spans="1:29" x14ac:dyDescent="0.25">
      <c r="A305" s="85" t="s">
        <v>513</v>
      </c>
      <c r="B305" s="85">
        <v>1003205337</v>
      </c>
      <c r="C305" s="86"/>
      <c r="D305" s="86"/>
      <c r="E305" s="197"/>
      <c r="F305" s="87" t="s">
        <v>370</v>
      </c>
      <c r="G305" s="86"/>
      <c r="H305" s="86"/>
      <c r="I305" s="197"/>
      <c r="J305" s="87" t="s">
        <v>370</v>
      </c>
      <c r="K305" s="86"/>
      <c r="L305" s="86"/>
      <c r="M305" s="197"/>
      <c r="N305" s="87" t="s">
        <v>370</v>
      </c>
      <c r="O305" s="86"/>
      <c r="P305" s="86"/>
      <c r="Q305" s="197"/>
      <c r="R305" s="87" t="s">
        <v>370</v>
      </c>
      <c r="S305" s="86"/>
      <c r="T305" s="86"/>
      <c r="U305" s="197"/>
      <c r="V305" s="87" t="s">
        <v>370</v>
      </c>
      <c r="W305" s="86"/>
      <c r="X305" s="86"/>
      <c r="Y305" s="197"/>
      <c r="Z305" s="87" t="s">
        <v>370</v>
      </c>
      <c r="AA305" s="86"/>
      <c r="AB305" s="86"/>
      <c r="AC305" s="197"/>
    </row>
    <row r="306" spans="1:29" x14ac:dyDescent="0.25">
      <c r="A306" s="88" t="s">
        <v>297</v>
      </c>
      <c r="B306" s="85">
        <v>1184712580</v>
      </c>
      <c r="C306" s="86">
        <v>3</v>
      </c>
      <c r="D306" s="86">
        <v>2022</v>
      </c>
      <c r="E306" s="197">
        <v>331154</v>
      </c>
      <c r="F306" s="87" t="s">
        <v>370</v>
      </c>
      <c r="G306" s="86"/>
      <c r="H306" s="86"/>
      <c r="I306" s="197"/>
      <c r="J306" s="87" t="s">
        <v>370</v>
      </c>
      <c r="K306" s="86"/>
      <c r="L306" s="86"/>
      <c r="M306" s="197"/>
      <c r="N306" s="87" t="s">
        <v>370</v>
      </c>
      <c r="O306" s="86"/>
      <c r="P306" s="86"/>
      <c r="Q306" s="197"/>
      <c r="R306" s="87" t="s">
        <v>370</v>
      </c>
      <c r="S306" s="86"/>
      <c r="T306" s="86"/>
      <c r="U306" s="197"/>
      <c r="V306" s="87" t="s">
        <v>370</v>
      </c>
      <c r="W306" s="86"/>
      <c r="X306" s="86"/>
      <c r="Y306" s="197"/>
      <c r="Z306" s="87" t="s">
        <v>370</v>
      </c>
      <c r="AA306" s="86"/>
      <c r="AB306" s="86"/>
      <c r="AC306" s="197"/>
    </row>
    <row r="307" spans="1:29" x14ac:dyDescent="0.25">
      <c r="A307" s="88" t="s">
        <v>298</v>
      </c>
      <c r="B307" s="85">
        <v>1407843097</v>
      </c>
      <c r="C307" s="86">
        <v>3</v>
      </c>
      <c r="D307" s="86">
        <v>2016</v>
      </c>
      <c r="E307" s="197">
        <v>517730</v>
      </c>
      <c r="F307" s="87" t="s">
        <v>370</v>
      </c>
      <c r="G307" s="86">
        <v>3</v>
      </c>
      <c r="H307" s="86">
        <v>2017</v>
      </c>
      <c r="I307" s="197">
        <v>1413348</v>
      </c>
      <c r="J307" s="87" t="s">
        <v>370</v>
      </c>
      <c r="K307" s="86">
        <v>3</v>
      </c>
      <c r="L307" s="86">
        <v>2018</v>
      </c>
      <c r="M307" s="197">
        <v>1123012</v>
      </c>
      <c r="N307" s="87" t="s">
        <v>370</v>
      </c>
      <c r="O307" s="86">
        <v>3</v>
      </c>
      <c r="P307" s="86">
        <v>2019</v>
      </c>
      <c r="Q307" s="197">
        <v>217110</v>
      </c>
      <c r="R307" s="87" t="s">
        <v>370</v>
      </c>
      <c r="S307" s="86">
        <v>3</v>
      </c>
      <c r="T307" s="86">
        <v>2020</v>
      </c>
      <c r="U307" s="197">
        <v>412593</v>
      </c>
      <c r="V307" s="87" t="s">
        <v>370</v>
      </c>
      <c r="W307" s="86">
        <v>3</v>
      </c>
      <c r="X307" s="86">
        <v>2022</v>
      </c>
      <c r="Y307" s="197">
        <v>130748</v>
      </c>
      <c r="Z307" s="87" t="s">
        <v>370</v>
      </c>
      <c r="AA307" s="86"/>
      <c r="AB307" s="86"/>
      <c r="AC307" s="197"/>
    </row>
    <row r="308" spans="1:29" x14ac:dyDescent="0.25">
      <c r="A308" s="85" t="s">
        <v>299</v>
      </c>
      <c r="B308" s="85">
        <v>1891346797</v>
      </c>
      <c r="C308" s="86">
        <v>3</v>
      </c>
      <c r="D308" s="86">
        <v>2017</v>
      </c>
      <c r="E308" s="197">
        <v>219419</v>
      </c>
      <c r="F308" s="87" t="s">
        <v>370</v>
      </c>
      <c r="G308" s="86">
        <v>3</v>
      </c>
      <c r="H308" s="86">
        <v>2018</v>
      </c>
      <c r="I308" s="197">
        <v>570779</v>
      </c>
      <c r="J308" s="87" t="s">
        <v>370</v>
      </c>
      <c r="K308" s="86">
        <v>3</v>
      </c>
      <c r="L308" s="86">
        <v>2019</v>
      </c>
      <c r="M308" s="197">
        <v>1186477</v>
      </c>
      <c r="N308" s="87" t="s">
        <v>370</v>
      </c>
      <c r="O308" s="86">
        <v>3</v>
      </c>
      <c r="P308" s="86">
        <v>2020</v>
      </c>
      <c r="Q308" s="197">
        <v>81860</v>
      </c>
      <c r="R308" s="87" t="s">
        <v>370</v>
      </c>
      <c r="S308" s="86"/>
      <c r="T308" s="86"/>
      <c r="U308" s="197"/>
      <c r="V308" s="87" t="s">
        <v>370</v>
      </c>
      <c r="W308" s="86"/>
      <c r="X308" s="86"/>
      <c r="Y308" s="197"/>
      <c r="Z308" s="87" t="s">
        <v>370</v>
      </c>
      <c r="AA308" s="86"/>
      <c r="AB308" s="86"/>
      <c r="AC308" s="197"/>
    </row>
    <row r="309" spans="1:29" x14ac:dyDescent="0.25">
      <c r="A309" s="85" t="s">
        <v>300</v>
      </c>
      <c r="B309" s="85">
        <v>1629511597</v>
      </c>
      <c r="C309" s="86"/>
      <c r="D309" s="86"/>
      <c r="E309" s="197"/>
      <c r="F309" s="87" t="s">
        <v>370</v>
      </c>
      <c r="G309" s="86"/>
      <c r="H309" s="86"/>
      <c r="I309" s="197"/>
      <c r="J309" s="87" t="s">
        <v>370</v>
      </c>
      <c r="K309" s="86"/>
      <c r="L309" s="86"/>
      <c r="M309" s="197"/>
      <c r="N309" s="87" t="s">
        <v>370</v>
      </c>
      <c r="O309" s="86"/>
      <c r="P309" s="86"/>
      <c r="Q309" s="197"/>
      <c r="R309" s="87" t="s">
        <v>370</v>
      </c>
      <c r="S309" s="86"/>
      <c r="T309" s="86"/>
      <c r="U309" s="197"/>
      <c r="V309" s="87" t="s">
        <v>370</v>
      </c>
      <c r="W309" s="86"/>
      <c r="X309" s="86"/>
      <c r="Y309" s="197"/>
      <c r="Z309" s="87" t="s">
        <v>370</v>
      </c>
      <c r="AA309" s="86"/>
      <c r="AB309" s="86"/>
      <c r="AC309" s="197"/>
    </row>
    <row r="310" spans="1:29" x14ac:dyDescent="0.25">
      <c r="A310" s="85" t="s">
        <v>514</v>
      </c>
      <c r="B310" s="85">
        <v>1164725198</v>
      </c>
      <c r="C310" s="86">
        <v>3</v>
      </c>
      <c r="D310" s="86">
        <v>2016</v>
      </c>
      <c r="E310" s="197">
        <v>238920</v>
      </c>
      <c r="F310" s="87" t="s">
        <v>370</v>
      </c>
      <c r="G310" s="86">
        <v>3</v>
      </c>
      <c r="H310" s="86">
        <v>2018</v>
      </c>
      <c r="I310" s="197">
        <v>152356</v>
      </c>
      <c r="J310" s="87" t="s">
        <v>370</v>
      </c>
      <c r="K310" s="86">
        <v>3</v>
      </c>
      <c r="L310" s="86">
        <v>2019</v>
      </c>
      <c r="M310" s="197">
        <v>92669</v>
      </c>
      <c r="N310" s="87" t="s">
        <v>370</v>
      </c>
      <c r="O310" s="86">
        <v>3</v>
      </c>
      <c r="P310" s="86">
        <v>2021</v>
      </c>
      <c r="Q310" s="197">
        <v>306740.8</v>
      </c>
      <c r="R310" s="87" t="s">
        <v>370</v>
      </c>
      <c r="S310" s="86">
        <v>3</v>
      </c>
      <c r="T310" s="86">
        <v>2022</v>
      </c>
      <c r="U310" s="197">
        <v>69304</v>
      </c>
      <c r="V310" s="87" t="s">
        <v>370</v>
      </c>
      <c r="W310" s="86"/>
      <c r="X310" s="86"/>
      <c r="Y310" s="197"/>
      <c r="Z310" s="87" t="s">
        <v>370</v>
      </c>
      <c r="AA310" s="86"/>
      <c r="AB310" s="86"/>
      <c r="AC310" s="197"/>
    </row>
    <row r="311" spans="1:29" x14ac:dyDescent="0.25">
      <c r="A311" s="88" t="s">
        <v>515</v>
      </c>
      <c r="B311" s="85">
        <v>1710244827</v>
      </c>
      <c r="C311" s="86">
        <v>2</v>
      </c>
      <c r="D311" s="86">
        <v>2017</v>
      </c>
      <c r="E311" s="197">
        <v>200</v>
      </c>
      <c r="F311" s="87" t="s">
        <v>370</v>
      </c>
      <c r="G311" s="86">
        <v>1</v>
      </c>
      <c r="H311" s="86">
        <v>2017</v>
      </c>
      <c r="I311" s="197">
        <v>-100</v>
      </c>
      <c r="J311" s="87" t="s">
        <v>370</v>
      </c>
      <c r="K311" s="86">
        <v>1</v>
      </c>
      <c r="L311" s="86">
        <v>2018</v>
      </c>
      <c r="M311" s="197">
        <v>20</v>
      </c>
      <c r="N311" s="87" t="s">
        <v>370</v>
      </c>
      <c r="O311" s="86">
        <v>3</v>
      </c>
      <c r="P311" s="86">
        <v>2019</v>
      </c>
      <c r="Q311" s="197">
        <v>68342</v>
      </c>
      <c r="R311" s="87" t="s">
        <v>370</v>
      </c>
      <c r="S311" s="86">
        <v>3</v>
      </c>
      <c r="T311" s="86">
        <v>2021</v>
      </c>
      <c r="U311" s="197">
        <v>94958</v>
      </c>
      <c r="V311" s="87" t="s">
        <v>370</v>
      </c>
      <c r="W311" s="86"/>
      <c r="X311" s="86"/>
      <c r="Y311" s="197"/>
      <c r="Z311" s="87" t="s">
        <v>370</v>
      </c>
      <c r="AA311" s="86"/>
      <c r="AB311" s="86"/>
      <c r="AC311" s="197"/>
    </row>
    <row r="312" spans="1:29" x14ac:dyDescent="0.25">
      <c r="A312" s="85" t="s">
        <v>301</v>
      </c>
      <c r="B312" s="85">
        <v>1821414269</v>
      </c>
      <c r="C312" s="86">
        <v>3</v>
      </c>
      <c r="D312" s="86">
        <v>2016</v>
      </c>
      <c r="E312" s="197">
        <v>83905</v>
      </c>
      <c r="F312" s="87" t="s">
        <v>370</v>
      </c>
      <c r="G312" s="86">
        <v>3</v>
      </c>
      <c r="H312" s="86">
        <v>2019</v>
      </c>
      <c r="I312" s="197">
        <v>101976</v>
      </c>
      <c r="J312" s="87" t="s">
        <v>370</v>
      </c>
      <c r="K312" s="86">
        <v>3</v>
      </c>
      <c r="L312" s="86">
        <v>2021</v>
      </c>
      <c r="M312" s="197">
        <v>81948</v>
      </c>
      <c r="N312" s="87" t="s">
        <v>370</v>
      </c>
      <c r="O312" s="86">
        <v>3</v>
      </c>
      <c r="P312" s="86">
        <v>2022</v>
      </c>
      <c r="Q312" s="197">
        <v>187417</v>
      </c>
      <c r="R312" s="87" t="s">
        <v>370</v>
      </c>
      <c r="S312" s="86"/>
      <c r="T312" s="86"/>
      <c r="U312" s="197"/>
      <c r="V312" s="87" t="s">
        <v>370</v>
      </c>
      <c r="W312" s="86"/>
      <c r="X312" s="86"/>
      <c r="Y312" s="197"/>
      <c r="Z312" s="87" t="s">
        <v>370</v>
      </c>
      <c r="AA312" s="86"/>
      <c r="AB312" s="86"/>
      <c r="AC312" s="197"/>
    </row>
    <row r="313" spans="1:29" x14ac:dyDescent="0.25">
      <c r="A313" s="85" t="s">
        <v>516</v>
      </c>
      <c r="B313" s="85">
        <v>1225588536</v>
      </c>
      <c r="C313" s="86">
        <v>3</v>
      </c>
      <c r="D313" s="86">
        <v>2017</v>
      </c>
      <c r="E313" s="197">
        <v>87378.4</v>
      </c>
      <c r="F313" s="87" t="s">
        <v>370</v>
      </c>
      <c r="G313" s="86">
        <v>3</v>
      </c>
      <c r="H313" s="86">
        <v>2021</v>
      </c>
      <c r="I313" s="197">
        <v>352164</v>
      </c>
      <c r="J313" s="87" t="s">
        <v>370</v>
      </c>
      <c r="K313" s="86"/>
      <c r="L313" s="86"/>
      <c r="M313" s="197"/>
      <c r="N313" s="87" t="s">
        <v>370</v>
      </c>
      <c r="O313" s="86"/>
      <c r="P313" s="86"/>
      <c r="Q313" s="197"/>
      <c r="R313" s="87" t="s">
        <v>370</v>
      </c>
      <c r="S313" s="86"/>
      <c r="T313" s="86"/>
      <c r="U313" s="197"/>
      <c r="V313" s="87" t="s">
        <v>370</v>
      </c>
      <c r="W313" s="86"/>
      <c r="X313" s="86"/>
      <c r="Y313" s="197"/>
      <c r="Z313" s="87" t="s">
        <v>370</v>
      </c>
      <c r="AA313" s="86"/>
      <c r="AB313" s="86"/>
      <c r="AC313" s="197"/>
    </row>
    <row r="314" spans="1:29" x14ac:dyDescent="0.25">
      <c r="A314" s="88" t="s">
        <v>302</v>
      </c>
      <c r="B314" s="85">
        <v>1861003485</v>
      </c>
      <c r="C314" s="86"/>
      <c r="D314" s="86"/>
      <c r="E314" s="197"/>
      <c r="F314" s="92" t="s">
        <v>370</v>
      </c>
      <c r="G314" s="86"/>
      <c r="H314" s="86"/>
      <c r="I314" s="197"/>
      <c r="J314" s="92" t="s">
        <v>370</v>
      </c>
      <c r="K314" s="86"/>
      <c r="L314" s="86"/>
      <c r="M314" s="197"/>
      <c r="N314" s="92" t="s">
        <v>370</v>
      </c>
      <c r="O314" s="86"/>
      <c r="P314" s="86"/>
      <c r="Q314" s="197"/>
      <c r="R314" s="92" t="s">
        <v>370</v>
      </c>
      <c r="S314" s="86"/>
      <c r="T314" s="86"/>
      <c r="U314" s="197"/>
      <c r="V314" s="87" t="s">
        <v>370</v>
      </c>
      <c r="W314" s="86"/>
      <c r="X314" s="86"/>
      <c r="Y314" s="197"/>
      <c r="Z314" s="87" t="s">
        <v>370</v>
      </c>
      <c r="AA314" s="86"/>
      <c r="AB314" s="86"/>
      <c r="AC314" s="197"/>
    </row>
    <row r="315" spans="1:29" x14ac:dyDescent="0.25">
      <c r="A315" s="85" t="s">
        <v>303</v>
      </c>
      <c r="B315" s="85">
        <v>1699313544</v>
      </c>
      <c r="C315" s="86">
        <v>3</v>
      </c>
      <c r="D315" s="86">
        <v>2017</v>
      </c>
      <c r="E315" s="197">
        <v>120709</v>
      </c>
      <c r="F315" s="87" t="s">
        <v>370</v>
      </c>
      <c r="G315" s="86">
        <v>1</v>
      </c>
      <c r="H315" s="86">
        <v>2020</v>
      </c>
      <c r="I315" s="197">
        <v>30</v>
      </c>
      <c r="J315" s="87" t="s">
        <v>441</v>
      </c>
      <c r="K315" s="86">
        <v>3</v>
      </c>
      <c r="L315" s="86">
        <v>2020</v>
      </c>
      <c r="M315" s="197">
        <v>333894</v>
      </c>
      <c r="N315" s="87" t="s">
        <v>370</v>
      </c>
      <c r="O315" s="86">
        <v>3</v>
      </c>
      <c r="P315" s="86">
        <v>2022</v>
      </c>
      <c r="Q315" s="197">
        <v>562586</v>
      </c>
      <c r="R315" s="87" t="s">
        <v>370</v>
      </c>
      <c r="S315" s="86"/>
      <c r="T315" s="86"/>
      <c r="U315" s="197"/>
      <c r="V315" s="87" t="s">
        <v>370</v>
      </c>
      <c r="W315" s="86"/>
      <c r="X315" s="86"/>
      <c r="Y315" s="197"/>
      <c r="Z315" s="87" t="s">
        <v>370</v>
      </c>
      <c r="AA315" s="86"/>
      <c r="AB315" s="86"/>
      <c r="AC315" s="197"/>
    </row>
    <row r="316" spans="1:29" x14ac:dyDescent="0.25">
      <c r="A316" s="88" t="s">
        <v>304</v>
      </c>
      <c r="B316" s="85">
        <v>1336602358</v>
      </c>
      <c r="C316" s="86">
        <v>3</v>
      </c>
      <c r="D316" s="86">
        <v>2018</v>
      </c>
      <c r="E316" s="197">
        <v>406147</v>
      </c>
      <c r="F316" s="87" t="s">
        <v>370</v>
      </c>
      <c r="G316" s="86">
        <v>3</v>
      </c>
      <c r="H316" s="86">
        <v>2019</v>
      </c>
      <c r="I316" s="197">
        <v>149877</v>
      </c>
      <c r="J316" s="87" t="s">
        <v>370</v>
      </c>
      <c r="K316" s="86">
        <v>3</v>
      </c>
      <c r="L316" s="86">
        <v>2020</v>
      </c>
      <c r="M316" s="197">
        <v>865682</v>
      </c>
      <c r="N316" s="87" t="s">
        <v>370</v>
      </c>
      <c r="O316" s="86">
        <v>3</v>
      </c>
      <c r="P316" s="86">
        <v>2021</v>
      </c>
      <c r="Q316" s="197">
        <v>1631433</v>
      </c>
      <c r="R316" s="87" t="s">
        <v>370</v>
      </c>
      <c r="S316" s="86">
        <v>3</v>
      </c>
      <c r="T316" s="86">
        <v>2022</v>
      </c>
      <c r="U316" s="197">
        <v>950756</v>
      </c>
      <c r="V316" s="87" t="s">
        <v>370</v>
      </c>
      <c r="W316" s="86"/>
      <c r="X316" s="86"/>
      <c r="Y316" s="197"/>
      <c r="Z316" s="87" t="s">
        <v>370</v>
      </c>
      <c r="AA316" s="86"/>
      <c r="AB316" s="86"/>
      <c r="AC316" s="197"/>
    </row>
    <row r="317" spans="1:29" x14ac:dyDescent="0.25">
      <c r="A317" s="88" t="s">
        <v>305</v>
      </c>
      <c r="B317" s="85">
        <v>1144868092</v>
      </c>
      <c r="C317" s="86">
        <v>3</v>
      </c>
      <c r="D317" s="86">
        <v>2017</v>
      </c>
      <c r="E317" s="197">
        <v>307975</v>
      </c>
      <c r="F317" s="87" t="s">
        <v>370</v>
      </c>
      <c r="G317" s="86">
        <v>3</v>
      </c>
      <c r="H317" s="86">
        <v>2020</v>
      </c>
      <c r="I317" s="197">
        <v>219950</v>
      </c>
      <c r="J317" s="87" t="s">
        <v>370</v>
      </c>
      <c r="K317" s="86">
        <v>3</v>
      </c>
      <c r="L317" s="86">
        <v>2021</v>
      </c>
      <c r="M317" s="197">
        <v>462065</v>
      </c>
      <c r="N317" s="87" t="s">
        <v>370</v>
      </c>
      <c r="O317" s="86">
        <v>3</v>
      </c>
      <c r="P317" s="86">
        <v>2022</v>
      </c>
      <c r="Q317" s="197">
        <v>643539</v>
      </c>
      <c r="R317" s="87" t="s">
        <v>370</v>
      </c>
      <c r="S317" s="86"/>
      <c r="T317" s="86"/>
      <c r="U317" s="197"/>
      <c r="V317" s="87" t="s">
        <v>370</v>
      </c>
      <c r="W317" s="86"/>
      <c r="X317" s="86"/>
      <c r="Y317" s="197"/>
      <c r="Z317" s="87" t="s">
        <v>370</v>
      </c>
      <c r="AA317" s="86"/>
      <c r="AB317" s="86"/>
      <c r="AC317" s="197"/>
    </row>
    <row r="318" spans="1:29" x14ac:dyDescent="0.25">
      <c r="A318" s="92" t="s">
        <v>306</v>
      </c>
      <c r="B318" s="85">
        <v>1821551797</v>
      </c>
      <c r="C318" s="86">
        <v>3</v>
      </c>
      <c r="D318" s="86">
        <v>2018</v>
      </c>
      <c r="E318" s="197">
        <v>183500</v>
      </c>
      <c r="F318" s="87" t="s">
        <v>370</v>
      </c>
      <c r="G318" s="86">
        <v>3</v>
      </c>
      <c r="H318" s="86">
        <v>2019</v>
      </c>
      <c r="I318" s="197">
        <v>289248</v>
      </c>
      <c r="J318" s="87" t="s">
        <v>370</v>
      </c>
      <c r="K318" s="86">
        <v>3</v>
      </c>
      <c r="L318" s="86">
        <v>2020</v>
      </c>
      <c r="M318" s="197">
        <v>202746</v>
      </c>
      <c r="N318" s="87" t="s">
        <v>370</v>
      </c>
      <c r="O318" s="86">
        <v>3</v>
      </c>
      <c r="P318" s="86">
        <v>2021</v>
      </c>
      <c r="Q318" s="197">
        <v>1712648</v>
      </c>
      <c r="R318" s="87" t="s">
        <v>370</v>
      </c>
      <c r="S318" s="86">
        <v>3</v>
      </c>
      <c r="T318" s="86">
        <v>2022</v>
      </c>
      <c r="U318" s="197">
        <v>1106750</v>
      </c>
      <c r="V318" s="87" t="s">
        <v>370</v>
      </c>
      <c r="W318" s="86"/>
      <c r="X318" s="86"/>
      <c r="Y318" s="197"/>
      <c r="Z318" s="87" t="s">
        <v>370</v>
      </c>
      <c r="AA318" s="86"/>
      <c r="AB318" s="86"/>
      <c r="AC318" s="197"/>
    </row>
    <row r="319" spans="1:29" x14ac:dyDescent="0.25">
      <c r="A319" s="88" t="s">
        <v>307</v>
      </c>
      <c r="B319" s="85">
        <v>1194381681</v>
      </c>
      <c r="C319" s="86">
        <v>3</v>
      </c>
      <c r="D319" s="86">
        <v>2016</v>
      </c>
      <c r="E319" s="197">
        <v>137734</v>
      </c>
      <c r="F319" s="87" t="s">
        <v>370</v>
      </c>
      <c r="G319" s="86">
        <v>3</v>
      </c>
      <c r="H319" s="86">
        <v>2019</v>
      </c>
      <c r="I319" s="197">
        <v>121892</v>
      </c>
      <c r="J319" s="87" t="s">
        <v>370</v>
      </c>
      <c r="K319" s="86">
        <v>3</v>
      </c>
      <c r="L319" s="86">
        <v>2020</v>
      </c>
      <c r="M319" s="197">
        <v>535224</v>
      </c>
      <c r="N319" s="87" t="s">
        <v>370</v>
      </c>
      <c r="O319" s="86">
        <v>3</v>
      </c>
      <c r="P319" s="86">
        <v>2021</v>
      </c>
      <c r="Q319" s="197">
        <v>924621</v>
      </c>
      <c r="R319" s="87" t="s">
        <v>370</v>
      </c>
      <c r="S319" s="86">
        <v>3</v>
      </c>
      <c r="T319" s="86">
        <v>2022</v>
      </c>
      <c r="U319" s="197">
        <v>54973</v>
      </c>
      <c r="V319" s="87" t="s">
        <v>370</v>
      </c>
      <c r="W319" s="86"/>
      <c r="X319" s="86"/>
      <c r="Y319" s="197"/>
      <c r="Z319" s="87" t="s">
        <v>370</v>
      </c>
      <c r="AA319" s="86"/>
      <c r="AB319" s="86"/>
      <c r="AC319" s="197"/>
    </row>
    <row r="320" spans="1:29" x14ac:dyDescent="0.25">
      <c r="A320" s="88" t="s">
        <v>744</v>
      </c>
      <c r="B320" s="85">
        <v>1851030985</v>
      </c>
      <c r="C320" s="86">
        <v>3</v>
      </c>
      <c r="D320" s="86">
        <v>2016</v>
      </c>
      <c r="E320" s="197">
        <v>321617</v>
      </c>
      <c r="F320" s="87" t="s">
        <v>370</v>
      </c>
      <c r="G320" s="86">
        <v>3</v>
      </c>
      <c r="H320" s="86">
        <v>2019</v>
      </c>
      <c r="I320" s="197">
        <v>90451</v>
      </c>
      <c r="J320" s="87" t="s">
        <v>370</v>
      </c>
      <c r="K320" s="86">
        <v>3</v>
      </c>
      <c r="L320" s="86">
        <v>2020</v>
      </c>
      <c r="M320" s="197">
        <v>122288</v>
      </c>
      <c r="N320" s="87" t="s">
        <v>370</v>
      </c>
      <c r="O320" s="86"/>
      <c r="P320" s="86"/>
      <c r="Q320" s="197"/>
      <c r="R320" s="87" t="s">
        <v>370</v>
      </c>
      <c r="S320" s="86"/>
      <c r="T320" s="86"/>
      <c r="U320" s="197"/>
      <c r="V320" s="87" t="s">
        <v>370</v>
      </c>
      <c r="W320" s="86"/>
      <c r="X320" s="86"/>
      <c r="Y320" s="197"/>
      <c r="Z320" s="87" t="s">
        <v>370</v>
      </c>
      <c r="AA320" s="86"/>
      <c r="AB320" s="86"/>
      <c r="AC320" s="197"/>
    </row>
    <row r="321" spans="1:29" x14ac:dyDescent="0.25">
      <c r="A321" s="88" t="s">
        <v>745</v>
      </c>
      <c r="B321" s="85">
        <v>1013656156</v>
      </c>
      <c r="C321" s="86">
        <v>3</v>
      </c>
      <c r="D321" s="86">
        <v>2016</v>
      </c>
      <c r="E321" s="197">
        <v>102495</v>
      </c>
      <c r="F321" s="87" t="s">
        <v>370</v>
      </c>
      <c r="G321" s="86"/>
      <c r="H321" s="86"/>
      <c r="I321" s="197"/>
      <c r="J321" s="87" t="s">
        <v>370</v>
      </c>
      <c r="K321" s="86"/>
      <c r="L321" s="86"/>
      <c r="M321" s="197"/>
      <c r="N321" s="87" t="s">
        <v>370</v>
      </c>
      <c r="O321" s="86"/>
      <c r="P321" s="86"/>
      <c r="Q321" s="197"/>
      <c r="R321" s="87" t="s">
        <v>370</v>
      </c>
      <c r="S321" s="86"/>
      <c r="T321" s="86"/>
      <c r="U321" s="197"/>
      <c r="V321" s="87" t="s">
        <v>370</v>
      </c>
      <c r="W321" s="86"/>
      <c r="X321" s="86"/>
      <c r="Y321" s="197"/>
      <c r="Z321" s="87" t="s">
        <v>370</v>
      </c>
      <c r="AA321" s="86"/>
      <c r="AB321" s="86"/>
      <c r="AC321" s="197"/>
    </row>
    <row r="322" spans="1:29" x14ac:dyDescent="0.25">
      <c r="A322" s="85" t="s">
        <v>746</v>
      </c>
      <c r="B322" s="85">
        <v>1184363236</v>
      </c>
      <c r="C322" s="86">
        <v>3</v>
      </c>
      <c r="D322" s="86">
        <v>2016</v>
      </c>
      <c r="E322" s="197">
        <v>192571</v>
      </c>
      <c r="F322" s="87" t="s">
        <v>370</v>
      </c>
      <c r="G322" s="86">
        <v>3</v>
      </c>
      <c r="H322" s="86">
        <v>2020</v>
      </c>
      <c r="I322" s="197">
        <v>316695</v>
      </c>
      <c r="J322" s="87" t="s">
        <v>370</v>
      </c>
      <c r="K322" s="86"/>
      <c r="L322" s="86"/>
      <c r="M322" s="197"/>
      <c r="N322" s="87" t="s">
        <v>370</v>
      </c>
      <c r="O322" s="86"/>
      <c r="P322" s="86"/>
      <c r="Q322" s="197"/>
      <c r="R322" s="87" t="s">
        <v>370</v>
      </c>
      <c r="S322" s="86"/>
      <c r="T322" s="86"/>
      <c r="U322" s="197"/>
      <c r="V322" s="87" t="s">
        <v>370</v>
      </c>
      <c r="W322" s="86"/>
      <c r="X322" s="86"/>
      <c r="Y322" s="197"/>
      <c r="Z322" s="87" t="s">
        <v>370</v>
      </c>
      <c r="AA322" s="86"/>
      <c r="AB322" s="86"/>
      <c r="AC322" s="197"/>
    </row>
    <row r="323" spans="1:29" x14ac:dyDescent="0.25">
      <c r="A323" s="85" t="s">
        <v>747</v>
      </c>
      <c r="B323" s="85">
        <v>1518606664</v>
      </c>
      <c r="C323" s="86">
        <v>3</v>
      </c>
      <c r="D323" s="86">
        <v>2016</v>
      </c>
      <c r="E323" s="197">
        <v>59968</v>
      </c>
      <c r="F323" s="87" t="s">
        <v>370</v>
      </c>
      <c r="G323" s="86">
        <v>3</v>
      </c>
      <c r="H323" s="86">
        <v>2017</v>
      </c>
      <c r="I323" s="197">
        <v>73256.72</v>
      </c>
      <c r="J323" s="87" t="s">
        <v>370</v>
      </c>
      <c r="K323" s="86">
        <v>3</v>
      </c>
      <c r="L323" s="86">
        <v>2020</v>
      </c>
      <c r="M323" s="197">
        <v>143433</v>
      </c>
      <c r="N323" s="87" t="s">
        <v>370</v>
      </c>
      <c r="O323" s="86">
        <v>3</v>
      </c>
      <c r="P323" s="86">
        <v>2021</v>
      </c>
      <c r="Q323" s="197">
        <v>75381</v>
      </c>
      <c r="R323" s="87" t="s">
        <v>370</v>
      </c>
      <c r="S323" s="86"/>
      <c r="T323" s="86"/>
      <c r="U323" s="197"/>
      <c r="V323" s="87" t="s">
        <v>370</v>
      </c>
      <c r="W323" s="86"/>
      <c r="X323" s="86"/>
      <c r="Y323" s="197"/>
      <c r="Z323" s="87" t="s">
        <v>370</v>
      </c>
      <c r="AA323" s="86"/>
      <c r="AB323" s="86"/>
      <c r="AC323" s="197"/>
    </row>
    <row r="324" spans="1:29" x14ac:dyDescent="0.25">
      <c r="A324" s="88" t="s">
        <v>748</v>
      </c>
      <c r="B324" s="85">
        <v>1922747088</v>
      </c>
      <c r="C324" s="86">
        <v>3</v>
      </c>
      <c r="D324" s="86">
        <v>2016</v>
      </c>
      <c r="E324" s="197">
        <v>149602</v>
      </c>
      <c r="F324" s="87" t="s">
        <v>370</v>
      </c>
      <c r="G324" s="86">
        <v>3</v>
      </c>
      <c r="H324" s="86">
        <v>2017</v>
      </c>
      <c r="I324" s="197">
        <v>74762.69</v>
      </c>
      <c r="J324" s="87" t="s">
        <v>370</v>
      </c>
      <c r="K324" s="86">
        <v>3</v>
      </c>
      <c r="L324" s="86">
        <v>2019</v>
      </c>
      <c r="M324" s="197">
        <v>70136</v>
      </c>
      <c r="N324" s="87" t="s">
        <v>370</v>
      </c>
      <c r="O324" s="86">
        <v>3</v>
      </c>
      <c r="P324" s="86">
        <v>2020</v>
      </c>
      <c r="Q324" s="197">
        <v>220818</v>
      </c>
      <c r="R324" s="87" t="s">
        <v>370</v>
      </c>
      <c r="S324" s="86"/>
      <c r="T324" s="86"/>
      <c r="U324" s="197"/>
      <c r="V324" s="87" t="s">
        <v>370</v>
      </c>
      <c r="W324" s="86"/>
      <c r="X324" s="86"/>
      <c r="Y324" s="197"/>
      <c r="Z324" s="87" t="s">
        <v>370</v>
      </c>
      <c r="AA324" s="86"/>
      <c r="AB324" s="86"/>
      <c r="AC324" s="197"/>
    </row>
    <row r="325" spans="1:29" x14ac:dyDescent="0.25">
      <c r="A325" s="88" t="s">
        <v>517</v>
      </c>
      <c r="B325" s="85">
        <v>1528544145</v>
      </c>
      <c r="C325" s="86"/>
      <c r="D325" s="86"/>
      <c r="E325" s="197"/>
      <c r="F325" s="87" t="s">
        <v>370</v>
      </c>
      <c r="G325" s="86"/>
      <c r="H325" s="86"/>
      <c r="I325" s="197"/>
      <c r="J325" s="87" t="s">
        <v>370</v>
      </c>
      <c r="K325" s="86"/>
      <c r="L325" s="86"/>
      <c r="M325" s="197"/>
      <c r="N325" s="87" t="s">
        <v>370</v>
      </c>
      <c r="O325" s="86"/>
      <c r="P325" s="86"/>
      <c r="Q325" s="197"/>
      <c r="R325" s="87" t="s">
        <v>370</v>
      </c>
      <c r="S325" s="86"/>
      <c r="T325" s="86"/>
      <c r="U325" s="197"/>
      <c r="V325" s="87" t="s">
        <v>370</v>
      </c>
      <c r="W325" s="86"/>
      <c r="X325" s="86"/>
      <c r="Y325" s="197"/>
      <c r="Z325" s="87" t="s">
        <v>370</v>
      </c>
      <c r="AA325" s="86"/>
      <c r="AB325" s="86"/>
      <c r="AC325" s="197"/>
    </row>
    <row r="326" spans="1:29" x14ac:dyDescent="0.25">
      <c r="A326" s="85" t="s">
        <v>750</v>
      </c>
      <c r="B326" s="85">
        <v>1508505660</v>
      </c>
      <c r="C326" s="86">
        <v>3</v>
      </c>
      <c r="D326" s="86">
        <v>2016</v>
      </c>
      <c r="E326" s="197">
        <v>111991</v>
      </c>
      <c r="F326" s="87" t="s">
        <v>370</v>
      </c>
      <c r="G326" s="86"/>
      <c r="H326" s="86"/>
      <c r="I326" s="197"/>
      <c r="J326" s="87" t="s">
        <v>370</v>
      </c>
      <c r="K326" s="86"/>
      <c r="L326" s="86"/>
      <c r="M326" s="197"/>
      <c r="N326" s="87" t="s">
        <v>370</v>
      </c>
      <c r="O326" s="86"/>
      <c r="P326" s="86"/>
      <c r="Q326" s="197"/>
      <c r="R326" s="87" t="s">
        <v>370</v>
      </c>
      <c r="S326" s="86"/>
      <c r="T326" s="86"/>
      <c r="U326" s="197"/>
      <c r="V326" s="87" t="s">
        <v>370</v>
      </c>
      <c r="W326" s="86"/>
      <c r="X326" s="86"/>
      <c r="Y326" s="197"/>
      <c r="Z326" s="87" t="s">
        <v>370</v>
      </c>
      <c r="AA326" s="86"/>
      <c r="AB326" s="86"/>
      <c r="AC326" s="197"/>
    </row>
    <row r="327" spans="1:29" x14ac:dyDescent="0.25">
      <c r="A327" s="88" t="s">
        <v>751</v>
      </c>
      <c r="B327" s="85">
        <v>1255070306</v>
      </c>
      <c r="C327" s="86">
        <v>3</v>
      </c>
      <c r="D327" s="86">
        <v>2016</v>
      </c>
      <c r="E327" s="197">
        <v>149448</v>
      </c>
      <c r="F327" s="87" t="s">
        <v>370</v>
      </c>
      <c r="G327" s="86">
        <v>3</v>
      </c>
      <c r="H327" s="86">
        <v>2017</v>
      </c>
      <c r="I327" s="197">
        <v>89303.31</v>
      </c>
      <c r="J327" s="87" t="s">
        <v>370</v>
      </c>
      <c r="K327" s="86">
        <v>3</v>
      </c>
      <c r="L327" s="86">
        <v>2020</v>
      </c>
      <c r="M327" s="197">
        <v>89664</v>
      </c>
      <c r="N327" s="87" t="s">
        <v>370</v>
      </c>
      <c r="O327" s="86"/>
      <c r="P327" s="86"/>
      <c r="Q327" s="197"/>
      <c r="R327" s="87" t="s">
        <v>370</v>
      </c>
      <c r="S327" s="86"/>
      <c r="T327" s="86"/>
      <c r="U327" s="197"/>
      <c r="V327" s="87" t="s">
        <v>370</v>
      </c>
      <c r="W327" s="86"/>
      <c r="X327" s="86"/>
      <c r="Y327" s="197"/>
      <c r="Z327" s="87" t="s">
        <v>370</v>
      </c>
      <c r="AA327" s="86"/>
      <c r="AB327" s="86"/>
      <c r="AC327" s="197"/>
    </row>
    <row r="328" spans="1:29" x14ac:dyDescent="0.25">
      <c r="A328" s="88" t="s">
        <v>752</v>
      </c>
      <c r="B328" s="85">
        <v>1417696576</v>
      </c>
      <c r="C328" s="86">
        <v>3</v>
      </c>
      <c r="D328" s="86">
        <v>2016</v>
      </c>
      <c r="E328" s="197">
        <v>184624</v>
      </c>
      <c r="F328" s="87" t="s">
        <v>370</v>
      </c>
      <c r="G328" s="86">
        <v>3</v>
      </c>
      <c r="H328" s="86">
        <v>2017</v>
      </c>
      <c r="I328" s="197">
        <v>184147.05</v>
      </c>
      <c r="J328" s="87" t="s">
        <v>370</v>
      </c>
      <c r="K328" s="86">
        <v>3</v>
      </c>
      <c r="L328" s="86">
        <v>2020</v>
      </c>
      <c r="M328" s="197">
        <v>392684</v>
      </c>
      <c r="N328" s="87" t="s">
        <v>370</v>
      </c>
      <c r="O328" s="86">
        <v>3</v>
      </c>
      <c r="P328" s="86">
        <v>2021</v>
      </c>
      <c r="Q328" s="197">
        <v>83380</v>
      </c>
      <c r="R328" s="87" t="s">
        <v>370</v>
      </c>
      <c r="S328" s="86"/>
      <c r="T328" s="86"/>
      <c r="U328" s="197"/>
      <c r="V328" s="87" t="s">
        <v>370</v>
      </c>
      <c r="W328" s="86"/>
      <c r="X328" s="86"/>
      <c r="Y328" s="197"/>
      <c r="Z328" s="87" t="s">
        <v>370</v>
      </c>
      <c r="AA328" s="86"/>
      <c r="AB328" s="86"/>
      <c r="AC328" s="197"/>
    </row>
    <row r="329" spans="1:29" x14ac:dyDescent="0.25">
      <c r="A329" s="85" t="s">
        <v>308</v>
      </c>
      <c r="B329" s="85">
        <v>1699336776</v>
      </c>
      <c r="C329" s="86"/>
      <c r="D329" s="86"/>
      <c r="E329" s="197"/>
      <c r="F329" s="87" t="s">
        <v>370</v>
      </c>
      <c r="G329" s="86"/>
      <c r="H329" s="86"/>
      <c r="I329" s="197"/>
      <c r="J329" s="87" t="s">
        <v>370</v>
      </c>
      <c r="K329" s="86"/>
      <c r="L329" s="86"/>
      <c r="M329" s="197"/>
      <c r="N329" s="87" t="s">
        <v>370</v>
      </c>
      <c r="O329" s="86"/>
      <c r="P329" s="86"/>
      <c r="Q329" s="197"/>
      <c r="R329" s="87" t="s">
        <v>370</v>
      </c>
      <c r="S329" s="86"/>
      <c r="T329" s="86"/>
      <c r="U329" s="197"/>
      <c r="V329" s="87" t="s">
        <v>370</v>
      </c>
      <c r="W329" s="86"/>
      <c r="X329" s="86"/>
      <c r="Y329" s="197"/>
      <c r="Z329" s="87" t="s">
        <v>370</v>
      </c>
      <c r="AA329" s="86"/>
      <c r="AB329" s="86"/>
      <c r="AC329" s="197"/>
    </row>
    <row r="330" spans="1:29" x14ac:dyDescent="0.25">
      <c r="A330" s="85" t="s">
        <v>309</v>
      </c>
      <c r="B330" s="85">
        <v>1215982525</v>
      </c>
      <c r="C330" s="86">
        <v>3</v>
      </c>
      <c r="D330" s="86">
        <v>2016</v>
      </c>
      <c r="E330" s="197">
        <v>277401</v>
      </c>
      <c r="F330" s="87" t="s">
        <v>370</v>
      </c>
      <c r="G330" s="86">
        <v>3</v>
      </c>
      <c r="H330" s="86">
        <v>2017</v>
      </c>
      <c r="I330" s="197">
        <v>89917</v>
      </c>
      <c r="J330" s="87" t="s">
        <v>370</v>
      </c>
      <c r="K330" s="86">
        <v>3</v>
      </c>
      <c r="L330" s="86">
        <v>2018</v>
      </c>
      <c r="M330" s="197">
        <v>134544</v>
      </c>
      <c r="N330" s="87" t="s">
        <v>370</v>
      </c>
      <c r="O330" s="86">
        <v>3</v>
      </c>
      <c r="P330" s="86">
        <v>2021</v>
      </c>
      <c r="Q330" s="197">
        <v>77322</v>
      </c>
      <c r="R330" s="87" t="s">
        <v>370</v>
      </c>
      <c r="S330" s="86">
        <v>3</v>
      </c>
      <c r="T330" s="86">
        <v>2022</v>
      </c>
      <c r="U330" s="197">
        <v>100154</v>
      </c>
      <c r="V330" s="87" t="s">
        <v>370</v>
      </c>
      <c r="W330" s="86"/>
      <c r="X330" s="86"/>
      <c r="Y330" s="197"/>
      <c r="Z330" s="87" t="s">
        <v>370</v>
      </c>
      <c r="AA330" s="86"/>
      <c r="AB330" s="86"/>
      <c r="AC330" s="197"/>
    </row>
    <row r="331" spans="1:29" x14ac:dyDescent="0.25">
      <c r="A331" s="85" t="s">
        <v>310</v>
      </c>
      <c r="B331" s="85">
        <v>1427003110</v>
      </c>
      <c r="C331" s="86">
        <v>3</v>
      </c>
      <c r="D331" s="86">
        <v>2016</v>
      </c>
      <c r="E331" s="197">
        <v>127193</v>
      </c>
      <c r="F331" s="87" t="s">
        <v>370</v>
      </c>
      <c r="G331" s="86">
        <v>3</v>
      </c>
      <c r="H331" s="86">
        <v>2017</v>
      </c>
      <c r="I331" s="197">
        <v>208907</v>
      </c>
      <c r="J331" s="87" t="s">
        <v>370</v>
      </c>
      <c r="K331" s="86">
        <v>3</v>
      </c>
      <c r="L331" s="86">
        <v>2018</v>
      </c>
      <c r="M331" s="197">
        <v>65794</v>
      </c>
      <c r="N331" s="87" t="s">
        <v>370</v>
      </c>
      <c r="O331" s="86">
        <v>3</v>
      </c>
      <c r="P331" s="86">
        <v>2019</v>
      </c>
      <c r="Q331" s="197">
        <v>112272</v>
      </c>
      <c r="R331" s="87" t="s">
        <v>370</v>
      </c>
      <c r="S331" s="86">
        <v>3</v>
      </c>
      <c r="T331" s="86">
        <v>2022</v>
      </c>
      <c r="U331" s="197">
        <v>137400</v>
      </c>
      <c r="V331" s="87" t="s">
        <v>370</v>
      </c>
      <c r="W331" s="86"/>
      <c r="X331" s="86"/>
      <c r="Y331" s="197"/>
      <c r="Z331" s="87" t="s">
        <v>370</v>
      </c>
      <c r="AA331" s="86"/>
      <c r="AB331" s="86"/>
      <c r="AC331" s="197"/>
    </row>
    <row r="332" spans="1:29" x14ac:dyDescent="0.25">
      <c r="A332" s="88" t="s">
        <v>311</v>
      </c>
      <c r="B332" s="85">
        <v>1598710949</v>
      </c>
      <c r="C332" s="86">
        <v>3</v>
      </c>
      <c r="D332" s="86">
        <v>2016</v>
      </c>
      <c r="E332" s="197">
        <v>102969</v>
      </c>
      <c r="F332" s="87" t="s">
        <v>370</v>
      </c>
      <c r="G332" s="86">
        <v>3</v>
      </c>
      <c r="H332" s="86">
        <v>2017</v>
      </c>
      <c r="I332" s="197">
        <v>103054</v>
      </c>
      <c r="J332" s="87" t="s">
        <v>370</v>
      </c>
      <c r="K332" s="86">
        <v>3</v>
      </c>
      <c r="L332" s="86">
        <v>2018</v>
      </c>
      <c r="M332" s="197">
        <v>1205729</v>
      </c>
      <c r="N332" s="87" t="s">
        <v>370</v>
      </c>
      <c r="O332" s="86">
        <v>3</v>
      </c>
      <c r="P332" s="86">
        <v>2019</v>
      </c>
      <c r="Q332" s="197">
        <v>76265</v>
      </c>
      <c r="R332" s="87" t="s">
        <v>370</v>
      </c>
      <c r="S332" s="86">
        <v>3</v>
      </c>
      <c r="T332" s="86">
        <v>2022</v>
      </c>
      <c r="U332" s="197">
        <v>81815</v>
      </c>
      <c r="V332" s="87" t="s">
        <v>370</v>
      </c>
      <c r="W332" s="86"/>
      <c r="X332" s="86"/>
      <c r="Y332" s="197"/>
      <c r="Z332" s="87" t="s">
        <v>370</v>
      </c>
      <c r="AA332" s="86"/>
      <c r="AB332" s="86"/>
      <c r="AC332" s="197"/>
    </row>
    <row r="333" spans="1:29" x14ac:dyDescent="0.25">
      <c r="A333" s="88" t="s">
        <v>312</v>
      </c>
      <c r="B333" s="85">
        <v>1770538092</v>
      </c>
      <c r="C333" s="86">
        <v>3</v>
      </c>
      <c r="D333" s="86">
        <v>2016</v>
      </c>
      <c r="E333" s="197">
        <v>188913</v>
      </c>
      <c r="F333" s="87" t="s">
        <v>370</v>
      </c>
      <c r="G333" s="86">
        <v>3</v>
      </c>
      <c r="H333" s="86">
        <v>2018</v>
      </c>
      <c r="I333" s="197">
        <v>152097</v>
      </c>
      <c r="J333" s="87" t="s">
        <v>370</v>
      </c>
      <c r="K333" s="86">
        <v>3</v>
      </c>
      <c r="L333" s="86">
        <v>2022</v>
      </c>
      <c r="M333" s="197">
        <v>50723</v>
      </c>
      <c r="N333" s="87" t="s">
        <v>370</v>
      </c>
      <c r="O333" s="86"/>
      <c r="P333" s="86"/>
      <c r="Q333" s="197"/>
      <c r="R333" s="87" t="s">
        <v>370</v>
      </c>
      <c r="S333" s="86"/>
      <c r="T333" s="86"/>
      <c r="U333" s="197"/>
      <c r="V333" s="87" t="s">
        <v>370</v>
      </c>
      <c r="W333" s="86"/>
      <c r="X333" s="86"/>
      <c r="Y333" s="197"/>
      <c r="Z333" s="87" t="s">
        <v>370</v>
      </c>
      <c r="AA333" s="86"/>
      <c r="AB333" s="86"/>
      <c r="AC333" s="197"/>
    </row>
    <row r="334" spans="1:29" x14ac:dyDescent="0.25">
      <c r="A334" s="85" t="s">
        <v>518</v>
      </c>
      <c r="B334" s="85">
        <v>1851836118</v>
      </c>
      <c r="C334" s="86">
        <v>3</v>
      </c>
      <c r="D334" s="86">
        <v>2017</v>
      </c>
      <c r="E334" s="197">
        <v>197813</v>
      </c>
      <c r="F334" s="87" t="s">
        <v>370</v>
      </c>
      <c r="G334" s="86">
        <v>3</v>
      </c>
      <c r="H334" s="86">
        <v>2018</v>
      </c>
      <c r="I334" s="197">
        <v>104911</v>
      </c>
      <c r="J334" s="87" t="s">
        <v>370</v>
      </c>
      <c r="K334" s="86">
        <v>3</v>
      </c>
      <c r="L334" s="86">
        <v>2019</v>
      </c>
      <c r="M334" s="197">
        <v>92102</v>
      </c>
      <c r="N334" s="87" t="s">
        <v>370</v>
      </c>
      <c r="O334" s="86">
        <v>3</v>
      </c>
      <c r="P334" s="86">
        <v>2020</v>
      </c>
      <c r="Q334" s="197">
        <v>67983</v>
      </c>
      <c r="R334" s="87" t="s">
        <v>370</v>
      </c>
      <c r="S334" s="86">
        <v>3</v>
      </c>
      <c r="T334" s="86">
        <v>2022</v>
      </c>
      <c r="U334" s="197">
        <v>91107</v>
      </c>
      <c r="V334" s="87" t="s">
        <v>370</v>
      </c>
      <c r="W334" s="86"/>
      <c r="X334" s="86"/>
      <c r="Y334" s="197"/>
      <c r="Z334" s="87" t="s">
        <v>370</v>
      </c>
      <c r="AA334" s="86"/>
      <c r="AB334" s="86"/>
      <c r="AC334" s="197"/>
    </row>
    <row r="335" spans="1:29" x14ac:dyDescent="0.25">
      <c r="A335" s="88" t="s">
        <v>313</v>
      </c>
      <c r="B335" s="85">
        <v>1871548487</v>
      </c>
      <c r="C335" s="86">
        <v>3</v>
      </c>
      <c r="D335" s="86">
        <v>2016</v>
      </c>
      <c r="E335" s="197">
        <v>75088</v>
      </c>
      <c r="F335" s="87" t="s">
        <v>370</v>
      </c>
      <c r="G335" s="86">
        <v>3</v>
      </c>
      <c r="H335" s="86">
        <v>2020</v>
      </c>
      <c r="I335" s="197">
        <v>32404</v>
      </c>
      <c r="J335" s="87" t="s">
        <v>370</v>
      </c>
      <c r="K335" s="86">
        <v>3</v>
      </c>
      <c r="L335" s="86">
        <v>2021</v>
      </c>
      <c r="M335" s="197">
        <v>52340</v>
      </c>
      <c r="N335" s="87" t="s">
        <v>370</v>
      </c>
      <c r="O335" s="86">
        <v>3</v>
      </c>
      <c r="P335" s="86">
        <v>2022</v>
      </c>
      <c r="Q335" s="197">
        <v>40809</v>
      </c>
      <c r="R335" s="87" t="s">
        <v>370</v>
      </c>
      <c r="S335" s="86"/>
      <c r="T335" s="86"/>
      <c r="U335" s="197"/>
      <c r="V335" s="87" t="s">
        <v>370</v>
      </c>
      <c r="W335" s="86"/>
      <c r="X335" s="86"/>
      <c r="Y335" s="197"/>
      <c r="Z335" s="87" t="s">
        <v>370</v>
      </c>
      <c r="AA335" s="86"/>
      <c r="AB335" s="86"/>
      <c r="AC335" s="197"/>
    </row>
    <row r="336" spans="1:29" x14ac:dyDescent="0.25">
      <c r="A336" s="85" t="s">
        <v>314</v>
      </c>
      <c r="B336" s="85">
        <v>1467407775</v>
      </c>
      <c r="C336" s="86">
        <v>3</v>
      </c>
      <c r="D336" s="86">
        <v>2016</v>
      </c>
      <c r="E336" s="197">
        <v>140807</v>
      </c>
      <c r="F336" s="87" t="s">
        <v>370</v>
      </c>
      <c r="G336" s="86">
        <v>2</v>
      </c>
      <c r="H336" s="86">
        <v>2017</v>
      </c>
      <c r="I336" s="197">
        <v>9</v>
      </c>
      <c r="J336" s="87" t="s">
        <v>370</v>
      </c>
      <c r="K336" s="86">
        <v>3</v>
      </c>
      <c r="L336" s="86">
        <v>2018</v>
      </c>
      <c r="M336" s="197">
        <v>294560</v>
      </c>
      <c r="N336" s="87" t="s">
        <v>370</v>
      </c>
      <c r="O336" s="86">
        <v>3</v>
      </c>
      <c r="P336" s="86">
        <v>2019</v>
      </c>
      <c r="Q336" s="197">
        <v>86281</v>
      </c>
      <c r="R336" s="87" t="s">
        <v>370</v>
      </c>
      <c r="S336" s="86">
        <v>3</v>
      </c>
      <c r="T336" s="86">
        <v>2021</v>
      </c>
      <c r="U336" s="197">
        <v>56360</v>
      </c>
      <c r="V336" s="87" t="s">
        <v>370</v>
      </c>
      <c r="W336" s="86">
        <v>3</v>
      </c>
      <c r="X336" s="86">
        <v>2022</v>
      </c>
      <c r="Y336" s="197">
        <v>59643</v>
      </c>
      <c r="Z336" s="87" t="s">
        <v>370</v>
      </c>
      <c r="AA336" s="86"/>
      <c r="AB336" s="86"/>
      <c r="AC336" s="197"/>
    </row>
    <row r="337" spans="1:29" x14ac:dyDescent="0.25">
      <c r="A337" s="88" t="s">
        <v>519</v>
      </c>
      <c r="B337" s="85">
        <v>1548293988</v>
      </c>
      <c r="C337" s="86">
        <v>3</v>
      </c>
      <c r="D337" s="86">
        <v>2016</v>
      </c>
      <c r="E337" s="197">
        <v>44616</v>
      </c>
      <c r="F337" s="87" t="s">
        <v>370</v>
      </c>
      <c r="G337" s="86">
        <v>3</v>
      </c>
      <c r="H337" s="86">
        <v>2021</v>
      </c>
      <c r="I337" s="197">
        <v>39973</v>
      </c>
      <c r="J337" s="87" t="s">
        <v>370</v>
      </c>
      <c r="K337" s="86">
        <v>3</v>
      </c>
      <c r="L337" s="86">
        <v>2022</v>
      </c>
      <c r="M337" s="197">
        <v>30972</v>
      </c>
      <c r="N337" s="87" t="s">
        <v>370</v>
      </c>
      <c r="O337" s="86"/>
      <c r="P337" s="86"/>
      <c r="Q337" s="197"/>
      <c r="R337" s="87" t="s">
        <v>370</v>
      </c>
      <c r="S337" s="86"/>
      <c r="T337" s="86"/>
      <c r="U337" s="197"/>
      <c r="V337" s="87" t="s">
        <v>370</v>
      </c>
      <c r="W337" s="86"/>
      <c r="X337" s="86"/>
      <c r="Y337" s="197"/>
      <c r="Z337" s="87" t="s">
        <v>370</v>
      </c>
      <c r="AA337" s="86"/>
      <c r="AB337" s="86"/>
      <c r="AC337" s="197"/>
    </row>
    <row r="338" spans="1:29" x14ac:dyDescent="0.25">
      <c r="A338" s="85" t="s">
        <v>315</v>
      </c>
      <c r="B338" s="85">
        <v>1417368143</v>
      </c>
      <c r="C338" s="86">
        <v>3</v>
      </c>
      <c r="D338" s="86">
        <v>2016</v>
      </c>
      <c r="E338" s="197">
        <v>65674</v>
      </c>
      <c r="F338" s="87" t="s">
        <v>370</v>
      </c>
      <c r="G338" s="86">
        <v>2</v>
      </c>
      <c r="H338" s="86">
        <v>2019</v>
      </c>
      <c r="I338" s="197">
        <v>100</v>
      </c>
      <c r="J338" s="87" t="s">
        <v>370</v>
      </c>
      <c r="K338" s="86">
        <v>3</v>
      </c>
      <c r="L338" s="86">
        <v>2020</v>
      </c>
      <c r="M338" s="197">
        <v>154963</v>
      </c>
      <c r="N338" s="87" t="s">
        <v>370</v>
      </c>
      <c r="O338" s="86"/>
      <c r="P338" s="86"/>
      <c r="Q338" s="197"/>
      <c r="R338" s="87" t="s">
        <v>370</v>
      </c>
      <c r="S338" s="86"/>
      <c r="T338" s="86"/>
      <c r="U338" s="197"/>
      <c r="V338" s="87" t="s">
        <v>370</v>
      </c>
      <c r="W338" s="86"/>
      <c r="X338" s="86"/>
      <c r="Y338" s="197"/>
      <c r="Z338" s="87" t="s">
        <v>370</v>
      </c>
      <c r="AA338" s="86"/>
      <c r="AB338" s="86"/>
      <c r="AC338" s="197"/>
    </row>
    <row r="339" spans="1:29" x14ac:dyDescent="0.25">
      <c r="A339" s="88" t="s">
        <v>318</v>
      </c>
      <c r="B339" s="85">
        <v>1255379293</v>
      </c>
      <c r="C339" s="86">
        <v>3</v>
      </c>
      <c r="D339" s="86">
        <v>2018</v>
      </c>
      <c r="E339" s="197">
        <v>102072</v>
      </c>
      <c r="F339" s="87" t="s">
        <v>370</v>
      </c>
      <c r="G339" s="86">
        <v>3</v>
      </c>
      <c r="H339" s="86">
        <v>2021</v>
      </c>
      <c r="I339" s="197">
        <v>185179</v>
      </c>
      <c r="J339" s="87" t="s">
        <v>370</v>
      </c>
      <c r="K339" s="86">
        <v>3</v>
      </c>
      <c r="L339" s="86">
        <v>2022</v>
      </c>
      <c r="M339" s="197">
        <v>73108</v>
      </c>
      <c r="N339" s="87" t="s">
        <v>370</v>
      </c>
      <c r="O339" s="86"/>
      <c r="P339" s="86"/>
      <c r="Q339" s="197"/>
      <c r="R339" s="87" t="s">
        <v>370</v>
      </c>
      <c r="S339" s="86"/>
      <c r="T339" s="86"/>
      <c r="U339" s="197"/>
      <c r="V339" s="87" t="s">
        <v>370</v>
      </c>
      <c r="W339" s="86"/>
      <c r="X339" s="86"/>
      <c r="Y339" s="197"/>
      <c r="Z339" s="87" t="s">
        <v>370</v>
      </c>
      <c r="AA339" s="86"/>
      <c r="AB339" s="86"/>
      <c r="AC339" s="197"/>
    </row>
    <row r="340" spans="1:29" x14ac:dyDescent="0.25">
      <c r="A340" s="88" t="s">
        <v>520</v>
      </c>
      <c r="B340" s="85">
        <v>1366529406</v>
      </c>
      <c r="C340" s="86">
        <v>3</v>
      </c>
      <c r="D340" s="86">
        <v>2016</v>
      </c>
      <c r="E340" s="197">
        <v>55926</v>
      </c>
      <c r="F340" s="87" t="s">
        <v>370</v>
      </c>
      <c r="G340" s="86">
        <v>3</v>
      </c>
      <c r="H340" s="86">
        <v>2017</v>
      </c>
      <c r="I340" s="197">
        <v>295827</v>
      </c>
      <c r="J340" s="87" t="s">
        <v>370</v>
      </c>
      <c r="K340" s="86">
        <v>3</v>
      </c>
      <c r="L340" s="86">
        <v>2018</v>
      </c>
      <c r="M340" s="197">
        <v>112994</v>
      </c>
      <c r="N340" s="87" t="s">
        <v>370</v>
      </c>
      <c r="O340" s="86">
        <v>3</v>
      </c>
      <c r="P340" s="86">
        <v>2019</v>
      </c>
      <c r="Q340" s="197">
        <v>68803</v>
      </c>
      <c r="R340" s="87" t="s">
        <v>370</v>
      </c>
      <c r="S340" s="86">
        <v>3</v>
      </c>
      <c r="T340" s="86">
        <v>2020</v>
      </c>
      <c r="U340" s="197">
        <v>82453</v>
      </c>
      <c r="V340" s="87" t="s">
        <v>370</v>
      </c>
      <c r="W340" s="86"/>
      <c r="X340" s="86"/>
      <c r="Y340" s="197"/>
      <c r="Z340" s="87" t="s">
        <v>370</v>
      </c>
      <c r="AA340" s="86"/>
      <c r="AB340" s="86"/>
      <c r="AC340" s="197"/>
    </row>
    <row r="341" spans="1:29" x14ac:dyDescent="0.25">
      <c r="A341" s="85" t="s">
        <v>319</v>
      </c>
      <c r="B341" s="85">
        <v>1598704504</v>
      </c>
      <c r="C341" s="86">
        <v>3</v>
      </c>
      <c r="D341" s="86">
        <v>2016</v>
      </c>
      <c r="E341" s="197">
        <v>162467</v>
      </c>
      <c r="F341" s="87" t="s">
        <v>370</v>
      </c>
      <c r="G341" s="86">
        <v>3</v>
      </c>
      <c r="H341" s="86">
        <v>2017</v>
      </c>
      <c r="I341" s="197">
        <v>123368</v>
      </c>
      <c r="J341" s="87" t="s">
        <v>370</v>
      </c>
      <c r="K341" s="86">
        <v>3</v>
      </c>
      <c r="L341" s="86">
        <v>2019</v>
      </c>
      <c r="M341" s="197">
        <v>93278</v>
      </c>
      <c r="N341" s="87" t="s">
        <v>370</v>
      </c>
      <c r="O341" s="86">
        <v>3</v>
      </c>
      <c r="P341" s="86">
        <v>2020</v>
      </c>
      <c r="Q341" s="197">
        <v>114412</v>
      </c>
      <c r="R341" s="87" t="s">
        <v>370</v>
      </c>
      <c r="S341" s="86">
        <v>3</v>
      </c>
      <c r="T341" s="86">
        <v>2022</v>
      </c>
      <c r="U341" s="197">
        <v>128344</v>
      </c>
      <c r="V341" s="87" t="s">
        <v>370</v>
      </c>
      <c r="W341" s="86"/>
      <c r="X341" s="86"/>
      <c r="Y341" s="197"/>
      <c r="Z341" s="87" t="s">
        <v>370</v>
      </c>
      <c r="AA341" s="86"/>
      <c r="AB341" s="86"/>
      <c r="AC341" s="197"/>
    </row>
    <row r="342" spans="1:29" x14ac:dyDescent="0.25">
      <c r="A342" s="88" t="s">
        <v>320</v>
      </c>
      <c r="B342" s="85">
        <v>1669613071</v>
      </c>
      <c r="C342" s="86"/>
      <c r="D342" s="86"/>
      <c r="E342" s="197"/>
      <c r="F342" s="87" t="s">
        <v>370</v>
      </c>
      <c r="G342" s="86"/>
      <c r="H342" s="86"/>
      <c r="I342" s="197"/>
      <c r="J342" s="87" t="s">
        <v>370</v>
      </c>
      <c r="K342" s="86"/>
      <c r="L342" s="86"/>
      <c r="M342" s="197"/>
      <c r="N342" s="87" t="s">
        <v>370</v>
      </c>
      <c r="O342" s="86"/>
      <c r="P342" s="86"/>
      <c r="Q342" s="197"/>
      <c r="R342" s="87" t="s">
        <v>370</v>
      </c>
      <c r="S342" s="86"/>
      <c r="T342" s="86"/>
      <c r="U342" s="197"/>
      <c r="V342" s="87" t="s">
        <v>370</v>
      </c>
      <c r="W342" s="86"/>
      <c r="X342" s="86"/>
      <c r="Y342" s="197"/>
      <c r="Z342" s="87" t="s">
        <v>370</v>
      </c>
      <c r="AA342" s="86"/>
      <c r="AB342" s="86"/>
      <c r="AC342" s="197"/>
    </row>
    <row r="343" spans="1:29" x14ac:dyDescent="0.25">
      <c r="A343" s="88" t="s">
        <v>321</v>
      </c>
      <c r="B343" s="85">
        <v>1881648350</v>
      </c>
      <c r="C343" s="86">
        <v>3</v>
      </c>
      <c r="D343" s="86">
        <v>2019</v>
      </c>
      <c r="E343" s="197">
        <v>87859</v>
      </c>
      <c r="F343" s="87" t="s">
        <v>370</v>
      </c>
      <c r="G343" s="86">
        <v>3</v>
      </c>
      <c r="H343" s="86">
        <v>2020</v>
      </c>
      <c r="I343" s="197">
        <v>36240</v>
      </c>
      <c r="J343" s="87" t="s">
        <v>370</v>
      </c>
      <c r="K343" s="86">
        <v>3</v>
      </c>
      <c r="L343" s="86">
        <v>2021</v>
      </c>
      <c r="M343" s="197">
        <v>48126</v>
      </c>
      <c r="N343" s="87" t="s">
        <v>370</v>
      </c>
      <c r="O343" s="86">
        <v>3</v>
      </c>
      <c r="P343" s="86">
        <v>2022</v>
      </c>
      <c r="Q343" s="197">
        <v>95715</v>
      </c>
      <c r="R343" s="87" t="s">
        <v>370</v>
      </c>
      <c r="S343" s="86"/>
      <c r="T343" s="86"/>
      <c r="U343" s="197"/>
      <c r="V343" s="87" t="s">
        <v>370</v>
      </c>
      <c r="W343" s="86"/>
      <c r="X343" s="86"/>
      <c r="Y343" s="197"/>
      <c r="Z343" s="87" t="s">
        <v>370</v>
      </c>
      <c r="AA343" s="86"/>
      <c r="AB343" s="86"/>
      <c r="AC343" s="197"/>
    </row>
    <row r="344" spans="1:29" x14ac:dyDescent="0.25">
      <c r="A344" s="88" t="s">
        <v>322</v>
      </c>
      <c r="B344" s="85">
        <v>1669410312</v>
      </c>
      <c r="C344" s="86">
        <v>3</v>
      </c>
      <c r="D344" s="86">
        <v>2021</v>
      </c>
      <c r="E344" s="197">
        <v>69809</v>
      </c>
      <c r="F344" s="87" t="s">
        <v>370</v>
      </c>
      <c r="G344" s="86"/>
      <c r="H344" s="86"/>
      <c r="I344" s="197"/>
      <c r="J344" s="87" t="s">
        <v>370</v>
      </c>
      <c r="K344" s="86"/>
      <c r="L344" s="86"/>
      <c r="M344" s="197"/>
      <c r="N344" s="87" t="s">
        <v>370</v>
      </c>
      <c r="O344" s="86"/>
      <c r="P344" s="86"/>
      <c r="Q344" s="197"/>
      <c r="R344" s="87" t="s">
        <v>370</v>
      </c>
      <c r="S344" s="86"/>
      <c r="T344" s="86"/>
      <c r="U344" s="197"/>
      <c r="V344" s="87" t="s">
        <v>370</v>
      </c>
      <c r="W344" s="86"/>
      <c r="X344" s="86"/>
      <c r="Y344" s="197"/>
      <c r="Z344" s="87" t="s">
        <v>370</v>
      </c>
      <c r="AA344" s="86"/>
      <c r="AB344" s="86"/>
      <c r="AC344" s="197"/>
    </row>
    <row r="345" spans="1:29" x14ac:dyDescent="0.25">
      <c r="A345" s="88" t="s">
        <v>521</v>
      </c>
      <c r="B345" s="85">
        <v>1356387153</v>
      </c>
      <c r="C345" s="86">
        <v>3</v>
      </c>
      <c r="D345" s="86">
        <v>2017</v>
      </c>
      <c r="E345" s="197">
        <v>143868</v>
      </c>
      <c r="F345" s="87" t="s">
        <v>370</v>
      </c>
      <c r="G345" s="86">
        <v>3</v>
      </c>
      <c r="H345" s="86">
        <v>2019</v>
      </c>
      <c r="I345" s="197">
        <v>638679</v>
      </c>
      <c r="J345" s="87" t="s">
        <v>370</v>
      </c>
      <c r="K345" s="86">
        <v>3</v>
      </c>
      <c r="L345" s="86">
        <v>2020</v>
      </c>
      <c r="M345" s="197">
        <v>93055</v>
      </c>
      <c r="N345" s="87" t="s">
        <v>370</v>
      </c>
      <c r="O345" s="86"/>
      <c r="P345" s="86"/>
      <c r="Q345" s="197"/>
      <c r="R345" s="87" t="s">
        <v>370</v>
      </c>
      <c r="S345" s="86"/>
      <c r="T345" s="86"/>
      <c r="U345" s="197"/>
      <c r="V345" s="87" t="s">
        <v>370</v>
      </c>
      <c r="W345" s="86"/>
      <c r="X345" s="86"/>
      <c r="Y345" s="197"/>
      <c r="Z345" s="87" t="s">
        <v>370</v>
      </c>
      <c r="AA345" s="86"/>
      <c r="AB345" s="86"/>
      <c r="AC345" s="197"/>
    </row>
    <row r="346" spans="1:29" x14ac:dyDescent="0.25">
      <c r="A346" s="85" t="s">
        <v>323</v>
      </c>
      <c r="B346" s="85">
        <v>1184705048</v>
      </c>
      <c r="C346" s="86"/>
      <c r="D346" s="86"/>
      <c r="E346" s="197"/>
      <c r="F346" s="87" t="s">
        <v>370</v>
      </c>
      <c r="G346" s="86"/>
      <c r="H346" s="86"/>
      <c r="I346" s="197"/>
      <c r="J346" s="87" t="s">
        <v>370</v>
      </c>
      <c r="K346" s="86"/>
      <c r="L346" s="86"/>
      <c r="M346" s="197"/>
      <c r="N346" s="87" t="s">
        <v>370</v>
      </c>
      <c r="O346" s="86"/>
      <c r="P346" s="86"/>
      <c r="Q346" s="197"/>
      <c r="R346" s="87" t="s">
        <v>370</v>
      </c>
      <c r="S346" s="86"/>
      <c r="T346" s="86"/>
      <c r="U346" s="197"/>
      <c r="V346" s="87" t="s">
        <v>370</v>
      </c>
      <c r="W346" s="86"/>
      <c r="X346" s="86"/>
      <c r="Y346" s="197"/>
      <c r="Z346" s="87" t="s">
        <v>370</v>
      </c>
      <c r="AA346" s="86"/>
      <c r="AB346" s="86"/>
      <c r="AC346" s="197"/>
    </row>
    <row r="347" spans="1:29" x14ac:dyDescent="0.25">
      <c r="A347" s="88" t="s">
        <v>324</v>
      </c>
      <c r="B347" s="85">
        <v>1386187813</v>
      </c>
      <c r="C347" s="86">
        <v>3</v>
      </c>
      <c r="D347" s="86">
        <v>2019</v>
      </c>
      <c r="E347" s="197">
        <v>128776</v>
      </c>
      <c r="F347" s="87" t="s">
        <v>370</v>
      </c>
      <c r="G347" s="86">
        <v>3</v>
      </c>
      <c r="H347" s="86">
        <v>2021</v>
      </c>
      <c r="I347" s="197">
        <v>187817</v>
      </c>
      <c r="J347" s="87" t="s">
        <v>370</v>
      </c>
      <c r="K347" s="86">
        <v>3</v>
      </c>
      <c r="L347" s="86">
        <v>2022</v>
      </c>
      <c r="M347" s="197">
        <v>222228</v>
      </c>
      <c r="N347" s="87" t="s">
        <v>370</v>
      </c>
      <c r="O347" s="86"/>
      <c r="P347" s="86"/>
      <c r="Q347" s="197"/>
      <c r="R347" s="87" t="s">
        <v>370</v>
      </c>
      <c r="S347" s="86"/>
      <c r="T347" s="86"/>
      <c r="U347" s="197"/>
      <c r="V347" s="87" t="s">
        <v>370</v>
      </c>
      <c r="W347" s="86"/>
      <c r="X347" s="86"/>
      <c r="Y347" s="197"/>
      <c r="Z347" s="87" t="s">
        <v>370</v>
      </c>
      <c r="AA347" s="86"/>
      <c r="AB347" s="86"/>
      <c r="AC347" s="197"/>
    </row>
    <row r="348" spans="1:29" x14ac:dyDescent="0.25">
      <c r="A348" s="85" t="s">
        <v>522</v>
      </c>
      <c r="B348" s="85">
        <v>1952354565</v>
      </c>
      <c r="C348" s="86">
        <v>3</v>
      </c>
      <c r="D348" s="86">
        <v>2020</v>
      </c>
      <c r="E348" s="197">
        <v>29949</v>
      </c>
      <c r="F348" s="87" t="s">
        <v>370</v>
      </c>
      <c r="G348" s="86">
        <v>3</v>
      </c>
      <c r="H348" s="86">
        <v>2022</v>
      </c>
      <c r="I348" s="197">
        <v>115703</v>
      </c>
      <c r="J348" s="87" t="s">
        <v>370</v>
      </c>
      <c r="K348" s="86"/>
      <c r="L348" s="86"/>
      <c r="M348" s="197"/>
      <c r="N348" s="87" t="s">
        <v>370</v>
      </c>
      <c r="O348" s="86"/>
      <c r="P348" s="86"/>
      <c r="Q348" s="197"/>
      <c r="R348" s="87" t="s">
        <v>370</v>
      </c>
      <c r="S348" s="86"/>
      <c r="T348" s="86"/>
      <c r="U348" s="197"/>
      <c r="V348" s="87" t="s">
        <v>370</v>
      </c>
      <c r="W348" s="86"/>
      <c r="X348" s="86"/>
      <c r="Y348" s="197"/>
      <c r="Z348" s="87" t="s">
        <v>370</v>
      </c>
      <c r="AA348" s="86"/>
      <c r="AB348" s="86"/>
      <c r="AC348" s="197"/>
    </row>
    <row r="349" spans="1:29" x14ac:dyDescent="0.25">
      <c r="A349" s="88" t="s">
        <v>325</v>
      </c>
      <c r="B349" s="85">
        <v>1912323635</v>
      </c>
      <c r="C349" s="86"/>
      <c r="D349" s="86"/>
      <c r="E349" s="197"/>
      <c r="F349" s="87" t="s">
        <v>370</v>
      </c>
      <c r="G349" s="86"/>
      <c r="H349" s="86"/>
      <c r="I349" s="197"/>
      <c r="J349" s="87" t="s">
        <v>370</v>
      </c>
      <c r="K349" s="86"/>
      <c r="L349" s="86"/>
      <c r="M349" s="197"/>
      <c r="N349" s="87" t="s">
        <v>370</v>
      </c>
      <c r="O349" s="86"/>
      <c r="P349" s="86"/>
      <c r="Q349" s="197"/>
      <c r="R349" s="87" t="s">
        <v>370</v>
      </c>
      <c r="S349" s="86"/>
      <c r="T349" s="86"/>
      <c r="U349" s="197"/>
      <c r="V349" s="87" t="s">
        <v>370</v>
      </c>
      <c r="W349" s="86"/>
      <c r="X349" s="86"/>
      <c r="Y349" s="197"/>
      <c r="Z349" s="87" t="s">
        <v>370</v>
      </c>
      <c r="AA349" s="86"/>
      <c r="AB349" s="86"/>
      <c r="AC349" s="197"/>
    </row>
    <row r="350" spans="1:29" x14ac:dyDescent="0.25">
      <c r="A350" s="85" t="s">
        <v>326</v>
      </c>
      <c r="B350" s="85">
        <v>1912902230</v>
      </c>
      <c r="C350" s="86">
        <v>3</v>
      </c>
      <c r="D350" s="86">
        <v>2017</v>
      </c>
      <c r="E350" s="197">
        <v>79357</v>
      </c>
      <c r="F350" s="87" t="s">
        <v>370</v>
      </c>
      <c r="G350" s="86">
        <v>3</v>
      </c>
      <c r="H350" s="86">
        <v>2018</v>
      </c>
      <c r="I350" s="197">
        <v>295001</v>
      </c>
      <c r="J350" s="87" t="s">
        <v>370</v>
      </c>
      <c r="K350" s="86">
        <v>3</v>
      </c>
      <c r="L350" s="86">
        <v>2019</v>
      </c>
      <c r="M350" s="197">
        <v>83514</v>
      </c>
      <c r="N350" s="87" t="s">
        <v>370</v>
      </c>
      <c r="O350" s="86"/>
      <c r="P350" s="86"/>
      <c r="Q350" s="197"/>
      <c r="R350" s="87" t="s">
        <v>370</v>
      </c>
      <c r="S350" s="86"/>
      <c r="T350" s="86"/>
      <c r="U350" s="197"/>
      <c r="V350" s="87" t="s">
        <v>370</v>
      </c>
      <c r="W350" s="86"/>
      <c r="X350" s="86"/>
      <c r="Y350" s="197"/>
      <c r="Z350" s="87" t="s">
        <v>370</v>
      </c>
      <c r="AA350" s="86"/>
      <c r="AB350" s="86"/>
      <c r="AC350" s="197"/>
    </row>
    <row r="351" spans="1:29" x14ac:dyDescent="0.25">
      <c r="A351" s="88" t="s">
        <v>327</v>
      </c>
      <c r="B351" s="85">
        <v>1194028118</v>
      </c>
      <c r="C351" s="86">
        <v>3</v>
      </c>
      <c r="D351" s="86">
        <v>2019</v>
      </c>
      <c r="E351" s="197">
        <v>95304</v>
      </c>
      <c r="F351" s="92" t="s">
        <v>370</v>
      </c>
      <c r="G351" s="86">
        <v>3</v>
      </c>
      <c r="H351" s="86">
        <v>2021</v>
      </c>
      <c r="I351" s="197">
        <v>117028</v>
      </c>
      <c r="J351" s="92" t="s">
        <v>370</v>
      </c>
      <c r="K351" s="86">
        <v>3</v>
      </c>
      <c r="L351" s="86">
        <v>2022</v>
      </c>
      <c r="M351" s="197">
        <v>101999</v>
      </c>
      <c r="N351" s="92" t="s">
        <v>370</v>
      </c>
      <c r="O351" s="86"/>
      <c r="P351" s="86"/>
      <c r="Q351" s="197"/>
      <c r="R351" s="92" t="s">
        <v>370</v>
      </c>
      <c r="S351" s="86"/>
      <c r="T351" s="86"/>
      <c r="U351" s="197"/>
      <c r="V351" s="87" t="s">
        <v>370</v>
      </c>
      <c r="W351" s="86"/>
      <c r="X351" s="86"/>
      <c r="Y351" s="197"/>
      <c r="Z351" s="87" t="s">
        <v>370</v>
      </c>
      <c r="AA351" s="86"/>
      <c r="AB351" s="86"/>
      <c r="AC351" s="197"/>
    </row>
    <row r="352" spans="1:29" x14ac:dyDescent="0.25">
      <c r="A352" s="88" t="s">
        <v>328</v>
      </c>
      <c r="B352" s="85">
        <v>1215931977</v>
      </c>
      <c r="C352" s="86">
        <v>3</v>
      </c>
      <c r="D352" s="86">
        <v>2016</v>
      </c>
      <c r="E352" s="197">
        <v>915314</v>
      </c>
      <c r="F352" s="87" t="s">
        <v>370</v>
      </c>
      <c r="G352" s="86">
        <v>3</v>
      </c>
      <c r="H352" s="86">
        <v>2017</v>
      </c>
      <c r="I352" s="197">
        <v>63849</v>
      </c>
      <c r="J352" s="87" t="s">
        <v>370</v>
      </c>
      <c r="K352" s="86">
        <v>3</v>
      </c>
      <c r="L352" s="86">
        <v>2019</v>
      </c>
      <c r="M352" s="197">
        <v>155418</v>
      </c>
      <c r="N352" s="87" t="s">
        <v>370</v>
      </c>
      <c r="O352" s="86">
        <v>3</v>
      </c>
      <c r="P352" s="86">
        <v>2020</v>
      </c>
      <c r="Q352" s="197">
        <v>579336</v>
      </c>
      <c r="R352" s="87" t="s">
        <v>370</v>
      </c>
      <c r="S352" s="86">
        <v>3</v>
      </c>
      <c r="T352" s="86">
        <v>2021</v>
      </c>
      <c r="U352" s="197">
        <v>45991</v>
      </c>
      <c r="V352" s="87" t="s">
        <v>370</v>
      </c>
      <c r="W352" s="86">
        <v>3</v>
      </c>
      <c r="X352" s="86">
        <v>2022</v>
      </c>
      <c r="Y352" s="197">
        <v>104454</v>
      </c>
      <c r="Z352" s="87" t="s">
        <v>370</v>
      </c>
      <c r="AA352" s="86"/>
      <c r="AB352" s="86"/>
      <c r="AC352" s="197"/>
    </row>
    <row r="353" spans="1:29" x14ac:dyDescent="0.25">
      <c r="A353" s="88" t="s">
        <v>329</v>
      </c>
      <c r="B353" s="85">
        <v>1508864323</v>
      </c>
      <c r="C353" s="86">
        <v>3</v>
      </c>
      <c r="D353" s="86">
        <v>2021</v>
      </c>
      <c r="E353" s="197">
        <v>64939</v>
      </c>
      <c r="F353" s="87" t="s">
        <v>370</v>
      </c>
      <c r="G353" s="86"/>
      <c r="H353" s="86"/>
      <c r="I353" s="197"/>
      <c r="J353" s="87" t="s">
        <v>370</v>
      </c>
      <c r="K353" s="86"/>
      <c r="L353" s="86"/>
      <c r="M353" s="197"/>
      <c r="N353" s="87" t="s">
        <v>370</v>
      </c>
      <c r="O353" s="86"/>
      <c r="P353" s="86"/>
      <c r="Q353" s="197"/>
      <c r="R353" s="87" t="s">
        <v>370</v>
      </c>
      <c r="S353" s="86"/>
      <c r="T353" s="86"/>
      <c r="U353" s="197"/>
      <c r="V353" s="87" t="s">
        <v>370</v>
      </c>
      <c r="W353" s="86"/>
      <c r="X353" s="86"/>
      <c r="Y353" s="197"/>
      <c r="Z353" s="87" t="s">
        <v>370</v>
      </c>
      <c r="AA353" s="86"/>
      <c r="AB353" s="86"/>
      <c r="AC353" s="197"/>
    </row>
    <row r="354" spans="1:29" x14ac:dyDescent="0.25">
      <c r="A354" s="88" t="s">
        <v>330</v>
      </c>
      <c r="B354" s="85">
        <v>1427052067</v>
      </c>
      <c r="C354" s="86">
        <v>3</v>
      </c>
      <c r="D354" s="86">
        <v>2016</v>
      </c>
      <c r="E354" s="197">
        <v>82413</v>
      </c>
      <c r="F354" s="87" t="s">
        <v>370</v>
      </c>
      <c r="G354" s="86">
        <v>3</v>
      </c>
      <c r="H354" s="86">
        <v>2017</v>
      </c>
      <c r="I354" s="197">
        <v>301373</v>
      </c>
      <c r="J354" s="87" t="s">
        <v>370</v>
      </c>
      <c r="K354" s="86">
        <v>3</v>
      </c>
      <c r="L354" s="86">
        <v>2018</v>
      </c>
      <c r="M354" s="197">
        <v>154324</v>
      </c>
      <c r="N354" s="87" t="s">
        <v>370</v>
      </c>
      <c r="O354" s="86">
        <v>3</v>
      </c>
      <c r="P354" s="86">
        <v>2019</v>
      </c>
      <c r="Q354" s="197">
        <v>299760</v>
      </c>
      <c r="R354" s="87" t="s">
        <v>370</v>
      </c>
      <c r="S354" s="86">
        <v>3</v>
      </c>
      <c r="T354" s="86">
        <v>2020</v>
      </c>
      <c r="U354" s="197">
        <v>80908</v>
      </c>
      <c r="V354" s="87" t="s">
        <v>370</v>
      </c>
      <c r="W354" s="86">
        <v>3</v>
      </c>
      <c r="X354" s="86">
        <v>2021</v>
      </c>
      <c r="Y354" s="197">
        <v>83775</v>
      </c>
      <c r="Z354" s="87" t="s">
        <v>370</v>
      </c>
      <c r="AA354" s="86">
        <v>3</v>
      </c>
      <c r="AB354" s="86">
        <v>2022</v>
      </c>
      <c r="AC354" s="197">
        <v>91384</v>
      </c>
    </row>
    <row r="355" spans="1:29" x14ac:dyDescent="0.25">
      <c r="A355" s="85" t="s">
        <v>523</v>
      </c>
      <c r="B355" s="85">
        <v>1073168316</v>
      </c>
      <c r="C355" s="86"/>
      <c r="D355" s="86"/>
      <c r="E355" s="197"/>
      <c r="F355" s="87" t="s">
        <v>370</v>
      </c>
      <c r="G355" s="86"/>
      <c r="H355" s="86"/>
      <c r="I355" s="197"/>
      <c r="J355" s="87" t="s">
        <v>370</v>
      </c>
      <c r="K355" s="86"/>
      <c r="L355" s="86"/>
      <c r="M355" s="197"/>
      <c r="N355" s="87" t="s">
        <v>370</v>
      </c>
      <c r="O355" s="86"/>
      <c r="P355" s="86"/>
      <c r="Q355" s="197"/>
      <c r="R355" s="87" t="s">
        <v>370</v>
      </c>
      <c r="S355" s="86"/>
      <c r="T355" s="86"/>
      <c r="U355" s="197"/>
      <c r="V355" s="87" t="s">
        <v>370</v>
      </c>
      <c r="W355" s="86"/>
      <c r="X355" s="86"/>
      <c r="Y355" s="197"/>
      <c r="Z355" s="87" t="s">
        <v>370</v>
      </c>
      <c r="AA355" s="86"/>
      <c r="AB355" s="86"/>
      <c r="AC355" s="197"/>
    </row>
    <row r="356" spans="1:29" x14ac:dyDescent="0.25">
      <c r="A356" s="88" t="s">
        <v>331</v>
      </c>
      <c r="B356" s="85">
        <v>1669449799</v>
      </c>
      <c r="C356" s="86">
        <v>3</v>
      </c>
      <c r="D356" s="86">
        <v>2016</v>
      </c>
      <c r="E356" s="197">
        <v>54239</v>
      </c>
      <c r="F356" s="87" t="s">
        <v>370</v>
      </c>
      <c r="G356" s="86">
        <v>3</v>
      </c>
      <c r="H356" s="86">
        <v>2017</v>
      </c>
      <c r="I356" s="197">
        <v>56770</v>
      </c>
      <c r="J356" s="87" t="s">
        <v>370</v>
      </c>
      <c r="K356" s="86">
        <v>3</v>
      </c>
      <c r="L356" s="86">
        <v>2018</v>
      </c>
      <c r="M356" s="197">
        <v>106632</v>
      </c>
      <c r="N356" s="87" t="s">
        <v>370</v>
      </c>
      <c r="O356" s="86">
        <v>3</v>
      </c>
      <c r="P356" s="86">
        <v>2019</v>
      </c>
      <c r="Q356" s="197">
        <v>248757</v>
      </c>
      <c r="R356" s="87" t="s">
        <v>370</v>
      </c>
      <c r="S356" s="86">
        <v>2</v>
      </c>
      <c r="T356" s="86">
        <v>2021</v>
      </c>
      <c r="U356" s="197">
        <v>100</v>
      </c>
      <c r="V356" s="87" t="s">
        <v>370</v>
      </c>
      <c r="W356" s="86">
        <v>1</v>
      </c>
      <c r="X356" s="86">
        <v>2022</v>
      </c>
      <c r="Y356" s="197">
        <v>4</v>
      </c>
      <c r="Z356" s="87" t="s">
        <v>441</v>
      </c>
      <c r="AA356" s="86"/>
      <c r="AB356" s="86"/>
      <c r="AC356" s="197"/>
    </row>
    <row r="357" spans="1:29" x14ac:dyDescent="0.25">
      <c r="A357" s="85" t="s">
        <v>524</v>
      </c>
      <c r="B357" s="85">
        <v>1932368586</v>
      </c>
      <c r="C357" s="86">
        <v>3</v>
      </c>
      <c r="D357" s="86">
        <v>2016</v>
      </c>
      <c r="E357" s="197">
        <v>42052</v>
      </c>
      <c r="F357" s="87" t="s">
        <v>370</v>
      </c>
      <c r="G357" s="86">
        <v>3</v>
      </c>
      <c r="H357" s="86">
        <v>2017</v>
      </c>
      <c r="I357" s="197">
        <v>12814</v>
      </c>
      <c r="J357" s="87" t="s">
        <v>370</v>
      </c>
      <c r="K357" s="86">
        <v>3</v>
      </c>
      <c r="L357" s="86">
        <v>2018</v>
      </c>
      <c r="M357" s="197">
        <v>30077</v>
      </c>
      <c r="N357" s="87" t="s">
        <v>370</v>
      </c>
      <c r="O357" s="86">
        <v>3</v>
      </c>
      <c r="P357" s="86">
        <v>2019</v>
      </c>
      <c r="Q357" s="197">
        <v>92275</v>
      </c>
      <c r="R357" s="87" t="s">
        <v>370</v>
      </c>
      <c r="S357" s="86">
        <v>3</v>
      </c>
      <c r="T357" s="86">
        <v>2020</v>
      </c>
      <c r="U357" s="197">
        <v>40061</v>
      </c>
      <c r="V357" s="87" t="s">
        <v>370</v>
      </c>
      <c r="W357" s="86"/>
      <c r="X357" s="86"/>
      <c r="Y357" s="197"/>
      <c r="Z357" s="87" t="s">
        <v>370</v>
      </c>
      <c r="AA357" s="86"/>
      <c r="AB357" s="86"/>
      <c r="AC357" s="197"/>
    </row>
    <row r="358" spans="1:29" x14ac:dyDescent="0.25">
      <c r="A358" s="88" t="s">
        <v>332</v>
      </c>
      <c r="B358" s="85">
        <v>1720088339</v>
      </c>
      <c r="C358" s="86">
        <v>3</v>
      </c>
      <c r="D358" s="86">
        <v>2018</v>
      </c>
      <c r="E358" s="197">
        <v>182839</v>
      </c>
      <c r="F358" s="87" t="s">
        <v>370</v>
      </c>
      <c r="G358" s="86">
        <v>3</v>
      </c>
      <c r="H358" s="86">
        <v>2021</v>
      </c>
      <c r="I358" s="197">
        <v>86370</v>
      </c>
      <c r="J358" s="87" t="s">
        <v>370</v>
      </c>
      <c r="K358" s="86"/>
      <c r="L358" s="86"/>
      <c r="M358" s="197"/>
      <c r="N358" s="87" t="s">
        <v>370</v>
      </c>
      <c r="O358" s="86"/>
      <c r="P358" s="86"/>
      <c r="Q358" s="197"/>
      <c r="R358" s="87" t="s">
        <v>370</v>
      </c>
      <c r="S358" s="86"/>
      <c r="T358" s="86"/>
      <c r="U358" s="197"/>
      <c r="V358" s="87" t="s">
        <v>370</v>
      </c>
      <c r="W358" s="86"/>
      <c r="X358" s="86"/>
      <c r="Y358" s="197"/>
      <c r="Z358" s="87" t="s">
        <v>370</v>
      </c>
      <c r="AA358" s="86"/>
      <c r="AB358" s="86"/>
      <c r="AC358" s="197"/>
    </row>
    <row r="359" spans="1:29" x14ac:dyDescent="0.25">
      <c r="A359" s="88" t="s">
        <v>525</v>
      </c>
      <c r="B359" s="85">
        <v>1891007506</v>
      </c>
      <c r="C359" s="86"/>
      <c r="D359" s="86"/>
      <c r="E359" s="197"/>
      <c r="F359" s="87" t="s">
        <v>370</v>
      </c>
      <c r="G359" s="86"/>
      <c r="H359" s="86"/>
      <c r="I359" s="197"/>
      <c r="J359" s="87" t="s">
        <v>370</v>
      </c>
      <c r="K359" s="86"/>
      <c r="L359" s="86"/>
      <c r="M359" s="197"/>
      <c r="N359" s="87" t="s">
        <v>370</v>
      </c>
      <c r="O359" s="86"/>
      <c r="P359" s="86"/>
      <c r="Q359" s="197"/>
      <c r="R359" s="87" t="s">
        <v>370</v>
      </c>
      <c r="S359" s="86"/>
      <c r="T359" s="86"/>
      <c r="U359" s="197"/>
      <c r="V359" s="87" t="s">
        <v>370</v>
      </c>
      <c r="W359" s="86"/>
      <c r="X359" s="86"/>
      <c r="Y359" s="197"/>
      <c r="Z359" s="87" t="s">
        <v>370</v>
      </c>
      <c r="AA359" s="86"/>
      <c r="AB359" s="86"/>
      <c r="AC359" s="197"/>
    </row>
    <row r="360" spans="1:29" x14ac:dyDescent="0.25">
      <c r="A360" s="85" t="s">
        <v>333</v>
      </c>
      <c r="B360" s="85">
        <v>1225279755</v>
      </c>
      <c r="C360" s="86">
        <v>3</v>
      </c>
      <c r="D360" s="86">
        <v>2016</v>
      </c>
      <c r="E360" s="197">
        <v>67894</v>
      </c>
      <c r="F360" s="87" t="s">
        <v>370</v>
      </c>
      <c r="G360" s="86">
        <v>3</v>
      </c>
      <c r="H360" s="86">
        <v>2019</v>
      </c>
      <c r="I360" s="197">
        <v>69957</v>
      </c>
      <c r="J360" s="87" t="s">
        <v>370</v>
      </c>
      <c r="K360" s="86"/>
      <c r="L360" s="86"/>
      <c r="M360" s="197"/>
      <c r="N360" s="87" t="s">
        <v>370</v>
      </c>
      <c r="O360" s="86"/>
      <c r="P360" s="86"/>
      <c r="Q360" s="197"/>
      <c r="R360" s="87" t="s">
        <v>370</v>
      </c>
      <c r="S360" s="86"/>
      <c r="T360" s="86"/>
      <c r="U360" s="197"/>
      <c r="V360" s="87" t="s">
        <v>370</v>
      </c>
      <c r="W360" s="86"/>
      <c r="X360" s="86"/>
      <c r="Y360" s="197"/>
      <c r="Z360" s="87" t="s">
        <v>370</v>
      </c>
      <c r="AA360" s="86"/>
      <c r="AB360" s="86"/>
      <c r="AC360" s="197"/>
    </row>
    <row r="361" spans="1:29" x14ac:dyDescent="0.25">
      <c r="A361" s="85" t="s">
        <v>334</v>
      </c>
      <c r="B361" s="85">
        <v>1235370750</v>
      </c>
      <c r="C361" s="86">
        <v>3</v>
      </c>
      <c r="D361" s="86">
        <v>2017</v>
      </c>
      <c r="E361" s="197">
        <v>313750</v>
      </c>
      <c r="F361" s="87" t="s">
        <v>370</v>
      </c>
      <c r="G361" s="86"/>
      <c r="H361" s="86"/>
      <c r="I361" s="197"/>
      <c r="J361" s="87" t="s">
        <v>370</v>
      </c>
      <c r="K361" s="86"/>
      <c r="L361" s="86"/>
      <c r="M361" s="197"/>
      <c r="N361" s="87" t="s">
        <v>370</v>
      </c>
      <c r="O361" s="86"/>
      <c r="P361" s="86"/>
      <c r="Q361" s="197"/>
      <c r="R361" s="87" t="s">
        <v>370</v>
      </c>
      <c r="S361" s="86"/>
      <c r="T361" s="86"/>
      <c r="U361" s="197"/>
      <c r="V361" s="87" t="s">
        <v>370</v>
      </c>
      <c r="W361" s="86"/>
      <c r="X361" s="86"/>
      <c r="Y361" s="197"/>
      <c r="Z361" s="87" t="s">
        <v>370</v>
      </c>
      <c r="AA361" s="86"/>
      <c r="AB361" s="86"/>
      <c r="AC361" s="197"/>
    </row>
    <row r="362" spans="1:29" x14ac:dyDescent="0.25">
      <c r="A362" s="88" t="s">
        <v>335</v>
      </c>
      <c r="B362" s="85">
        <v>1497996920</v>
      </c>
      <c r="C362" s="86">
        <v>3</v>
      </c>
      <c r="D362" s="86">
        <v>2019</v>
      </c>
      <c r="E362" s="197">
        <v>91225</v>
      </c>
      <c r="F362" s="87" t="s">
        <v>370</v>
      </c>
      <c r="G362" s="86"/>
      <c r="H362" s="86"/>
      <c r="I362" s="197"/>
      <c r="J362" s="87" t="s">
        <v>370</v>
      </c>
      <c r="K362" s="86"/>
      <c r="L362" s="86"/>
      <c r="M362" s="197"/>
      <c r="N362" s="87" t="s">
        <v>370</v>
      </c>
      <c r="O362" s="86"/>
      <c r="P362" s="86"/>
      <c r="Q362" s="197"/>
      <c r="R362" s="87" t="s">
        <v>370</v>
      </c>
      <c r="S362" s="86"/>
      <c r="T362" s="86"/>
      <c r="U362" s="197"/>
      <c r="V362" s="87" t="s">
        <v>370</v>
      </c>
      <c r="W362" s="86"/>
      <c r="X362" s="86"/>
      <c r="Y362" s="197"/>
      <c r="Z362" s="87" t="s">
        <v>370</v>
      </c>
      <c r="AA362" s="86"/>
      <c r="AB362" s="86"/>
      <c r="AC362" s="197"/>
    </row>
    <row r="363" spans="1:29" x14ac:dyDescent="0.25">
      <c r="A363" s="85" t="s">
        <v>336</v>
      </c>
      <c r="B363" s="85">
        <v>1295704997</v>
      </c>
      <c r="C363" s="86">
        <v>2</v>
      </c>
      <c r="D363" s="86">
        <v>2016</v>
      </c>
      <c r="E363" s="197">
        <v>20</v>
      </c>
      <c r="F363" s="87" t="s">
        <v>370</v>
      </c>
      <c r="G363" s="86">
        <v>3</v>
      </c>
      <c r="H363" s="86">
        <v>2017</v>
      </c>
      <c r="I363" s="197">
        <v>159182</v>
      </c>
      <c r="J363" s="87" t="s">
        <v>370</v>
      </c>
      <c r="K363" s="86">
        <v>3</v>
      </c>
      <c r="L363" s="86">
        <v>2019</v>
      </c>
      <c r="M363" s="197">
        <v>92110</v>
      </c>
      <c r="N363" s="87" t="s">
        <v>370</v>
      </c>
      <c r="O363" s="86"/>
      <c r="P363" s="86"/>
      <c r="Q363" s="197"/>
      <c r="R363" s="87" t="s">
        <v>370</v>
      </c>
      <c r="S363" s="86"/>
      <c r="T363" s="86"/>
      <c r="U363" s="197"/>
      <c r="V363" s="87" t="s">
        <v>370</v>
      </c>
      <c r="W363" s="86"/>
      <c r="X363" s="86"/>
      <c r="Y363" s="197"/>
      <c r="Z363" s="87" t="s">
        <v>370</v>
      </c>
      <c r="AA363" s="86"/>
      <c r="AB363" s="86"/>
      <c r="AC363" s="197"/>
    </row>
    <row r="364" spans="1:29" x14ac:dyDescent="0.25">
      <c r="A364" s="88" t="s">
        <v>337</v>
      </c>
      <c r="B364" s="85">
        <v>1629047279</v>
      </c>
      <c r="C364" s="86">
        <v>3</v>
      </c>
      <c r="D364" s="86">
        <v>2016</v>
      </c>
      <c r="E364" s="197">
        <v>114188</v>
      </c>
      <c r="F364" s="87" t="s">
        <v>370</v>
      </c>
      <c r="G364" s="86">
        <v>3</v>
      </c>
      <c r="H364" s="86">
        <v>2021</v>
      </c>
      <c r="I364" s="197">
        <v>64663</v>
      </c>
      <c r="J364" s="87" t="s">
        <v>370</v>
      </c>
      <c r="K364" s="86"/>
      <c r="L364" s="86"/>
      <c r="M364" s="197"/>
      <c r="N364" s="87" t="s">
        <v>370</v>
      </c>
      <c r="O364" s="86"/>
      <c r="P364" s="86"/>
      <c r="Q364" s="197"/>
      <c r="R364" s="87" t="s">
        <v>370</v>
      </c>
      <c r="S364" s="86"/>
      <c r="T364" s="86"/>
      <c r="U364" s="197"/>
      <c r="V364" s="87" t="s">
        <v>370</v>
      </c>
      <c r="W364" s="86"/>
      <c r="X364" s="86"/>
      <c r="Y364" s="197"/>
      <c r="Z364" s="87" t="s">
        <v>370</v>
      </c>
      <c r="AA364" s="86"/>
      <c r="AB364" s="86"/>
      <c r="AC364" s="197"/>
    </row>
    <row r="365" spans="1:29" x14ac:dyDescent="0.25">
      <c r="A365" s="88" t="s">
        <v>338</v>
      </c>
      <c r="B365" s="85">
        <v>1144299702</v>
      </c>
      <c r="C365" s="86">
        <v>3</v>
      </c>
      <c r="D365" s="86">
        <v>2016</v>
      </c>
      <c r="E365" s="197">
        <v>98761</v>
      </c>
      <c r="F365" s="87" t="s">
        <v>370</v>
      </c>
      <c r="G365" s="86">
        <v>1</v>
      </c>
      <c r="H365" s="86">
        <v>2016</v>
      </c>
      <c r="I365" s="197">
        <v>20</v>
      </c>
      <c r="J365" s="87" t="s">
        <v>370</v>
      </c>
      <c r="K365" s="86">
        <v>3</v>
      </c>
      <c r="L365" s="86">
        <v>2021</v>
      </c>
      <c r="M365" s="197">
        <v>67159</v>
      </c>
      <c r="N365" s="87" t="s">
        <v>370</v>
      </c>
      <c r="O365" s="86"/>
      <c r="P365" s="86"/>
      <c r="Q365" s="197"/>
      <c r="R365" s="87" t="s">
        <v>370</v>
      </c>
      <c r="S365" s="86"/>
      <c r="T365" s="86"/>
      <c r="U365" s="197"/>
      <c r="V365" s="87" t="s">
        <v>370</v>
      </c>
      <c r="W365" s="86"/>
      <c r="X365" s="86"/>
      <c r="Y365" s="197"/>
      <c r="Z365" s="87" t="s">
        <v>370</v>
      </c>
      <c r="AA365" s="86"/>
      <c r="AB365" s="86"/>
      <c r="AC365" s="197"/>
    </row>
    <row r="366" spans="1:29" x14ac:dyDescent="0.25">
      <c r="A366" s="85" t="s">
        <v>339</v>
      </c>
      <c r="B366" s="85">
        <v>1437484672</v>
      </c>
      <c r="C366" s="86">
        <v>3</v>
      </c>
      <c r="D366" s="86">
        <v>2016</v>
      </c>
      <c r="E366" s="197">
        <v>56465</v>
      </c>
      <c r="F366" s="87" t="s">
        <v>370</v>
      </c>
      <c r="G366" s="86">
        <v>3</v>
      </c>
      <c r="H366" s="86">
        <v>2022</v>
      </c>
      <c r="I366" s="197">
        <v>47681</v>
      </c>
      <c r="J366" s="87" t="s">
        <v>370</v>
      </c>
      <c r="K366" s="86"/>
      <c r="L366" s="86"/>
      <c r="M366" s="197"/>
      <c r="N366" s="87" t="s">
        <v>370</v>
      </c>
      <c r="O366" s="86"/>
      <c r="P366" s="86"/>
      <c r="Q366" s="197"/>
      <c r="R366" s="87" t="s">
        <v>370</v>
      </c>
      <c r="S366" s="86"/>
      <c r="T366" s="86"/>
      <c r="U366" s="197"/>
      <c r="V366" s="87" t="s">
        <v>370</v>
      </c>
      <c r="W366" s="86"/>
      <c r="X366" s="86"/>
      <c r="Y366" s="197"/>
      <c r="Z366" s="87" t="s">
        <v>370</v>
      </c>
      <c r="AA366" s="86"/>
      <c r="AB366" s="86"/>
      <c r="AC366" s="197"/>
    </row>
    <row r="367" spans="1:29" x14ac:dyDescent="0.25">
      <c r="A367" s="85" t="s">
        <v>340</v>
      </c>
      <c r="B367" s="85">
        <v>1942279609</v>
      </c>
      <c r="C367" s="86">
        <v>3</v>
      </c>
      <c r="D367" s="86">
        <v>2020</v>
      </c>
      <c r="E367" s="197">
        <v>105770</v>
      </c>
      <c r="F367" s="87" t="s">
        <v>370</v>
      </c>
      <c r="G367" s="86"/>
      <c r="H367" s="86"/>
      <c r="I367" s="197"/>
      <c r="J367" s="87" t="s">
        <v>370</v>
      </c>
      <c r="K367" s="86"/>
      <c r="L367" s="86"/>
      <c r="M367" s="197"/>
      <c r="N367" s="87" t="s">
        <v>370</v>
      </c>
      <c r="O367" s="86"/>
      <c r="P367" s="86"/>
      <c r="Q367" s="197"/>
      <c r="R367" s="87" t="s">
        <v>370</v>
      </c>
      <c r="S367" s="86"/>
      <c r="T367" s="86"/>
      <c r="U367" s="197"/>
      <c r="V367" s="87" t="s">
        <v>370</v>
      </c>
      <c r="W367" s="86"/>
      <c r="X367" s="86"/>
      <c r="Y367" s="197"/>
      <c r="Z367" s="87" t="s">
        <v>370</v>
      </c>
      <c r="AA367" s="86"/>
      <c r="AB367" s="86"/>
      <c r="AC367" s="197"/>
    </row>
    <row r="368" spans="1:29" x14ac:dyDescent="0.25">
      <c r="A368" s="88" t="s">
        <v>526</v>
      </c>
      <c r="B368" s="85">
        <v>1114996758</v>
      </c>
      <c r="C368" s="86">
        <v>3</v>
      </c>
      <c r="D368" s="86">
        <v>2016</v>
      </c>
      <c r="E368" s="197">
        <v>58352</v>
      </c>
      <c r="F368" s="87" t="s">
        <v>370</v>
      </c>
      <c r="G368" s="86"/>
      <c r="H368" s="86"/>
      <c r="I368" s="197"/>
      <c r="J368" s="87" t="s">
        <v>370</v>
      </c>
      <c r="K368" s="86"/>
      <c r="L368" s="86"/>
      <c r="M368" s="197"/>
      <c r="N368" s="87" t="s">
        <v>370</v>
      </c>
      <c r="O368" s="86"/>
      <c r="P368" s="86"/>
      <c r="Q368" s="197"/>
      <c r="R368" s="87" t="s">
        <v>370</v>
      </c>
      <c r="S368" s="86"/>
      <c r="T368" s="86"/>
      <c r="U368" s="197"/>
      <c r="V368" s="87" t="s">
        <v>370</v>
      </c>
      <c r="W368" s="86"/>
      <c r="X368" s="86"/>
      <c r="Y368" s="197"/>
      <c r="Z368" s="87" t="s">
        <v>370</v>
      </c>
      <c r="AA368" s="86"/>
      <c r="AB368" s="86"/>
      <c r="AC368" s="197"/>
    </row>
    <row r="369" spans="1:29" x14ac:dyDescent="0.25">
      <c r="A369" s="98" t="s">
        <v>527</v>
      </c>
      <c r="B369" s="85">
        <v>1902875578</v>
      </c>
      <c r="C369" s="86"/>
      <c r="D369" s="86"/>
      <c r="E369" s="197"/>
      <c r="F369" s="87" t="s">
        <v>370</v>
      </c>
      <c r="G369" s="86"/>
      <c r="H369" s="86"/>
      <c r="I369" s="197"/>
      <c r="J369" s="87" t="s">
        <v>370</v>
      </c>
      <c r="K369" s="86"/>
      <c r="L369" s="86"/>
      <c r="M369" s="197"/>
      <c r="N369" s="87" t="s">
        <v>370</v>
      </c>
      <c r="O369" s="86"/>
      <c r="P369" s="86"/>
      <c r="Q369" s="197"/>
      <c r="R369" s="87" t="s">
        <v>370</v>
      </c>
      <c r="S369" s="86"/>
      <c r="T369" s="86"/>
      <c r="U369" s="197"/>
      <c r="V369" s="87" t="s">
        <v>370</v>
      </c>
      <c r="W369" s="86"/>
      <c r="X369" s="86"/>
      <c r="Y369" s="197"/>
      <c r="Z369" s="87" t="s">
        <v>370</v>
      </c>
      <c r="AA369" s="86"/>
      <c r="AB369" s="86"/>
      <c r="AC369" s="197"/>
    </row>
    <row r="370" spans="1:29" x14ac:dyDescent="0.25">
      <c r="A370" s="98" t="s">
        <v>341</v>
      </c>
      <c r="B370" s="85">
        <v>1588805014</v>
      </c>
      <c r="C370" s="86">
        <v>3</v>
      </c>
      <c r="D370" s="86">
        <v>2016</v>
      </c>
      <c r="E370" s="197">
        <v>95117</v>
      </c>
      <c r="F370" s="87" t="s">
        <v>370</v>
      </c>
      <c r="G370" s="86"/>
      <c r="H370" s="86"/>
      <c r="I370" s="197"/>
      <c r="J370" s="87" t="s">
        <v>370</v>
      </c>
      <c r="K370" s="86"/>
      <c r="L370" s="86"/>
      <c r="M370" s="197"/>
      <c r="N370" s="87" t="s">
        <v>370</v>
      </c>
      <c r="O370" s="86"/>
      <c r="P370" s="86"/>
      <c r="Q370" s="197"/>
      <c r="R370" s="87" t="s">
        <v>370</v>
      </c>
      <c r="S370" s="86"/>
      <c r="T370" s="86"/>
      <c r="U370" s="197"/>
      <c r="V370" s="87" t="s">
        <v>370</v>
      </c>
      <c r="W370" s="86"/>
      <c r="X370" s="86"/>
      <c r="Y370" s="197"/>
      <c r="Z370" s="87" t="s">
        <v>370</v>
      </c>
      <c r="AA370" s="86"/>
      <c r="AB370" s="86"/>
      <c r="AC370" s="197"/>
    </row>
    <row r="371" spans="1:29" x14ac:dyDescent="0.25">
      <c r="A371" s="85" t="s">
        <v>528</v>
      </c>
      <c r="B371" s="85">
        <v>1669408969</v>
      </c>
      <c r="C371" s="86">
        <v>3</v>
      </c>
      <c r="D371" s="86">
        <v>2020</v>
      </c>
      <c r="E371" s="197">
        <v>2770833</v>
      </c>
      <c r="F371" s="87" t="s">
        <v>370</v>
      </c>
      <c r="G371" s="86"/>
      <c r="H371" s="86"/>
      <c r="I371" s="197"/>
      <c r="J371" s="87" t="s">
        <v>370</v>
      </c>
      <c r="K371" s="86"/>
      <c r="L371" s="86"/>
      <c r="M371" s="197"/>
      <c r="N371" s="87" t="s">
        <v>370</v>
      </c>
      <c r="O371" s="86"/>
      <c r="P371" s="86"/>
      <c r="Q371" s="197"/>
      <c r="R371" s="87" t="s">
        <v>370</v>
      </c>
      <c r="S371" s="86"/>
      <c r="T371" s="86"/>
      <c r="U371" s="197"/>
      <c r="V371" s="87" t="s">
        <v>370</v>
      </c>
      <c r="W371" s="86"/>
      <c r="X371" s="86"/>
      <c r="Y371" s="197"/>
      <c r="Z371" s="87" t="s">
        <v>370</v>
      </c>
      <c r="AA371" s="86"/>
      <c r="AB371" s="86"/>
      <c r="AC371" s="197"/>
    </row>
    <row r="372" spans="1:29" x14ac:dyDescent="0.25">
      <c r="A372" s="99" t="s">
        <v>342</v>
      </c>
      <c r="B372" s="85">
        <v>1689640583</v>
      </c>
      <c r="C372" s="86">
        <v>3</v>
      </c>
      <c r="D372" s="86">
        <v>2018</v>
      </c>
      <c r="E372" s="197">
        <v>128868</v>
      </c>
      <c r="F372" s="87" t="s">
        <v>370</v>
      </c>
      <c r="G372" s="86">
        <v>3</v>
      </c>
      <c r="H372" s="86">
        <v>2021</v>
      </c>
      <c r="I372" s="197">
        <v>71274</v>
      </c>
      <c r="J372" s="87" t="s">
        <v>370</v>
      </c>
      <c r="K372" s="86"/>
      <c r="L372" s="86"/>
      <c r="M372" s="197"/>
      <c r="N372" s="87" t="s">
        <v>370</v>
      </c>
      <c r="O372" s="86"/>
      <c r="P372" s="86"/>
      <c r="Q372" s="197"/>
      <c r="R372" s="87" t="s">
        <v>370</v>
      </c>
      <c r="S372" s="86"/>
      <c r="T372" s="86"/>
      <c r="U372" s="197"/>
      <c r="V372" s="87" t="s">
        <v>370</v>
      </c>
      <c r="W372" s="86"/>
      <c r="X372" s="86"/>
      <c r="Y372" s="197"/>
      <c r="Z372" s="87" t="s">
        <v>370</v>
      </c>
      <c r="AA372" s="86"/>
      <c r="AB372" s="86"/>
      <c r="AC372" s="197"/>
    </row>
    <row r="373" spans="1:29" x14ac:dyDescent="0.25">
      <c r="A373" s="85" t="s">
        <v>343</v>
      </c>
      <c r="B373" s="85">
        <v>1831125285</v>
      </c>
      <c r="C373" s="86">
        <v>3</v>
      </c>
      <c r="D373" s="86">
        <v>2016</v>
      </c>
      <c r="E373" s="197">
        <v>42465</v>
      </c>
      <c r="F373" s="87" t="s">
        <v>370</v>
      </c>
      <c r="G373" s="86">
        <v>3</v>
      </c>
      <c r="H373" s="86">
        <v>2017</v>
      </c>
      <c r="I373" s="197">
        <v>47234</v>
      </c>
      <c r="J373" s="87" t="s">
        <v>370</v>
      </c>
      <c r="K373" s="86">
        <v>3</v>
      </c>
      <c r="L373" s="86">
        <v>2020</v>
      </c>
      <c r="M373" s="197">
        <v>48348</v>
      </c>
      <c r="N373" s="87" t="s">
        <v>370</v>
      </c>
      <c r="O373" s="86">
        <v>3</v>
      </c>
      <c r="P373" s="86">
        <v>2022</v>
      </c>
      <c r="Q373" s="197">
        <v>45180</v>
      </c>
      <c r="R373" s="87" t="s">
        <v>370</v>
      </c>
      <c r="S373" s="86"/>
      <c r="T373" s="86"/>
      <c r="U373" s="197"/>
      <c r="V373" s="87" t="s">
        <v>370</v>
      </c>
      <c r="W373" s="86"/>
      <c r="X373" s="86"/>
      <c r="Y373" s="197"/>
      <c r="Z373" s="87" t="s">
        <v>370</v>
      </c>
      <c r="AA373" s="86"/>
      <c r="AB373" s="86"/>
      <c r="AC373" s="197"/>
    </row>
    <row r="374" spans="1:29" x14ac:dyDescent="0.25">
      <c r="A374" s="85" t="s">
        <v>344</v>
      </c>
      <c r="B374" s="85">
        <v>1871063214</v>
      </c>
      <c r="C374" s="86">
        <v>3</v>
      </c>
      <c r="D374" s="86">
        <v>2016</v>
      </c>
      <c r="E374" s="197">
        <v>123096</v>
      </c>
      <c r="F374" s="87" t="s">
        <v>370</v>
      </c>
      <c r="G374" s="86">
        <v>3</v>
      </c>
      <c r="H374" s="86">
        <v>2017</v>
      </c>
      <c r="I374" s="197">
        <v>290865</v>
      </c>
      <c r="J374" s="87" t="s">
        <v>370</v>
      </c>
      <c r="K374" s="86">
        <v>3</v>
      </c>
      <c r="L374" s="86">
        <v>2018</v>
      </c>
      <c r="M374" s="197">
        <v>59742</v>
      </c>
      <c r="N374" s="87" t="s">
        <v>370</v>
      </c>
      <c r="O374" s="86"/>
      <c r="P374" s="86"/>
      <c r="Q374" s="197"/>
      <c r="R374" s="87" t="s">
        <v>370</v>
      </c>
      <c r="S374" s="86"/>
      <c r="T374" s="86"/>
      <c r="U374" s="197"/>
      <c r="V374" s="87" t="s">
        <v>370</v>
      </c>
      <c r="W374" s="86"/>
      <c r="X374" s="86"/>
      <c r="Y374" s="197"/>
      <c r="Z374" s="87" t="s">
        <v>370</v>
      </c>
      <c r="AA374" s="86"/>
      <c r="AB374" s="86"/>
      <c r="AC374" s="197"/>
    </row>
    <row r="375" spans="1:29" x14ac:dyDescent="0.25">
      <c r="A375" s="85" t="s">
        <v>345</v>
      </c>
      <c r="B375" s="85">
        <v>1629515499</v>
      </c>
      <c r="C375" s="86">
        <v>3</v>
      </c>
      <c r="D375" s="86">
        <v>2018</v>
      </c>
      <c r="E375" s="197">
        <v>147269</v>
      </c>
      <c r="F375" s="87" t="s">
        <v>370</v>
      </c>
      <c r="G375" s="86">
        <v>3</v>
      </c>
      <c r="H375" s="86">
        <v>2019</v>
      </c>
      <c r="I375" s="197">
        <v>64739</v>
      </c>
      <c r="J375" s="87" t="s">
        <v>370</v>
      </c>
      <c r="K375" s="86"/>
      <c r="L375" s="86"/>
      <c r="M375" s="197"/>
      <c r="N375" s="87" t="s">
        <v>370</v>
      </c>
      <c r="O375" s="86"/>
      <c r="P375" s="86"/>
      <c r="Q375" s="197"/>
      <c r="R375" s="87" t="s">
        <v>370</v>
      </c>
      <c r="S375" s="86"/>
      <c r="T375" s="86"/>
      <c r="U375" s="197"/>
      <c r="V375" s="87" t="s">
        <v>370</v>
      </c>
      <c r="W375" s="86"/>
      <c r="X375" s="86"/>
      <c r="Y375" s="197"/>
      <c r="Z375" s="87" t="s">
        <v>370</v>
      </c>
      <c r="AA375" s="86"/>
      <c r="AB375" s="86"/>
      <c r="AC375" s="197"/>
    </row>
    <row r="376" spans="1:29" x14ac:dyDescent="0.25">
      <c r="A376" s="85" t="s">
        <v>529</v>
      </c>
      <c r="B376" s="85">
        <v>1134660103</v>
      </c>
      <c r="C376" s="86">
        <v>3</v>
      </c>
      <c r="D376" s="86">
        <v>2017</v>
      </c>
      <c r="E376" s="197">
        <v>118998</v>
      </c>
      <c r="F376" s="87" t="s">
        <v>370</v>
      </c>
      <c r="G376" s="86">
        <v>3</v>
      </c>
      <c r="H376" s="86">
        <v>2018</v>
      </c>
      <c r="I376" s="197">
        <v>594009</v>
      </c>
      <c r="J376" s="87" t="s">
        <v>370</v>
      </c>
      <c r="K376" s="86">
        <v>3</v>
      </c>
      <c r="L376" s="86">
        <v>2019</v>
      </c>
      <c r="M376" s="197">
        <v>993059</v>
      </c>
      <c r="N376" s="87" t="s">
        <v>370</v>
      </c>
      <c r="O376" s="86">
        <v>3</v>
      </c>
      <c r="P376" s="86">
        <v>2020</v>
      </c>
      <c r="Q376" s="197">
        <v>91112</v>
      </c>
      <c r="R376" s="87" t="s">
        <v>370</v>
      </c>
      <c r="S376" s="86"/>
      <c r="T376" s="86"/>
      <c r="U376" s="197"/>
      <c r="V376" s="87" t="s">
        <v>370</v>
      </c>
      <c r="W376" s="86"/>
      <c r="X376" s="86"/>
      <c r="Y376" s="197"/>
      <c r="Z376" s="87" t="s">
        <v>370</v>
      </c>
      <c r="AA376" s="86"/>
      <c r="AB376" s="86"/>
      <c r="AC376" s="197"/>
    </row>
    <row r="377" spans="1:29" x14ac:dyDescent="0.25">
      <c r="A377" s="88" t="s">
        <v>346</v>
      </c>
      <c r="B377" s="85">
        <v>1447736087</v>
      </c>
      <c r="C377" s="86">
        <v>3</v>
      </c>
      <c r="D377" s="86">
        <v>2018</v>
      </c>
      <c r="E377" s="197">
        <v>218575</v>
      </c>
      <c r="F377" s="87" t="s">
        <v>370</v>
      </c>
      <c r="G377" s="86">
        <v>3</v>
      </c>
      <c r="H377" s="86">
        <v>2021</v>
      </c>
      <c r="I377" s="197">
        <v>46040</v>
      </c>
      <c r="J377" s="87" t="s">
        <v>370</v>
      </c>
      <c r="K377" s="86">
        <v>3</v>
      </c>
      <c r="L377" s="86">
        <v>2022</v>
      </c>
      <c r="M377" s="197">
        <v>53292</v>
      </c>
      <c r="N377" s="87" t="s">
        <v>370</v>
      </c>
      <c r="O377" s="86"/>
      <c r="P377" s="86"/>
      <c r="Q377" s="197"/>
      <c r="R377" s="87" t="s">
        <v>370</v>
      </c>
      <c r="S377" s="86"/>
      <c r="T377" s="86"/>
      <c r="U377" s="197"/>
      <c r="V377" s="87" t="s">
        <v>370</v>
      </c>
      <c r="W377" s="86"/>
      <c r="X377" s="86"/>
      <c r="Y377" s="197"/>
      <c r="Z377" s="87" t="s">
        <v>370</v>
      </c>
      <c r="AA377" s="86"/>
      <c r="AB377" s="86"/>
      <c r="AC377" s="197"/>
    </row>
    <row r="378" spans="1:29" x14ac:dyDescent="0.25">
      <c r="A378" s="88" t="s">
        <v>530</v>
      </c>
      <c r="B378" s="85">
        <v>1366418246</v>
      </c>
      <c r="C378" s="86"/>
      <c r="D378" s="86"/>
      <c r="E378" s="197"/>
      <c r="F378" s="87" t="s">
        <v>370</v>
      </c>
      <c r="G378" s="86"/>
      <c r="H378" s="86"/>
      <c r="I378" s="197"/>
      <c r="J378" s="87" t="s">
        <v>370</v>
      </c>
      <c r="K378" s="86"/>
      <c r="L378" s="86"/>
      <c r="M378" s="197"/>
      <c r="N378" s="87" t="s">
        <v>370</v>
      </c>
      <c r="O378" s="86"/>
      <c r="P378" s="86"/>
      <c r="Q378" s="197"/>
      <c r="R378" s="87" t="s">
        <v>370</v>
      </c>
      <c r="S378" s="86"/>
      <c r="T378" s="86"/>
      <c r="U378" s="197"/>
      <c r="V378" s="87" t="s">
        <v>370</v>
      </c>
      <c r="W378" s="86"/>
      <c r="X378" s="86"/>
      <c r="Y378" s="197"/>
      <c r="Z378" s="87" t="s">
        <v>370</v>
      </c>
      <c r="AA378" s="86"/>
      <c r="AB378" s="86"/>
      <c r="AC378" s="197"/>
    </row>
    <row r="379" spans="1:29" x14ac:dyDescent="0.25">
      <c r="A379" s="85" t="s">
        <v>531</v>
      </c>
      <c r="B379" s="85">
        <v>1124094008</v>
      </c>
      <c r="C379" s="86"/>
      <c r="D379" s="86"/>
      <c r="E379" s="197"/>
      <c r="F379" s="87" t="s">
        <v>370</v>
      </c>
      <c r="G379" s="86"/>
      <c r="H379" s="86"/>
      <c r="I379" s="197"/>
      <c r="J379" s="87" t="s">
        <v>370</v>
      </c>
      <c r="K379" s="86"/>
      <c r="L379" s="86"/>
      <c r="M379" s="197"/>
      <c r="N379" s="87" t="s">
        <v>370</v>
      </c>
      <c r="O379" s="86"/>
      <c r="P379" s="86"/>
      <c r="Q379" s="197"/>
      <c r="R379" s="87" t="s">
        <v>370</v>
      </c>
      <c r="S379" s="86"/>
      <c r="T379" s="86"/>
      <c r="U379" s="197"/>
      <c r="V379" s="87" t="s">
        <v>370</v>
      </c>
      <c r="W379" s="86"/>
      <c r="X379" s="86"/>
      <c r="Y379" s="197"/>
      <c r="Z379" s="87" t="s">
        <v>370</v>
      </c>
      <c r="AA379" s="86"/>
      <c r="AB379" s="86"/>
      <c r="AC379" s="197"/>
    </row>
    <row r="380" spans="1:29" x14ac:dyDescent="0.25">
      <c r="A380" s="88" t="s">
        <v>762</v>
      </c>
      <c r="B380" s="85">
        <v>1609996552</v>
      </c>
      <c r="C380" s="86">
        <v>3</v>
      </c>
      <c r="D380" s="86">
        <v>2016</v>
      </c>
      <c r="E380" s="197">
        <v>87523</v>
      </c>
      <c r="F380" s="87" t="s">
        <v>370</v>
      </c>
      <c r="G380" s="86">
        <v>3</v>
      </c>
      <c r="H380" s="86">
        <v>2019</v>
      </c>
      <c r="I380" s="197">
        <v>2097573.21</v>
      </c>
      <c r="J380" s="87" t="s">
        <v>370</v>
      </c>
      <c r="K380" s="86">
        <v>3</v>
      </c>
      <c r="L380" s="86">
        <v>2020</v>
      </c>
      <c r="M380" s="197">
        <v>1076206</v>
      </c>
      <c r="N380" s="87" t="s">
        <v>370</v>
      </c>
      <c r="O380" s="86"/>
      <c r="P380" s="86"/>
      <c r="Q380" s="197"/>
      <c r="R380" s="87" t="s">
        <v>370</v>
      </c>
      <c r="S380" s="86"/>
      <c r="T380" s="86"/>
      <c r="U380" s="197"/>
      <c r="V380" s="87" t="s">
        <v>370</v>
      </c>
      <c r="W380" s="86"/>
      <c r="X380" s="86"/>
      <c r="Y380" s="197"/>
      <c r="Z380" s="87" t="s">
        <v>370</v>
      </c>
      <c r="AA380" s="86"/>
      <c r="AB380" s="86"/>
      <c r="AC380" s="197"/>
    </row>
    <row r="381" spans="1:29" x14ac:dyDescent="0.25">
      <c r="A381" s="88" t="s">
        <v>347</v>
      </c>
      <c r="B381" s="85">
        <v>1659319366</v>
      </c>
      <c r="C381" s="86">
        <v>3</v>
      </c>
      <c r="D381" s="86">
        <v>2016</v>
      </c>
      <c r="E381" s="197">
        <v>0</v>
      </c>
      <c r="F381" s="87" t="s">
        <v>370</v>
      </c>
      <c r="G381" s="86">
        <v>3</v>
      </c>
      <c r="H381" s="86">
        <v>2017</v>
      </c>
      <c r="I381" s="197">
        <v>141755</v>
      </c>
      <c r="J381" s="87" t="s">
        <v>370</v>
      </c>
      <c r="K381" s="86">
        <v>3</v>
      </c>
      <c r="L381" s="86">
        <v>2018</v>
      </c>
      <c r="M381" s="197">
        <v>82784</v>
      </c>
      <c r="N381" s="87" t="s">
        <v>370</v>
      </c>
      <c r="O381" s="86">
        <v>3</v>
      </c>
      <c r="P381" s="86">
        <v>2022</v>
      </c>
      <c r="Q381" s="197">
        <v>64420</v>
      </c>
      <c r="R381" s="87" t="s">
        <v>370</v>
      </c>
      <c r="S381" s="86"/>
      <c r="T381" s="86"/>
      <c r="U381" s="197"/>
      <c r="V381" s="87" t="s">
        <v>370</v>
      </c>
      <c r="W381" s="86"/>
      <c r="X381" s="86"/>
      <c r="Y381" s="197"/>
      <c r="Z381" s="87" t="s">
        <v>370</v>
      </c>
      <c r="AA381" s="86"/>
      <c r="AB381" s="86"/>
      <c r="AC381" s="197"/>
    </row>
    <row r="382" spans="1:29" x14ac:dyDescent="0.25">
      <c r="A382" s="85" t="s">
        <v>348</v>
      </c>
      <c r="B382" s="85">
        <v>1972050276</v>
      </c>
      <c r="C382" s="86">
        <v>3</v>
      </c>
      <c r="D382" s="86">
        <v>2019</v>
      </c>
      <c r="E382" s="197">
        <v>241620</v>
      </c>
      <c r="F382" s="87" t="s">
        <v>370</v>
      </c>
      <c r="G382" s="86">
        <v>3</v>
      </c>
      <c r="H382" s="86">
        <v>2021</v>
      </c>
      <c r="I382" s="197">
        <v>240285</v>
      </c>
      <c r="J382" s="87" t="s">
        <v>370</v>
      </c>
      <c r="K382" s="86"/>
      <c r="L382" s="86"/>
      <c r="M382" s="197"/>
      <c r="N382" s="87" t="s">
        <v>370</v>
      </c>
      <c r="O382" s="86"/>
      <c r="P382" s="86"/>
      <c r="Q382" s="197"/>
      <c r="R382" s="87" t="s">
        <v>370</v>
      </c>
      <c r="S382" s="86"/>
      <c r="T382" s="86"/>
      <c r="U382" s="197"/>
      <c r="V382" s="87" t="s">
        <v>370</v>
      </c>
      <c r="W382" s="86"/>
      <c r="X382" s="86"/>
      <c r="Y382" s="197"/>
      <c r="Z382" s="87" t="s">
        <v>370</v>
      </c>
      <c r="AA382" s="86"/>
      <c r="AB382" s="86"/>
      <c r="AC382" s="197"/>
    </row>
    <row r="383" spans="1:29" x14ac:dyDescent="0.25">
      <c r="A383" s="88" t="s">
        <v>532</v>
      </c>
      <c r="B383" s="85">
        <v>1023386190</v>
      </c>
      <c r="C383" s="86"/>
      <c r="D383" s="86"/>
      <c r="E383" s="197"/>
      <c r="F383" s="87" t="s">
        <v>370</v>
      </c>
      <c r="G383" s="86"/>
      <c r="H383" s="86"/>
      <c r="I383" s="197"/>
      <c r="J383" s="87" t="s">
        <v>370</v>
      </c>
      <c r="K383" s="86"/>
      <c r="L383" s="86"/>
      <c r="M383" s="197"/>
      <c r="N383" s="87" t="s">
        <v>370</v>
      </c>
      <c r="O383" s="86"/>
      <c r="P383" s="86"/>
      <c r="Q383" s="197"/>
      <c r="R383" s="87" t="s">
        <v>370</v>
      </c>
      <c r="S383" s="86"/>
      <c r="T383" s="86"/>
      <c r="U383" s="197"/>
      <c r="V383" s="87" t="s">
        <v>370</v>
      </c>
      <c r="W383" s="86"/>
      <c r="X383" s="86"/>
      <c r="Y383" s="197"/>
      <c r="Z383" s="87" t="s">
        <v>370</v>
      </c>
      <c r="AA383" s="86"/>
      <c r="AB383" s="86"/>
      <c r="AC383" s="197"/>
    </row>
    <row r="384" spans="1:29" x14ac:dyDescent="0.25">
      <c r="A384" s="85" t="s">
        <v>533</v>
      </c>
      <c r="B384" s="85">
        <v>1154369841</v>
      </c>
      <c r="C384" s="86">
        <v>3</v>
      </c>
      <c r="D384" s="86">
        <v>2016</v>
      </c>
      <c r="E384" s="197">
        <v>40585</v>
      </c>
      <c r="F384" s="87" t="s">
        <v>370</v>
      </c>
      <c r="G384" s="86">
        <v>3</v>
      </c>
      <c r="H384" s="86">
        <v>2018</v>
      </c>
      <c r="I384" s="197">
        <v>94699</v>
      </c>
      <c r="J384" s="87" t="s">
        <v>370</v>
      </c>
      <c r="K384" s="86">
        <v>3</v>
      </c>
      <c r="L384" s="86">
        <v>2020</v>
      </c>
      <c r="M384" s="197">
        <v>51908</v>
      </c>
      <c r="N384" s="87" t="s">
        <v>370</v>
      </c>
      <c r="O384" s="86">
        <v>3</v>
      </c>
      <c r="P384" s="86">
        <v>2021</v>
      </c>
      <c r="Q384" s="197">
        <v>61996</v>
      </c>
      <c r="R384" s="87" t="s">
        <v>370</v>
      </c>
      <c r="S384" s="86">
        <v>3</v>
      </c>
      <c r="T384" s="86">
        <v>2022</v>
      </c>
      <c r="U384" s="197">
        <v>98982</v>
      </c>
      <c r="V384" s="87" t="s">
        <v>370</v>
      </c>
      <c r="W384" s="86"/>
      <c r="X384" s="86"/>
      <c r="Y384" s="197"/>
      <c r="Z384" s="87" t="s">
        <v>370</v>
      </c>
      <c r="AA384" s="86"/>
      <c r="AB384" s="86"/>
      <c r="AC384" s="197"/>
    </row>
    <row r="385" spans="1:29" x14ac:dyDescent="0.25">
      <c r="A385" s="85" t="s">
        <v>349</v>
      </c>
      <c r="B385" s="85">
        <v>1639153919</v>
      </c>
      <c r="C385" s="86">
        <v>3</v>
      </c>
      <c r="D385" s="86">
        <v>2016</v>
      </c>
      <c r="E385" s="197">
        <v>42469</v>
      </c>
      <c r="F385" s="87" t="s">
        <v>370</v>
      </c>
      <c r="G385" s="86">
        <v>3</v>
      </c>
      <c r="H385" s="86">
        <v>2017</v>
      </c>
      <c r="I385" s="197">
        <v>54361</v>
      </c>
      <c r="J385" s="87" t="s">
        <v>370</v>
      </c>
      <c r="K385" s="86">
        <v>3</v>
      </c>
      <c r="L385" s="86">
        <v>2018</v>
      </c>
      <c r="M385" s="197">
        <v>58672</v>
      </c>
      <c r="N385" s="87" t="s">
        <v>370</v>
      </c>
      <c r="O385" s="86">
        <v>3</v>
      </c>
      <c r="P385" s="86">
        <v>2019</v>
      </c>
      <c r="Q385" s="197">
        <v>47012</v>
      </c>
      <c r="R385" s="87" t="s">
        <v>370</v>
      </c>
      <c r="S385" s="86">
        <v>3</v>
      </c>
      <c r="T385" s="86">
        <v>2020</v>
      </c>
      <c r="U385" s="197">
        <v>32219</v>
      </c>
      <c r="V385" s="87" t="s">
        <v>370</v>
      </c>
      <c r="W385" s="86">
        <v>3</v>
      </c>
      <c r="X385" s="86">
        <v>2022</v>
      </c>
      <c r="Y385" s="197">
        <v>55184</v>
      </c>
      <c r="Z385" s="87" t="s">
        <v>370</v>
      </c>
      <c r="AA385" s="86"/>
      <c r="AB385" s="86"/>
      <c r="AC385" s="197"/>
    </row>
    <row r="386" spans="1:29" x14ac:dyDescent="0.25">
      <c r="A386" s="88" t="s">
        <v>350</v>
      </c>
      <c r="B386" s="85">
        <v>1043314602</v>
      </c>
      <c r="C386" s="86">
        <v>3</v>
      </c>
      <c r="D386" s="86">
        <v>2017</v>
      </c>
      <c r="E386" s="197">
        <v>135625</v>
      </c>
      <c r="F386" s="87" t="s">
        <v>370</v>
      </c>
      <c r="G386" s="86">
        <v>3</v>
      </c>
      <c r="H386" s="86">
        <v>2018</v>
      </c>
      <c r="I386" s="197">
        <v>432063</v>
      </c>
      <c r="J386" s="87" t="s">
        <v>370</v>
      </c>
      <c r="K386" s="86">
        <v>3</v>
      </c>
      <c r="L386" s="86">
        <v>2021</v>
      </c>
      <c r="M386" s="197">
        <v>244839</v>
      </c>
      <c r="N386" s="87" t="s">
        <v>370</v>
      </c>
      <c r="O386" s="86">
        <v>3</v>
      </c>
      <c r="P386" s="86">
        <v>2022</v>
      </c>
      <c r="Q386" s="197">
        <v>174413</v>
      </c>
      <c r="R386" s="87" t="s">
        <v>370</v>
      </c>
      <c r="S386" s="86"/>
      <c r="T386" s="86"/>
      <c r="U386" s="197"/>
      <c r="V386" s="87" t="s">
        <v>370</v>
      </c>
      <c r="W386" s="86"/>
      <c r="X386" s="86"/>
      <c r="Y386" s="197"/>
      <c r="Z386" s="87" t="s">
        <v>370</v>
      </c>
      <c r="AA386" s="86"/>
      <c r="AB386" s="86"/>
      <c r="AC386" s="197"/>
    </row>
    <row r="387" spans="1:29" x14ac:dyDescent="0.25">
      <c r="A387" s="85" t="s">
        <v>534</v>
      </c>
      <c r="B387" s="85">
        <v>1891740544</v>
      </c>
      <c r="C387" s="86">
        <v>3</v>
      </c>
      <c r="D387" s="86">
        <v>2019</v>
      </c>
      <c r="E387" s="197">
        <v>80421</v>
      </c>
      <c r="F387" s="87" t="s">
        <v>370</v>
      </c>
      <c r="G387" s="86">
        <v>3</v>
      </c>
      <c r="H387" s="86">
        <v>2021</v>
      </c>
      <c r="I387" s="197">
        <v>50912</v>
      </c>
      <c r="J387" s="87" t="s">
        <v>370</v>
      </c>
      <c r="K387" s="86"/>
      <c r="L387" s="86"/>
      <c r="M387" s="197"/>
      <c r="N387" s="87" t="s">
        <v>370</v>
      </c>
      <c r="O387" s="86"/>
      <c r="P387" s="86"/>
      <c r="Q387" s="197"/>
      <c r="R387" s="87" t="s">
        <v>370</v>
      </c>
      <c r="S387" s="86"/>
      <c r="T387" s="86"/>
      <c r="U387" s="197"/>
      <c r="V387" s="87" t="s">
        <v>370</v>
      </c>
      <c r="W387" s="86"/>
      <c r="X387" s="86"/>
      <c r="Y387" s="197"/>
      <c r="Z387" s="87" t="s">
        <v>370</v>
      </c>
      <c r="AA387" s="86"/>
      <c r="AB387" s="86"/>
      <c r="AC387" s="197"/>
    </row>
    <row r="388" spans="1:29" x14ac:dyDescent="0.25">
      <c r="A388" s="88" t="s">
        <v>351</v>
      </c>
      <c r="B388" s="85">
        <v>1700821865</v>
      </c>
      <c r="C388" s="86">
        <v>3</v>
      </c>
      <c r="D388" s="86">
        <v>2017</v>
      </c>
      <c r="E388" s="197">
        <v>58596</v>
      </c>
      <c r="F388" s="87" t="s">
        <v>370</v>
      </c>
      <c r="G388" s="86">
        <v>3</v>
      </c>
      <c r="H388" s="86">
        <v>2018</v>
      </c>
      <c r="I388" s="197">
        <v>53896</v>
      </c>
      <c r="J388" s="87" t="s">
        <v>370</v>
      </c>
      <c r="K388" s="86">
        <v>3</v>
      </c>
      <c r="L388" s="86">
        <v>2021</v>
      </c>
      <c r="M388" s="197">
        <v>81032</v>
      </c>
      <c r="N388" s="87" t="s">
        <v>370</v>
      </c>
      <c r="O388" s="86"/>
      <c r="P388" s="86"/>
      <c r="Q388" s="197"/>
      <c r="R388" s="87" t="s">
        <v>370</v>
      </c>
      <c r="S388" s="86"/>
      <c r="T388" s="86"/>
      <c r="U388" s="197"/>
      <c r="V388" s="87" t="s">
        <v>370</v>
      </c>
      <c r="W388" s="86"/>
      <c r="X388" s="86"/>
      <c r="Y388" s="197"/>
      <c r="Z388" s="87" t="s">
        <v>370</v>
      </c>
      <c r="AA388" s="86"/>
      <c r="AB388" s="86"/>
      <c r="AC388" s="197"/>
    </row>
    <row r="389" spans="1:29" x14ac:dyDescent="0.25">
      <c r="A389" s="85" t="s">
        <v>535</v>
      </c>
      <c r="B389" s="85">
        <v>1184650541</v>
      </c>
      <c r="C389" s="86">
        <v>3</v>
      </c>
      <c r="D389" s="86">
        <v>2017</v>
      </c>
      <c r="E389" s="197">
        <v>203573</v>
      </c>
      <c r="F389" s="87" t="s">
        <v>370</v>
      </c>
      <c r="G389" s="86"/>
      <c r="H389" s="86"/>
      <c r="I389" s="197"/>
      <c r="J389" s="87" t="s">
        <v>370</v>
      </c>
      <c r="K389" s="86"/>
      <c r="L389" s="86"/>
      <c r="M389" s="197"/>
      <c r="N389" s="87" t="s">
        <v>370</v>
      </c>
      <c r="O389" s="86"/>
      <c r="P389" s="86"/>
      <c r="Q389" s="197"/>
      <c r="R389" s="87" t="s">
        <v>370</v>
      </c>
      <c r="S389" s="86"/>
      <c r="T389" s="86"/>
      <c r="U389" s="197"/>
      <c r="V389" s="87" t="s">
        <v>370</v>
      </c>
      <c r="W389" s="86"/>
      <c r="X389" s="86"/>
      <c r="Y389" s="197"/>
      <c r="Z389" s="87" t="s">
        <v>370</v>
      </c>
      <c r="AA389" s="86"/>
      <c r="AB389" s="86"/>
      <c r="AC389" s="197"/>
    </row>
    <row r="390" spans="1:29" x14ac:dyDescent="0.25">
      <c r="A390" s="85" t="s">
        <v>352</v>
      </c>
      <c r="B390" s="85">
        <v>1902853781</v>
      </c>
      <c r="C390" s="86">
        <v>3</v>
      </c>
      <c r="D390" s="86">
        <v>2016</v>
      </c>
      <c r="E390" s="197">
        <v>267359</v>
      </c>
      <c r="F390" s="87" t="s">
        <v>370</v>
      </c>
      <c r="G390" s="86">
        <v>3</v>
      </c>
      <c r="H390" s="86">
        <v>2017</v>
      </c>
      <c r="I390" s="197">
        <v>105007</v>
      </c>
      <c r="J390" s="87" t="s">
        <v>370</v>
      </c>
      <c r="K390" s="86">
        <v>3</v>
      </c>
      <c r="L390" s="86">
        <v>2018</v>
      </c>
      <c r="M390" s="197">
        <v>78733</v>
      </c>
      <c r="N390" s="87" t="s">
        <v>370</v>
      </c>
      <c r="O390" s="86">
        <v>3</v>
      </c>
      <c r="P390" s="86">
        <v>2020</v>
      </c>
      <c r="Q390" s="197">
        <v>95486</v>
      </c>
      <c r="R390" s="87" t="s">
        <v>370</v>
      </c>
      <c r="S390" s="86">
        <v>3</v>
      </c>
      <c r="T390" s="86">
        <v>2021</v>
      </c>
      <c r="U390" s="197">
        <v>130330</v>
      </c>
      <c r="V390" s="87" t="s">
        <v>370</v>
      </c>
      <c r="W390" s="86"/>
      <c r="X390" s="86"/>
      <c r="Y390" s="197"/>
      <c r="Z390" s="87" t="s">
        <v>370</v>
      </c>
      <c r="AA390" s="86"/>
      <c r="AB390" s="86"/>
      <c r="AC390" s="197"/>
    </row>
    <row r="391" spans="1:29" x14ac:dyDescent="0.25">
      <c r="A391" s="85" t="s">
        <v>353</v>
      </c>
      <c r="B391" s="85">
        <v>1235264219</v>
      </c>
      <c r="C391" s="86">
        <v>3</v>
      </c>
      <c r="D391" s="86">
        <v>2016</v>
      </c>
      <c r="E391" s="197">
        <v>227903</v>
      </c>
      <c r="F391" s="87" t="s">
        <v>370</v>
      </c>
      <c r="G391" s="86">
        <v>3</v>
      </c>
      <c r="H391" s="86">
        <v>2017</v>
      </c>
      <c r="I391" s="197">
        <v>145608</v>
      </c>
      <c r="J391" s="87" t="s">
        <v>370</v>
      </c>
      <c r="K391" s="86">
        <v>3</v>
      </c>
      <c r="L391" s="86">
        <v>2018</v>
      </c>
      <c r="M391" s="197">
        <v>98790</v>
      </c>
      <c r="N391" s="87" t="s">
        <v>370</v>
      </c>
      <c r="O391" s="86">
        <v>3</v>
      </c>
      <c r="P391" s="86">
        <v>2019</v>
      </c>
      <c r="Q391" s="197">
        <v>618173</v>
      </c>
      <c r="R391" s="87" t="s">
        <v>370</v>
      </c>
      <c r="S391" s="86">
        <v>3</v>
      </c>
      <c r="T391" s="86">
        <v>2020</v>
      </c>
      <c r="U391" s="197">
        <v>89068</v>
      </c>
      <c r="V391" s="87" t="s">
        <v>370</v>
      </c>
      <c r="W391" s="86">
        <v>3</v>
      </c>
      <c r="X391" s="86">
        <v>2021</v>
      </c>
      <c r="Y391" s="197">
        <v>115553</v>
      </c>
      <c r="Z391" s="87" t="s">
        <v>370</v>
      </c>
      <c r="AA391" s="86">
        <v>3</v>
      </c>
      <c r="AB391" s="86">
        <v>2022</v>
      </c>
      <c r="AC391" s="197">
        <v>169380</v>
      </c>
    </row>
    <row r="392" spans="1:29" x14ac:dyDescent="0.25">
      <c r="A392" s="88" t="s">
        <v>354</v>
      </c>
      <c r="B392" s="85">
        <v>1366577355</v>
      </c>
      <c r="C392" s="86">
        <v>3</v>
      </c>
      <c r="D392" s="86">
        <v>2016</v>
      </c>
      <c r="E392" s="197">
        <v>293981</v>
      </c>
      <c r="F392" s="87" t="s">
        <v>370</v>
      </c>
      <c r="G392" s="86">
        <v>3</v>
      </c>
      <c r="H392" s="86">
        <v>2017</v>
      </c>
      <c r="I392" s="197">
        <v>276094</v>
      </c>
      <c r="J392" s="87" t="s">
        <v>370</v>
      </c>
      <c r="K392" s="86">
        <v>3</v>
      </c>
      <c r="L392" s="86">
        <v>2018</v>
      </c>
      <c r="M392" s="197">
        <v>376835</v>
      </c>
      <c r="N392" s="87" t="s">
        <v>370</v>
      </c>
      <c r="O392" s="86">
        <v>3</v>
      </c>
      <c r="P392" s="86">
        <v>2019</v>
      </c>
      <c r="Q392" s="197">
        <v>147186</v>
      </c>
      <c r="R392" s="87" t="s">
        <v>370</v>
      </c>
      <c r="S392" s="86">
        <v>3</v>
      </c>
      <c r="T392" s="86">
        <v>2020</v>
      </c>
      <c r="U392" s="197">
        <v>176431</v>
      </c>
      <c r="V392" s="87" t="s">
        <v>370</v>
      </c>
      <c r="W392" s="86">
        <v>3</v>
      </c>
      <c r="X392" s="86">
        <v>2021</v>
      </c>
      <c r="Y392" s="197">
        <v>238626</v>
      </c>
      <c r="Z392" s="87" t="s">
        <v>370</v>
      </c>
      <c r="AA392" s="86">
        <v>3</v>
      </c>
      <c r="AB392" s="86">
        <v>2022</v>
      </c>
      <c r="AC392" s="197">
        <v>311631</v>
      </c>
    </row>
    <row r="393" spans="1:29" x14ac:dyDescent="0.25">
      <c r="A393" s="88" t="s">
        <v>355</v>
      </c>
      <c r="B393" s="85">
        <v>1033244090</v>
      </c>
      <c r="C393" s="86">
        <v>3</v>
      </c>
      <c r="D393" s="86">
        <v>2016</v>
      </c>
      <c r="E393" s="197">
        <v>129521</v>
      </c>
      <c r="F393" s="87" t="s">
        <v>370</v>
      </c>
      <c r="G393" s="86">
        <v>3</v>
      </c>
      <c r="H393" s="86">
        <v>2017</v>
      </c>
      <c r="I393" s="197">
        <v>195624</v>
      </c>
      <c r="J393" s="87" t="s">
        <v>370</v>
      </c>
      <c r="K393" s="86">
        <v>3</v>
      </c>
      <c r="L393" s="86">
        <v>2018</v>
      </c>
      <c r="M393" s="197">
        <v>227969</v>
      </c>
      <c r="N393" s="87" t="s">
        <v>370</v>
      </c>
      <c r="O393" s="86">
        <v>3</v>
      </c>
      <c r="P393" s="86">
        <v>2019</v>
      </c>
      <c r="Q393" s="197">
        <v>336176</v>
      </c>
      <c r="R393" s="87" t="s">
        <v>370</v>
      </c>
      <c r="S393" s="86">
        <v>3</v>
      </c>
      <c r="T393" s="86">
        <v>2020</v>
      </c>
      <c r="U393" s="197">
        <v>172774</v>
      </c>
      <c r="V393" s="87" t="s">
        <v>370</v>
      </c>
      <c r="W393" s="86">
        <v>3</v>
      </c>
      <c r="X393" s="86">
        <v>2021</v>
      </c>
      <c r="Y393" s="197">
        <v>260286</v>
      </c>
      <c r="Z393" s="87" t="s">
        <v>370</v>
      </c>
      <c r="AA393" s="86">
        <v>3</v>
      </c>
      <c r="AB393" s="86">
        <v>2022</v>
      </c>
      <c r="AC393" s="197">
        <v>274889</v>
      </c>
    </row>
    <row r="394" spans="1:29" x14ac:dyDescent="0.25">
      <c r="A394" s="88" t="s">
        <v>356</v>
      </c>
      <c r="B394" s="85">
        <v>1770618720</v>
      </c>
      <c r="C394" s="86">
        <v>3</v>
      </c>
      <c r="D394" s="86">
        <v>2016</v>
      </c>
      <c r="E394" s="197">
        <v>741898</v>
      </c>
      <c r="F394" s="87" t="s">
        <v>370</v>
      </c>
      <c r="G394" s="86">
        <v>3</v>
      </c>
      <c r="H394" s="86">
        <v>2017</v>
      </c>
      <c r="I394" s="197">
        <v>148076</v>
      </c>
      <c r="J394" s="87" t="s">
        <v>370</v>
      </c>
      <c r="K394" s="86">
        <v>3</v>
      </c>
      <c r="L394" s="86">
        <v>2018</v>
      </c>
      <c r="M394" s="197">
        <v>83512</v>
      </c>
      <c r="N394" s="87" t="s">
        <v>370</v>
      </c>
      <c r="O394" s="86">
        <v>3</v>
      </c>
      <c r="P394" s="86">
        <v>2020</v>
      </c>
      <c r="Q394" s="197">
        <v>87099</v>
      </c>
      <c r="R394" s="87" t="s">
        <v>370</v>
      </c>
      <c r="S394" s="86">
        <v>3</v>
      </c>
      <c r="T394" s="86">
        <v>2021</v>
      </c>
      <c r="U394" s="197">
        <v>108218</v>
      </c>
      <c r="V394" s="87" t="s">
        <v>370</v>
      </c>
      <c r="W394" s="86">
        <v>3</v>
      </c>
      <c r="X394" s="86">
        <v>2022</v>
      </c>
      <c r="Y394" s="197">
        <v>336783</v>
      </c>
      <c r="Z394" s="87" t="s">
        <v>370</v>
      </c>
      <c r="AA394" s="86"/>
      <c r="AB394" s="86"/>
      <c r="AC394" s="197"/>
    </row>
    <row r="395" spans="1:29" x14ac:dyDescent="0.25">
      <c r="A395" s="85" t="s">
        <v>357</v>
      </c>
      <c r="B395" s="85">
        <v>1356476311</v>
      </c>
      <c r="C395" s="86">
        <v>3</v>
      </c>
      <c r="D395" s="86">
        <v>2016</v>
      </c>
      <c r="E395" s="197">
        <v>289885</v>
      </c>
      <c r="F395" s="87" t="s">
        <v>370</v>
      </c>
      <c r="G395" s="86">
        <v>3</v>
      </c>
      <c r="H395" s="86">
        <v>2017</v>
      </c>
      <c r="I395" s="197">
        <v>141051</v>
      </c>
      <c r="J395" s="87" t="s">
        <v>370</v>
      </c>
      <c r="K395" s="86">
        <v>3</v>
      </c>
      <c r="L395" s="86">
        <v>2018</v>
      </c>
      <c r="M395" s="197">
        <v>68079</v>
      </c>
      <c r="N395" s="87" t="s">
        <v>370</v>
      </c>
      <c r="O395" s="86">
        <v>3</v>
      </c>
      <c r="P395" s="86">
        <v>2019</v>
      </c>
      <c r="Q395" s="197">
        <v>62539</v>
      </c>
      <c r="R395" s="87" t="s">
        <v>370</v>
      </c>
      <c r="S395" s="86">
        <v>3</v>
      </c>
      <c r="T395" s="86">
        <v>2020</v>
      </c>
      <c r="U395" s="197">
        <v>111192</v>
      </c>
      <c r="V395" s="87" t="s">
        <v>370</v>
      </c>
      <c r="W395" s="86">
        <v>3</v>
      </c>
      <c r="X395" s="86">
        <v>2021</v>
      </c>
      <c r="Y395" s="197">
        <v>735855</v>
      </c>
      <c r="Z395" s="87" t="s">
        <v>370</v>
      </c>
      <c r="AA395" s="86">
        <v>3</v>
      </c>
      <c r="AB395" s="86">
        <v>2022</v>
      </c>
      <c r="AC395" s="197">
        <v>128910</v>
      </c>
    </row>
    <row r="396" spans="1:29" x14ac:dyDescent="0.25">
      <c r="A396" s="88" t="s">
        <v>536</v>
      </c>
      <c r="B396" s="85">
        <v>1124342241</v>
      </c>
      <c r="C396" s="86">
        <v>3</v>
      </c>
      <c r="D396" s="86">
        <v>2016</v>
      </c>
      <c r="E396" s="197">
        <v>64105</v>
      </c>
      <c r="F396" s="87" t="s">
        <v>370</v>
      </c>
      <c r="G396" s="86">
        <v>3</v>
      </c>
      <c r="H396" s="86">
        <v>2018</v>
      </c>
      <c r="I396" s="197">
        <v>98930</v>
      </c>
      <c r="J396" s="87" t="s">
        <v>370</v>
      </c>
      <c r="K396" s="86">
        <v>3</v>
      </c>
      <c r="L396" s="86">
        <v>2019</v>
      </c>
      <c r="M396" s="197">
        <v>89527</v>
      </c>
      <c r="N396" s="87" t="s">
        <v>370</v>
      </c>
      <c r="O396" s="86">
        <v>3</v>
      </c>
      <c r="P396" s="86">
        <v>2020</v>
      </c>
      <c r="Q396" s="197">
        <v>80651</v>
      </c>
      <c r="R396" s="87" t="s">
        <v>370</v>
      </c>
      <c r="S396" s="86">
        <v>3</v>
      </c>
      <c r="T396" s="86">
        <v>2021</v>
      </c>
      <c r="U396" s="197">
        <v>119719</v>
      </c>
      <c r="V396" s="87" t="s">
        <v>370</v>
      </c>
      <c r="W396" s="86">
        <v>3</v>
      </c>
      <c r="X396" s="86">
        <v>2022</v>
      </c>
      <c r="Y396" s="197">
        <v>152061</v>
      </c>
      <c r="Z396" s="87" t="s">
        <v>370</v>
      </c>
      <c r="AA396" s="86"/>
      <c r="AB396" s="86"/>
      <c r="AC396" s="197"/>
    </row>
    <row r="397" spans="1:29" x14ac:dyDescent="0.25">
      <c r="A397" s="88" t="s">
        <v>537</v>
      </c>
      <c r="B397" s="85">
        <v>1548230188</v>
      </c>
      <c r="C397" s="86"/>
      <c r="D397" s="86"/>
      <c r="E397" s="197"/>
      <c r="F397" s="87" t="s">
        <v>370</v>
      </c>
      <c r="G397" s="86"/>
      <c r="H397" s="86"/>
      <c r="I397" s="197"/>
      <c r="J397" s="87" t="s">
        <v>370</v>
      </c>
      <c r="K397" s="86"/>
      <c r="L397" s="86"/>
      <c r="M397" s="197"/>
      <c r="N397" s="87" t="s">
        <v>370</v>
      </c>
      <c r="O397" s="86"/>
      <c r="P397" s="86"/>
      <c r="Q397" s="197"/>
      <c r="R397" s="87" t="s">
        <v>370</v>
      </c>
      <c r="S397" s="86"/>
      <c r="T397" s="86"/>
      <c r="U397" s="197"/>
      <c r="V397" s="87" t="s">
        <v>370</v>
      </c>
      <c r="W397" s="86"/>
      <c r="X397" s="86"/>
      <c r="Y397" s="197"/>
      <c r="Z397" s="87" t="s">
        <v>370</v>
      </c>
      <c r="AA397" s="86"/>
      <c r="AB397" s="86"/>
      <c r="AC397" s="197"/>
    </row>
    <row r="398" spans="1:29" x14ac:dyDescent="0.25">
      <c r="A398" s="88" t="s">
        <v>358</v>
      </c>
      <c r="B398" s="85">
        <v>1528606225</v>
      </c>
      <c r="C398" s="86">
        <v>3</v>
      </c>
      <c r="D398" s="86">
        <v>2016</v>
      </c>
      <c r="E398" s="197">
        <v>157077</v>
      </c>
      <c r="F398" s="87" t="s">
        <v>370</v>
      </c>
      <c r="G398" s="86">
        <v>3</v>
      </c>
      <c r="H398" s="86">
        <v>2020</v>
      </c>
      <c r="I398" s="197">
        <v>114755</v>
      </c>
      <c r="J398" s="87" t="s">
        <v>370</v>
      </c>
      <c r="K398" s="86">
        <v>3</v>
      </c>
      <c r="L398" s="86">
        <v>2021</v>
      </c>
      <c r="M398" s="197">
        <v>67622</v>
      </c>
      <c r="N398" s="87" t="s">
        <v>370</v>
      </c>
      <c r="O398" s="86">
        <v>3</v>
      </c>
      <c r="P398" s="86">
        <v>2022</v>
      </c>
      <c r="Q398" s="197">
        <v>283119</v>
      </c>
      <c r="R398" s="87" t="s">
        <v>370</v>
      </c>
      <c r="S398" s="86"/>
      <c r="T398" s="86"/>
      <c r="U398" s="197"/>
      <c r="V398" s="87" t="s">
        <v>370</v>
      </c>
      <c r="W398" s="86"/>
      <c r="X398" s="86"/>
      <c r="Y398" s="197"/>
      <c r="Z398" s="87" t="s">
        <v>370</v>
      </c>
      <c r="AA398" s="86"/>
      <c r="AB398" s="86"/>
      <c r="AC398" s="197"/>
    </row>
    <row r="399" spans="1:29" x14ac:dyDescent="0.25">
      <c r="A399" s="85" t="s">
        <v>538</v>
      </c>
      <c r="B399" s="85">
        <v>1508802497</v>
      </c>
      <c r="C399" s="86"/>
      <c r="D399" s="86"/>
      <c r="E399" s="197"/>
      <c r="F399" s="87" t="s">
        <v>370</v>
      </c>
      <c r="G399" s="86"/>
      <c r="H399" s="86"/>
      <c r="I399" s="197"/>
      <c r="J399" s="87" t="s">
        <v>370</v>
      </c>
      <c r="K399" s="86"/>
      <c r="L399" s="86"/>
      <c r="M399" s="197"/>
      <c r="N399" s="87" t="s">
        <v>370</v>
      </c>
      <c r="O399" s="86"/>
      <c r="P399" s="86"/>
      <c r="Q399" s="197"/>
      <c r="R399" s="87" t="s">
        <v>370</v>
      </c>
      <c r="S399" s="86"/>
      <c r="T399" s="86"/>
      <c r="U399" s="197"/>
      <c r="V399" s="87" t="s">
        <v>370</v>
      </c>
      <c r="W399" s="86"/>
      <c r="X399" s="86"/>
      <c r="Y399" s="197"/>
      <c r="Z399" s="87" t="s">
        <v>370</v>
      </c>
      <c r="AA399" s="86"/>
      <c r="AB399" s="86"/>
      <c r="AC399" s="197"/>
    </row>
    <row r="400" spans="1:29" x14ac:dyDescent="0.25">
      <c r="A400" s="85" t="s">
        <v>359</v>
      </c>
      <c r="B400" s="85">
        <v>1629425491</v>
      </c>
      <c r="C400" s="86">
        <v>1</v>
      </c>
      <c r="D400" s="86">
        <v>2019</v>
      </c>
      <c r="E400" s="197">
        <v>-14</v>
      </c>
      <c r="F400" s="87" t="s">
        <v>370</v>
      </c>
      <c r="G400" s="86"/>
      <c r="H400" s="86"/>
      <c r="I400" s="197"/>
      <c r="J400" s="87" t="s">
        <v>370</v>
      </c>
      <c r="K400" s="86"/>
      <c r="L400" s="86"/>
      <c r="M400" s="197"/>
      <c r="N400" s="87" t="s">
        <v>370</v>
      </c>
      <c r="O400" s="86"/>
      <c r="P400" s="86"/>
      <c r="Q400" s="197"/>
      <c r="R400" s="87" t="s">
        <v>370</v>
      </c>
      <c r="S400" s="86"/>
      <c r="T400" s="86"/>
      <c r="U400" s="197"/>
      <c r="V400" s="87" t="s">
        <v>370</v>
      </c>
      <c r="W400" s="86"/>
      <c r="X400" s="86"/>
      <c r="Y400" s="197"/>
      <c r="Z400" s="87" t="s">
        <v>370</v>
      </c>
      <c r="AA400" s="86"/>
      <c r="AB400" s="86"/>
      <c r="AC400" s="197"/>
    </row>
    <row r="401" spans="1:29" x14ac:dyDescent="0.25">
      <c r="A401" s="85" t="s">
        <v>360</v>
      </c>
      <c r="B401" s="85">
        <v>1629016340</v>
      </c>
      <c r="C401" s="86">
        <v>3</v>
      </c>
      <c r="D401" s="86">
        <v>2017</v>
      </c>
      <c r="E401" s="197">
        <v>44210</v>
      </c>
      <c r="F401" s="87" t="s">
        <v>370</v>
      </c>
      <c r="G401" s="86">
        <v>3</v>
      </c>
      <c r="H401" s="86">
        <v>2021</v>
      </c>
      <c r="I401" s="197">
        <v>51375</v>
      </c>
      <c r="J401" s="87" t="s">
        <v>370</v>
      </c>
      <c r="K401" s="86"/>
      <c r="L401" s="86"/>
      <c r="M401" s="197"/>
      <c r="N401" s="87" t="s">
        <v>370</v>
      </c>
      <c r="O401" s="86"/>
      <c r="P401" s="86"/>
      <c r="Q401" s="197"/>
      <c r="R401" s="87" t="s">
        <v>370</v>
      </c>
      <c r="S401" s="86"/>
      <c r="T401" s="86"/>
      <c r="U401" s="197"/>
      <c r="V401" s="87" t="s">
        <v>370</v>
      </c>
      <c r="W401" s="86"/>
      <c r="X401" s="86"/>
      <c r="Y401" s="197"/>
      <c r="Z401" s="87" t="s">
        <v>370</v>
      </c>
      <c r="AA401" s="86"/>
      <c r="AB401" s="86"/>
      <c r="AC401" s="197"/>
    </row>
    <row r="402" spans="1:29" x14ac:dyDescent="0.25">
      <c r="A402" s="85" t="s">
        <v>361</v>
      </c>
      <c r="B402" s="85">
        <v>1215979059</v>
      </c>
      <c r="C402" s="86">
        <v>3</v>
      </c>
      <c r="D402" s="86">
        <v>2016</v>
      </c>
      <c r="E402" s="197">
        <v>487980</v>
      </c>
      <c r="F402" s="87" t="s">
        <v>370</v>
      </c>
      <c r="G402" s="86">
        <v>3</v>
      </c>
      <c r="H402" s="86">
        <v>2018</v>
      </c>
      <c r="I402" s="197">
        <v>113861</v>
      </c>
      <c r="J402" s="87" t="s">
        <v>370</v>
      </c>
      <c r="K402" s="86">
        <v>3</v>
      </c>
      <c r="L402" s="86">
        <v>2020</v>
      </c>
      <c r="M402" s="197">
        <v>102873</v>
      </c>
      <c r="N402" s="87" t="s">
        <v>370</v>
      </c>
      <c r="O402" s="86">
        <v>3</v>
      </c>
      <c r="P402" s="86">
        <v>2021</v>
      </c>
      <c r="Q402" s="197">
        <v>51890</v>
      </c>
      <c r="R402" s="87" t="s">
        <v>370</v>
      </c>
      <c r="S402" s="86"/>
      <c r="T402" s="86"/>
      <c r="U402" s="197"/>
      <c r="V402" s="87" t="s">
        <v>370</v>
      </c>
      <c r="W402" s="86"/>
      <c r="X402" s="86"/>
      <c r="Y402" s="197"/>
      <c r="Z402" s="87" t="s">
        <v>370</v>
      </c>
      <c r="AA402" s="86"/>
      <c r="AB402" s="86"/>
      <c r="AC402" s="197"/>
    </row>
    <row r="403" spans="1:29" x14ac:dyDescent="0.25">
      <c r="A403" s="85" t="s">
        <v>771</v>
      </c>
      <c r="B403" s="85">
        <v>1639299571</v>
      </c>
      <c r="C403" s="86">
        <v>3</v>
      </c>
      <c r="D403" s="86">
        <v>2016</v>
      </c>
      <c r="E403" s="197">
        <v>146870</v>
      </c>
      <c r="F403" s="87" t="s">
        <v>370</v>
      </c>
      <c r="G403" s="86">
        <v>3</v>
      </c>
      <c r="H403" s="86">
        <v>2017</v>
      </c>
      <c r="I403" s="197">
        <v>82593.22</v>
      </c>
      <c r="J403" s="87" t="s">
        <v>370</v>
      </c>
      <c r="K403" s="86">
        <v>3</v>
      </c>
      <c r="L403" s="86">
        <v>2020</v>
      </c>
      <c r="M403" s="197">
        <v>227234</v>
      </c>
      <c r="N403" s="87" t="s">
        <v>370</v>
      </c>
      <c r="O403" s="86">
        <v>3</v>
      </c>
      <c r="P403" s="86">
        <v>2021</v>
      </c>
      <c r="Q403" s="197">
        <v>228983</v>
      </c>
      <c r="R403" s="87" t="s">
        <v>370</v>
      </c>
      <c r="S403" s="86"/>
      <c r="T403" s="86"/>
      <c r="U403" s="197"/>
      <c r="V403" s="87" t="s">
        <v>370</v>
      </c>
      <c r="W403" s="86"/>
      <c r="X403" s="86"/>
      <c r="Y403" s="197"/>
      <c r="Z403" s="87" t="s">
        <v>370</v>
      </c>
      <c r="AA403" s="86"/>
      <c r="AB403" s="86"/>
      <c r="AC403" s="197"/>
    </row>
    <row r="404" spans="1:29" x14ac:dyDescent="0.25">
      <c r="A404" s="85" t="s">
        <v>539</v>
      </c>
      <c r="B404" s="85">
        <v>1700812146</v>
      </c>
      <c r="C404" s="86"/>
      <c r="D404" s="86"/>
      <c r="E404" s="197"/>
      <c r="F404" s="87" t="s">
        <v>370</v>
      </c>
      <c r="G404" s="86"/>
      <c r="H404" s="86"/>
      <c r="I404" s="197"/>
      <c r="J404" s="87" t="s">
        <v>370</v>
      </c>
      <c r="K404" s="86"/>
      <c r="L404" s="86"/>
      <c r="M404" s="197"/>
      <c r="N404" s="87" t="s">
        <v>370</v>
      </c>
      <c r="O404" s="86"/>
      <c r="P404" s="86"/>
      <c r="Q404" s="197"/>
      <c r="R404" s="87" t="s">
        <v>370</v>
      </c>
      <c r="S404" s="86"/>
      <c r="T404" s="86"/>
      <c r="U404" s="197"/>
      <c r="V404" s="87" t="s">
        <v>370</v>
      </c>
      <c r="W404" s="86"/>
      <c r="X404" s="86"/>
      <c r="Y404" s="197"/>
      <c r="Z404" s="87" t="s">
        <v>370</v>
      </c>
      <c r="AA404" s="86"/>
      <c r="AB404" s="86"/>
      <c r="AC404" s="197"/>
    </row>
    <row r="405" spans="1:29" x14ac:dyDescent="0.25">
      <c r="A405" s="97" t="s">
        <v>540</v>
      </c>
      <c r="B405" s="85">
        <v>1750703278</v>
      </c>
      <c r="C405" s="86"/>
      <c r="D405" s="86"/>
      <c r="E405" s="197"/>
      <c r="F405" s="87" t="s">
        <v>370</v>
      </c>
      <c r="G405" s="86"/>
      <c r="H405" s="86"/>
      <c r="I405" s="197"/>
      <c r="J405" s="87" t="s">
        <v>370</v>
      </c>
      <c r="K405" s="86"/>
      <c r="L405" s="86"/>
      <c r="M405" s="197"/>
      <c r="N405" s="87" t="s">
        <v>370</v>
      </c>
      <c r="O405" s="86"/>
      <c r="P405" s="86"/>
      <c r="Q405" s="197"/>
      <c r="R405" s="87" t="s">
        <v>370</v>
      </c>
      <c r="S405" s="86"/>
      <c r="T405" s="86"/>
      <c r="U405" s="197"/>
      <c r="V405" s="87" t="s">
        <v>370</v>
      </c>
      <c r="W405" s="86"/>
      <c r="X405" s="86"/>
      <c r="Y405" s="197"/>
      <c r="Z405" s="87" t="s">
        <v>370</v>
      </c>
      <c r="AA405" s="86"/>
      <c r="AB405" s="86"/>
      <c r="AC405" s="197"/>
    </row>
    <row r="406" spans="1:29" x14ac:dyDescent="0.25">
      <c r="A406" s="85" t="s">
        <v>362</v>
      </c>
      <c r="B406" s="85">
        <v>1992793962</v>
      </c>
      <c r="C406" s="86"/>
      <c r="D406" s="86"/>
      <c r="E406" s="197"/>
      <c r="F406" s="87" t="s">
        <v>370</v>
      </c>
      <c r="G406" s="86"/>
      <c r="H406" s="86"/>
      <c r="I406" s="197"/>
      <c r="J406" s="87" t="s">
        <v>370</v>
      </c>
      <c r="K406" s="86"/>
      <c r="L406" s="86"/>
      <c r="M406" s="197"/>
      <c r="N406" s="87" t="s">
        <v>370</v>
      </c>
      <c r="O406" s="86"/>
      <c r="P406" s="86"/>
      <c r="Q406" s="197"/>
      <c r="R406" s="87" t="s">
        <v>370</v>
      </c>
      <c r="S406" s="86"/>
      <c r="T406" s="86"/>
      <c r="U406" s="197"/>
      <c r="V406" s="87" t="s">
        <v>370</v>
      </c>
      <c r="W406" s="86"/>
      <c r="X406" s="86"/>
      <c r="Y406" s="197"/>
      <c r="Z406" s="87" t="s">
        <v>370</v>
      </c>
      <c r="AA406" s="86"/>
      <c r="AB406" s="86"/>
      <c r="AC406" s="197"/>
    </row>
    <row r="407" spans="1:29" x14ac:dyDescent="0.25">
      <c r="A407" s="85" t="s">
        <v>541</v>
      </c>
      <c r="B407" s="85">
        <v>1528040888</v>
      </c>
      <c r="C407" s="86"/>
      <c r="D407" s="86"/>
      <c r="E407" s="197"/>
      <c r="F407" s="87" t="s">
        <v>370</v>
      </c>
      <c r="G407" s="86"/>
      <c r="H407" s="86"/>
      <c r="I407" s="197"/>
      <c r="J407" s="87" t="s">
        <v>370</v>
      </c>
      <c r="K407" s="86"/>
      <c r="L407" s="86"/>
      <c r="M407" s="197"/>
      <c r="N407" s="87" t="s">
        <v>370</v>
      </c>
      <c r="O407" s="86"/>
      <c r="P407" s="86"/>
      <c r="Q407" s="197"/>
      <c r="R407" s="87" t="s">
        <v>370</v>
      </c>
      <c r="S407" s="86"/>
      <c r="T407" s="86"/>
      <c r="U407" s="197"/>
      <c r="V407" s="87" t="s">
        <v>370</v>
      </c>
      <c r="W407" s="86"/>
      <c r="X407" s="86"/>
      <c r="Y407" s="197"/>
      <c r="Z407" s="87" t="s">
        <v>370</v>
      </c>
      <c r="AA407" s="86"/>
      <c r="AB407" s="86"/>
      <c r="AC407" s="197"/>
    </row>
    <row r="408" spans="1:29" x14ac:dyDescent="0.25">
      <c r="A408" s="85" t="s">
        <v>363</v>
      </c>
      <c r="B408" s="85">
        <v>1467016105</v>
      </c>
      <c r="C408" s="86">
        <v>3</v>
      </c>
      <c r="D408" s="86">
        <v>2016</v>
      </c>
      <c r="E408" s="197">
        <v>207936</v>
      </c>
      <c r="F408" s="87" t="s">
        <v>370</v>
      </c>
      <c r="G408" s="86">
        <v>3</v>
      </c>
      <c r="H408" s="86">
        <v>2020</v>
      </c>
      <c r="I408" s="197">
        <v>72587</v>
      </c>
      <c r="J408" s="87" t="s">
        <v>370</v>
      </c>
      <c r="K408" s="86">
        <v>3</v>
      </c>
      <c r="L408" s="86">
        <v>2021</v>
      </c>
      <c r="M408" s="197">
        <v>75474</v>
      </c>
      <c r="N408" s="87" t="s">
        <v>370</v>
      </c>
      <c r="O408" s="86"/>
      <c r="P408" s="86"/>
      <c r="Q408" s="197"/>
      <c r="R408" s="87" t="s">
        <v>370</v>
      </c>
      <c r="S408" s="86"/>
      <c r="T408" s="86"/>
      <c r="U408" s="197"/>
      <c r="V408" s="87" t="s">
        <v>370</v>
      </c>
      <c r="W408" s="86"/>
      <c r="X408" s="86"/>
      <c r="Y408" s="197"/>
      <c r="Z408" s="87" t="s">
        <v>370</v>
      </c>
      <c r="AA408" s="86"/>
      <c r="AB408" s="86"/>
      <c r="AC408" s="197"/>
    </row>
    <row r="409" spans="1:29" x14ac:dyDescent="0.25">
      <c r="A409" s="88" t="s">
        <v>364</v>
      </c>
      <c r="B409" s="85">
        <v>1023481520</v>
      </c>
      <c r="C409" s="86">
        <v>3</v>
      </c>
      <c r="D409" s="86">
        <v>2017</v>
      </c>
      <c r="E409" s="197">
        <v>200382</v>
      </c>
      <c r="F409" s="87" t="s">
        <v>370</v>
      </c>
      <c r="G409" s="86">
        <v>3</v>
      </c>
      <c r="H409" s="86">
        <v>2019</v>
      </c>
      <c r="I409" s="197">
        <v>132537</v>
      </c>
      <c r="J409" s="87" t="s">
        <v>370</v>
      </c>
      <c r="K409" s="86">
        <v>3</v>
      </c>
      <c r="L409" s="86">
        <v>2022</v>
      </c>
      <c r="M409" s="197">
        <v>114362</v>
      </c>
      <c r="N409" s="87" t="s">
        <v>370</v>
      </c>
      <c r="O409" s="86"/>
      <c r="P409" s="86"/>
      <c r="Q409" s="197"/>
      <c r="R409" s="87" t="s">
        <v>370</v>
      </c>
      <c r="S409" s="86"/>
      <c r="T409" s="86"/>
      <c r="U409" s="197"/>
      <c r="V409" s="87" t="s">
        <v>370</v>
      </c>
      <c r="W409" s="86"/>
      <c r="X409" s="86"/>
      <c r="Y409" s="197"/>
      <c r="Z409" s="87" t="s">
        <v>370</v>
      </c>
      <c r="AA409" s="86"/>
      <c r="AB409" s="86"/>
      <c r="AC409" s="197"/>
    </row>
    <row r="410" spans="1:29" x14ac:dyDescent="0.25">
      <c r="A410" s="85" t="s">
        <v>365</v>
      </c>
      <c r="B410" s="85">
        <v>1174178313</v>
      </c>
      <c r="C410" s="86">
        <v>3</v>
      </c>
      <c r="D410" s="86">
        <v>2017</v>
      </c>
      <c r="E410" s="197">
        <v>90445</v>
      </c>
      <c r="F410" s="87" t="s">
        <v>370</v>
      </c>
      <c r="G410" s="86">
        <v>3</v>
      </c>
      <c r="H410" s="86">
        <v>2020</v>
      </c>
      <c r="I410" s="197">
        <v>120628</v>
      </c>
      <c r="J410" s="87" t="s">
        <v>370</v>
      </c>
      <c r="K410" s="86">
        <v>3</v>
      </c>
      <c r="L410" s="86">
        <v>2021</v>
      </c>
      <c r="M410" s="197">
        <v>273686</v>
      </c>
      <c r="N410" s="87" t="s">
        <v>370</v>
      </c>
      <c r="O410" s="86"/>
      <c r="P410" s="86"/>
      <c r="Q410" s="197"/>
      <c r="R410" s="87" t="s">
        <v>370</v>
      </c>
      <c r="S410" s="86"/>
      <c r="T410" s="86"/>
      <c r="U410" s="197"/>
      <c r="V410" s="87" t="s">
        <v>370</v>
      </c>
      <c r="W410" s="86"/>
      <c r="X410" s="86"/>
      <c r="Y410" s="197"/>
      <c r="Z410" s="87" t="s">
        <v>370</v>
      </c>
      <c r="AA410" s="86"/>
      <c r="AB410" s="86"/>
      <c r="AC410" s="197"/>
    </row>
    <row r="411" spans="1:29" x14ac:dyDescent="0.25">
      <c r="A411" s="88" t="s">
        <v>366</v>
      </c>
      <c r="B411" s="85">
        <v>1164848503</v>
      </c>
      <c r="C411" s="86">
        <v>3</v>
      </c>
      <c r="D411" s="86">
        <v>2019</v>
      </c>
      <c r="E411" s="197">
        <v>33631</v>
      </c>
      <c r="F411" s="87" t="s">
        <v>370</v>
      </c>
      <c r="G411" s="86">
        <v>3</v>
      </c>
      <c r="H411" s="86">
        <v>2021</v>
      </c>
      <c r="I411" s="197">
        <v>89329</v>
      </c>
      <c r="J411" s="87" t="s">
        <v>370</v>
      </c>
      <c r="K411" s="86">
        <v>3</v>
      </c>
      <c r="L411" s="86">
        <v>2022</v>
      </c>
      <c r="M411" s="197">
        <v>248388</v>
      </c>
      <c r="N411" s="87" t="s">
        <v>370</v>
      </c>
      <c r="O411" s="86"/>
      <c r="P411" s="86"/>
      <c r="Q411" s="197"/>
      <c r="R411" s="87" t="s">
        <v>370</v>
      </c>
      <c r="S411" s="86"/>
      <c r="T411" s="86"/>
      <c r="U411" s="197"/>
      <c r="V411" s="87" t="s">
        <v>370</v>
      </c>
      <c r="W411" s="86"/>
      <c r="X411" s="86"/>
      <c r="Y411" s="197"/>
      <c r="Z411" s="87" t="s">
        <v>370</v>
      </c>
      <c r="AA411" s="86"/>
      <c r="AB411" s="86"/>
      <c r="AC411" s="19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249977111117893"/>
  </sheetPr>
  <dimension ref="A1:O85"/>
  <sheetViews>
    <sheetView workbookViewId="0">
      <selection activeCell="E25" sqref="E25"/>
    </sheetView>
  </sheetViews>
  <sheetFormatPr defaultRowHeight="13.2" x14ac:dyDescent="0.25"/>
  <cols>
    <col min="1" max="1" width="9.109375"/>
    <col min="2" max="2" width="12.88671875" style="1" bestFit="1" customWidth="1"/>
    <col min="3" max="3" width="10" bestFit="1" customWidth="1"/>
    <col min="5" max="5" width="17.77734375" style="32" bestFit="1" customWidth="1"/>
    <col min="6" max="6" width="11.44140625" style="32" bestFit="1" customWidth="1"/>
    <col min="7" max="7" width="7.6640625" bestFit="1" customWidth="1"/>
    <col min="8" max="8" width="8.21875" bestFit="1" customWidth="1"/>
    <col min="9" max="9" width="7.44140625" bestFit="1" customWidth="1"/>
    <col min="10" max="10" width="10.5546875" bestFit="1" customWidth="1"/>
    <col min="11" max="11" width="7" bestFit="1" customWidth="1"/>
    <col min="12" max="12" width="13.44140625" bestFit="1" customWidth="1"/>
    <col min="14" max="14" width="40.88671875" bestFit="1" customWidth="1"/>
    <col min="15" max="15" width="10" bestFit="1" customWidth="1"/>
  </cols>
  <sheetData>
    <row r="1" spans="1:15" s="2" customFormat="1" x14ac:dyDescent="0.25">
      <c r="A1" s="23" t="s">
        <v>18</v>
      </c>
      <c r="B1" s="24"/>
      <c r="C1" s="40"/>
      <c r="E1" t="s">
        <v>49</v>
      </c>
      <c r="F1" s="32"/>
      <c r="G1"/>
      <c r="H1"/>
      <c r="I1"/>
      <c r="J1"/>
      <c r="K1"/>
      <c r="L1"/>
      <c r="N1" s="32" t="s">
        <v>118</v>
      </c>
      <c r="O1" s="32" t="s">
        <v>119</v>
      </c>
    </row>
    <row r="2" spans="1:15" s="2" customFormat="1" x14ac:dyDescent="0.25">
      <c r="A2" s="25" t="s">
        <v>14</v>
      </c>
      <c r="B2" s="26" t="s">
        <v>0</v>
      </c>
      <c r="C2" s="25" t="s">
        <v>607</v>
      </c>
      <c r="F2" s="39" t="s">
        <v>51</v>
      </c>
      <c r="G2" s="39" t="s">
        <v>50</v>
      </c>
      <c r="H2" s="39" t="s">
        <v>7</v>
      </c>
      <c r="I2" s="39" t="s">
        <v>22</v>
      </c>
      <c r="J2" s="39" t="s">
        <v>1</v>
      </c>
      <c r="K2" s="39" t="s">
        <v>3</v>
      </c>
      <c r="L2" s="39" t="s">
        <v>2</v>
      </c>
      <c r="N2" s="32">
        <v>0</v>
      </c>
      <c r="O2" s="32">
        <v>425</v>
      </c>
    </row>
    <row r="3" spans="1:15" x14ac:dyDescent="0.25">
      <c r="A3" s="27">
        <v>270</v>
      </c>
      <c r="B3" s="28" t="s">
        <v>1</v>
      </c>
      <c r="C3" s="150">
        <v>0.86</v>
      </c>
      <c r="E3">
        <v>2022</v>
      </c>
      <c r="F3" s="148">
        <f t="shared" ref="F3" si="0">+F4/G4*G3</f>
        <v>78065.930742476936</v>
      </c>
      <c r="G3" s="149">
        <v>206.5</v>
      </c>
      <c r="H3" s="149">
        <v>208.7</v>
      </c>
      <c r="I3" s="149">
        <v>207.8</v>
      </c>
      <c r="J3" s="149">
        <v>205.8</v>
      </c>
      <c r="K3" s="149">
        <v>204.8</v>
      </c>
      <c r="L3" s="149">
        <v>205.5</v>
      </c>
      <c r="N3" s="32">
        <v>10</v>
      </c>
      <c r="O3" s="32">
        <v>400</v>
      </c>
    </row>
    <row r="4" spans="1:15" x14ac:dyDescent="0.25">
      <c r="A4" s="27">
        <v>272</v>
      </c>
      <c r="B4" s="28" t="s">
        <v>1</v>
      </c>
      <c r="C4" s="150">
        <v>0.86</v>
      </c>
      <c r="E4">
        <v>2021</v>
      </c>
      <c r="F4" s="38">
        <f t="shared" ref="F4:F17" si="1">+F5/G5*G4</f>
        <v>77158.626946922726</v>
      </c>
      <c r="G4" s="45">
        <v>204.1</v>
      </c>
      <c r="H4" s="45">
        <v>207.5</v>
      </c>
      <c r="I4" s="45">
        <v>205.2</v>
      </c>
      <c r="J4" s="45">
        <v>203.1</v>
      </c>
      <c r="K4" s="45">
        <v>201.8</v>
      </c>
      <c r="L4" s="45">
        <v>202.8</v>
      </c>
      <c r="N4" s="32">
        <v>20</v>
      </c>
      <c r="O4" s="32">
        <v>375</v>
      </c>
    </row>
    <row r="5" spans="1:15" x14ac:dyDescent="0.25">
      <c r="A5" s="27">
        <v>273</v>
      </c>
      <c r="B5" s="28" t="s">
        <v>1</v>
      </c>
      <c r="C5" s="150">
        <v>0.86</v>
      </c>
      <c r="E5">
        <v>2020</v>
      </c>
      <c r="F5" s="38">
        <f t="shared" si="1"/>
        <v>75699.380009073036</v>
      </c>
      <c r="G5" s="45">
        <v>200.24</v>
      </c>
      <c r="H5" s="45">
        <v>203.6</v>
      </c>
      <c r="I5" s="45">
        <v>201.3</v>
      </c>
      <c r="J5" s="45">
        <v>199.3</v>
      </c>
      <c r="K5" s="45">
        <v>198</v>
      </c>
      <c r="L5" s="45">
        <v>199</v>
      </c>
      <c r="N5" s="32">
        <v>25</v>
      </c>
      <c r="O5" s="32">
        <v>350</v>
      </c>
    </row>
    <row r="6" spans="1:15" x14ac:dyDescent="0.25">
      <c r="A6" s="27">
        <v>274</v>
      </c>
      <c r="B6" s="28" t="s">
        <v>1</v>
      </c>
      <c r="C6" s="150">
        <v>0.86</v>
      </c>
      <c r="E6">
        <v>2019</v>
      </c>
      <c r="F6" s="38">
        <f t="shared" si="1"/>
        <v>71291.395735672151</v>
      </c>
      <c r="G6" s="45">
        <v>188.57999999999998</v>
      </c>
      <c r="H6" s="45">
        <v>187.3</v>
      </c>
      <c r="I6" s="45">
        <v>191.1</v>
      </c>
      <c r="J6" s="45">
        <v>189.1</v>
      </c>
      <c r="K6" s="45">
        <v>186.8</v>
      </c>
      <c r="L6" s="45">
        <v>188.6</v>
      </c>
      <c r="N6" s="32">
        <v>30</v>
      </c>
      <c r="O6" s="32">
        <v>325</v>
      </c>
    </row>
    <row r="7" spans="1:15" x14ac:dyDescent="0.25">
      <c r="A7" s="27">
        <v>271</v>
      </c>
      <c r="B7" s="29" t="s">
        <v>2</v>
      </c>
      <c r="C7" s="150">
        <v>0.86</v>
      </c>
      <c r="E7">
        <v>2018</v>
      </c>
      <c r="F7" s="38">
        <f t="shared" si="1"/>
        <v>69945.561772266738</v>
      </c>
      <c r="G7" s="45">
        <v>185.01999999999998</v>
      </c>
      <c r="H7" s="45">
        <v>183.8</v>
      </c>
      <c r="I7" s="45">
        <v>187.5</v>
      </c>
      <c r="J7" s="45">
        <v>185.5</v>
      </c>
      <c r="K7" s="45">
        <v>183.3</v>
      </c>
      <c r="L7" s="45">
        <v>185</v>
      </c>
    </row>
    <row r="8" spans="1:15" x14ac:dyDescent="0.25">
      <c r="A8" s="27">
        <v>275</v>
      </c>
      <c r="B8" s="29" t="s">
        <v>3</v>
      </c>
      <c r="C8" s="150">
        <v>0.86</v>
      </c>
      <c r="E8">
        <v>2017</v>
      </c>
      <c r="F8" s="38">
        <f t="shared" si="1"/>
        <v>67238.77211553001</v>
      </c>
      <c r="G8" s="45">
        <v>177.85999999999999</v>
      </c>
      <c r="H8" s="45">
        <v>177</v>
      </c>
      <c r="I8" s="45">
        <v>180.3</v>
      </c>
      <c r="J8" s="45">
        <v>178.2</v>
      </c>
      <c r="K8" s="45">
        <v>175.8</v>
      </c>
      <c r="L8" s="45">
        <v>178</v>
      </c>
      <c r="N8" s="32" t="s">
        <v>612</v>
      </c>
      <c r="O8" s="149">
        <v>256.13</v>
      </c>
    </row>
    <row r="9" spans="1:15" x14ac:dyDescent="0.25">
      <c r="A9" s="27">
        <v>276</v>
      </c>
      <c r="B9" s="29" t="s">
        <v>3</v>
      </c>
      <c r="C9" s="150">
        <v>0.86</v>
      </c>
      <c r="E9">
        <v>2016</v>
      </c>
      <c r="F9" s="38">
        <f t="shared" si="1"/>
        <v>67790.715257825505</v>
      </c>
      <c r="G9" s="45">
        <v>179.32000000000002</v>
      </c>
      <c r="H9" s="45">
        <v>180.6</v>
      </c>
      <c r="I9" s="45">
        <v>182</v>
      </c>
      <c r="J9" s="45">
        <v>179.8</v>
      </c>
      <c r="K9" s="45">
        <v>174.6</v>
      </c>
      <c r="L9" s="45">
        <v>179.6</v>
      </c>
    </row>
    <row r="10" spans="1:15" x14ac:dyDescent="0.25">
      <c r="A10" s="27">
        <v>277</v>
      </c>
      <c r="B10" s="29" t="s">
        <v>22</v>
      </c>
      <c r="C10" s="150">
        <v>0.87</v>
      </c>
      <c r="E10">
        <v>2015</v>
      </c>
      <c r="F10" s="38">
        <f t="shared" si="1"/>
        <v>64577.347648570998</v>
      </c>
      <c r="G10" s="45">
        <v>170.82</v>
      </c>
      <c r="H10" s="45">
        <v>173.1</v>
      </c>
      <c r="I10" s="45">
        <v>172.3</v>
      </c>
      <c r="J10" s="45">
        <v>170.5</v>
      </c>
      <c r="K10" s="45">
        <v>167.6</v>
      </c>
      <c r="L10" s="45">
        <v>170.6</v>
      </c>
    </row>
    <row r="11" spans="1:15" x14ac:dyDescent="0.25">
      <c r="A11" s="27">
        <v>278</v>
      </c>
      <c r="B11" s="29" t="s">
        <v>4</v>
      </c>
      <c r="C11" s="150">
        <v>0.84</v>
      </c>
      <c r="E11">
        <v>2014</v>
      </c>
      <c r="F11" s="38">
        <f t="shared" si="1"/>
        <v>62036.897021019206</v>
      </c>
      <c r="G11" s="45">
        <v>164.1</v>
      </c>
      <c r="H11" s="45">
        <v>165.5</v>
      </c>
      <c r="I11" s="45">
        <v>165.2</v>
      </c>
      <c r="J11" s="45">
        <v>163.9</v>
      </c>
      <c r="K11" s="45">
        <v>161.6</v>
      </c>
      <c r="L11" s="45">
        <v>164.3</v>
      </c>
    </row>
    <row r="12" spans="1:15" x14ac:dyDescent="0.25">
      <c r="A12" s="27">
        <v>279</v>
      </c>
      <c r="B12" s="29" t="s">
        <v>5</v>
      </c>
      <c r="C12" s="150">
        <v>0.85</v>
      </c>
      <c r="E12">
        <v>2013</v>
      </c>
      <c r="F12" s="38">
        <f t="shared" si="1"/>
        <v>59980.341751096334</v>
      </c>
      <c r="G12" s="45">
        <v>158.66000000000003</v>
      </c>
      <c r="H12" s="45">
        <v>159.6</v>
      </c>
      <c r="I12" s="45">
        <v>158.4</v>
      </c>
      <c r="J12" s="45">
        <v>158.69999999999999</v>
      </c>
      <c r="K12" s="45">
        <v>157.5</v>
      </c>
      <c r="L12" s="45">
        <v>159.1</v>
      </c>
    </row>
    <row r="13" spans="1:15" x14ac:dyDescent="0.25">
      <c r="A13" s="27">
        <v>280</v>
      </c>
      <c r="B13" s="29" t="s">
        <v>6</v>
      </c>
      <c r="C13" s="150">
        <v>0.86</v>
      </c>
      <c r="E13">
        <v>2012</v>
      </c>
      <c r="F13" s="38">
        <f t="shared" si="1"/>
        <v>59042.794495690308</v>
      </c>
      <c r="G13" s="45">
        <v>156.18</v>
      </c>
      <c r="H13" s="45">
        <v>156.4</v>
      </c>
      <c r="I13" s="45">
        <v>155.6</v>
      </c>
      <c r="J13" s="45">
        <v>156.30000000000001</v>
      </c>
      <c r="K13" s="45">
        <v>155.4</v>
      </c>
      <c r="L13" s="45">
        <v>157.19999999999999</v>
      </c>
    </row>
    <row r="14" spans="1:15" x14ac:dyDescent="0.25">
      <c r="A14" s="27">
        <v>281</v>
      </c>
      <c r="B14" s="29" t="s">
        <v>7</v>
      </c>
      <c r="C14" s="150">
        <v>0.87</v>
      </c>
      <c r="E14">
        <v>2011</v>
      </c>
      <c r="F14" s="38">
        <f t="shared" si="1"/>
        <v>53856.04113110539</v>
      </c>
      <c r="G14" s="45">
        <v>142.45999999999998</v>
      </c>
      <c r="H14" s="45">
        <v>142.6</v>
      </c>
      <c r="I14" s="45">
        <v>143.80000000000001</v>
      </c>
      <c r="J14" s="45">
        <v>142.19999999999999</v>
      </c>
      <c r="K14" s="45">
        <v>142.80000000000001</v>
      </c>
      <c r="L14" s="45">
        <v>140.9</v>
      </c>
    </row>
    <row r="15" spans="1:15" x14ac:dyDescent="0.25">
      <c r="A15" s="27">
        <v>282</v>
      </c>
      <c r="B15" s="29" t="s">
        <v>7</v>
      </c>
      <c r="C15" s="150">
        <v>0.87</v>
      </c>
      <c r="E15">
        <v>2010</v>
      </c>
      <c r="F15" s="38">
        <f t="shared" si="1"/>
        <v>53039.467715106613</v>
      </c>
      <c r="G15" s="45">
        <v>140.30000000000001</v>
      </c>
      <c r="H15" s="45">
        <v>140.5</v>
      </c>
      <c r="I15" s="45">
        <v>141.6</v>
      </c>
      <c r="J15" s="45">
        <v>140</v>
      </c>
      <c r="K15" s="45">
        <v>140.6</v>
      </c>
      <c r="L15" s="45">
        <v>138.80000000000001</v>
      </c>
    </row>
    <row r="16" spans="1:15" x14ac:dyDescent="0.25">
      <c r="A16" s="27">
        <v>283</v>
      </c>
      <c r="B16" s="29" t="s">
        <v>8</v>
      </c>
      <c r="C16" s="150">
        <v>0.86</v>
      </c>
      <c r="E16">
        <v>2009</v>
      </c>
      <c r="F16" s="38">
        <f t="shared" si="1"/>
        <v>54642.371087252388</v>
      </c>
      <c r="G16" s="45">
        <v>144.54000000000002</v>
      </c>
      <c r="H16" s="45">
        <v>145.1</v>
      </c>
      <c r="I16" s="45">
        <v>145.80000000000001</v>
      </c>
      <c r="J16" s="45">
        <v>144</v>
      </c>
      <c r="K16" s="45">
        <v>145.1</v>
      </c>
      <c r="L16" s="45">
        <v>142.69999999999999</v>
      </c>
    </row>
    <row r="17" spans="1:12" x14ac:dyDescent="0.25">
      <c r="A17" s="27">
        <v>284</v>
      </c>
      <c r="B17" s="29" t="s">
        <v>9</v>
      </c>
      <c r="C17" s="150">
        <v>0.83</v>
      </c>
      <c r="E17">
        <v>2008</v>
      </c>
      <c r="F17" s="38">
        <f t="shared" si="1"/>
        <v>51119.008014516847</v>
      </c>
      <c r="G17" s="45">
        <v>135.21999999999997</v>
      </c>
      <c r="H17" s="45">
        <v>135.80000000000001</v>
      </c>
      <c r="I17" s="45">
        <v>136.6</v>
      </c>
      <c r="J17" s="45">
        <v>134.6</v>
      </c>
      <c r="K17" s="45">
        <v>135.30000000000001</v>
      </c>
      <c r="L17" s="45">
        <v>133.80000000000001</v>
      </c>
    </row>
    <row r="18" spans="1:12" x14ac:dyDescent="0.25">
      <c r="A18" s="27">
        <v>285</v>
      </c>
      <c r="B18" s="29" t="s">
        <v>10</v>
      </c>
      <c r="C18" s="150">
        <v>0.83</v>
      </c>
      <c r="E18">
        <v>2007</v>
      </c>
      <c r="F18" s="38">
        <v>50000</v>
      </c>
      <c r="G18" s="45">
        <v>132.26</v>
      </c>
      <c r="H18" s="45">
        <v>132.80000000000001</v>
      </c>
      <c r="I18" s="45">
        <v>133.69999999999999</v>
      </c>
      <c r="J18" s="45">
        <v>131.69999999999999</v>
      </c>
      <c r="K18" s="45">
        <v>132.1</v>
      </c>
      <c r="L18" s="45">
        <v>131</v>
      </c>
    </row>
    <row r="19" spans="1:12" x14ac:dyDescent="0.25">
      <c r="A19" s="27">
        <v>286</v>
      </c>
      <c r="B19" s="29" t="s">
        <v>11</v>
      </c>
      <c r="C19" s="150">
        <v>0.85</v>
      </c>
      <c r="E19">
        <v>2006</v>
      </c>
      <c r="F19" s="38">
        <f t="shared" ref="F19:F75" si="2">+F18/G18*G19</f>
        <v>46930.288825041593</v>
      </c>
      <c r="G19" s="45">
        <v>124.14000000000001</v>
      </c>
      <c r="H19" s="45">
        <v>125.1</v>
      </c>
      <c r="I19" s="45">
        <v>124.6</v>
      </c>
      <c r="J19" s="45">
        <v>123.8</v>
      </c>
      <c r="K19" s="45">
        <v>124.2</v>
      </c>
      <c r="L19" s="45">
        <v>123</v>
      </c>
    </row>
    <row r="20" spans="1:12" x14ac:dyDescent="0.25">
      <c r="A20" s="27">
        <v>287</v>
      </c>
      <c r="B20" s="29" t="s">
        <v>12</v>
      </c>
      <c r="C20" s="150">
        <v>0.84</v>
      </c>
      <c r="E20">
        <v>2005</v>
      </c>
      <c r="F20" s="38">
        <f t="shared" si="2"/>
        <v>42182.065628307879</v>
      </c>
      <c r="G20" s="45">
        <v>111.58</v>
      </c>
      <c r="H20" s="45">
        <v>110.5</v>
      </c>
      <c r="I20" s="45">
        <v>112.1</v>
      </c>
      <c r="J20" s="45">
        <v>112.1</v>
      </c>
      <c r="K20" s="45">
        <v>112.1</v>
      </c>
      <c r="L20" s="45">
        <v>111.1</v>
      </c>
    </row>
    <row r="21" spans="1:12" x14ac:dyDescent="0.25">
      <c r="A21" s="27">
        <v>288</v>
      </c>
      <c r="B21" s="29" t="s">
        <v>12</v>
      </c>
      <c r="C21" s="150">
        <v>0.84</v>
      </c>
      <c r="E21">
        <v>2004</v>
      </c>
      <c r="F21" s="38">
        <f t="shared" si="2"/>
        <v>37706.033570240441</v>
      </c>
      <c r="G21" s="45">
        <v>99.740000000000009</v>
      </c>
      <c r="H21" s="45">
        <v>98.9</v>
      </c>
      <c r="I21" s="45">
        <v>100</v>
      </c>
      <c r="J21" s="45">
        <v>100.1</v>
      </c>
      <c r="K21" s="45">
        <v>100.3</v>
      </c>
      <c r="L21" s="45">
        <v>99.4</v>
      </c>
    </row>
    <row r="22" spans="1:12" x14ac:dyDescent="0.25">
      <c r="A22" s="27">
        <v>289</v>
      </c>
      <c r="B22" s="29" t="s">
        <v>13</v>
      </c>
      <c r="C22" s="150">
        <v>0.83</v>
      </c>
      <c r="E22">
        <v>2003</v>
      </c>
      <c r="F22" s="38">
        <f t="shared" si="2"/>
        <v>36730.681990019657</v>
      </c>
      <c r="G22" s="45">
        <v>97.16</v>
      </c>
      <c r="H22" s="45">
        <v>96.2</v>
      </c>
      <c r="I22" s="45">
        <v>97.5</v>
      </c>
      <c r="J22" s="45">
        <v>97.5</v>
      </c>
      <c r="K22" s="45">
        <v>97.8</v>
      </c>
      <c r="L22" s="45">
        <v>96.8</v>
      </c>
    </row>
    <row r="23" spans="1:12" x14ac:dyDescent="0.25">
      <c r="C23" s="151"/>
      <c r="E23">
        <v>2002</v>
      </c>
      <c r="F23" s="38">
        <f t="shared" si="2"/>
        <v>36201.421442613035</v>
      </c>
      <c r="G23" s="45">
        <v>95.76</v>
      </c>
      <c r="H23" s="45">
        <v>94.8</v>
      </c>
      <c r="I23" s="45">
        <v>96.1</v>
      </c>
      <c r="J23" s="45">
        <v>96.1</v>
      </c>
      <c r="K23" s="45">
        <v>96.3</v>
      </c>
      <c r="L23" s="45">
        <v>95.5</v>
      </c>
    </row>
    <row r="24" spans="1:12" x14ac:dyDescent="0.25">
      <c r="E24">
        <v>2001</v>
      </c>
      <c r="F24" s="38">
        <f t="shared" si="2"/>
        <v>34999.243913503713</v>
      </c>
      <c r="G24" s="45">
        <v>92.580000000000013</v>
      </c>
      <c r="H24" s="45">
        <v>91.5</v>
      </c>
      <c r="I24" s="45">
        <v>92.9</v>
      </c>
      <c r="J24" s="45">
        <v>92.9</v>
      </c>
      <c r="K24" s="45">
        <v>93.3</v>
      </c>
      <c r="L24" s="45">
        <v>92.3</v>
      </c>
    </row>
    <row r="25" spans="1:12" x14ac:dyDescent="0.25">
      <c r="E25">
        <v>2000</v>
      </c>
      <c r="F25" s="38">
        <f t="shared" si="2"/>
        <v>34507.787690911849</v>
      </c>
      <c r="G25" s="45">
        <v>91.28</v>
      </c>
      <c r="H25" s="45">
        <v>90.3</v>
      </c>
      <c r="I25" s="45">
        <v>91.6</v>
      </c>
      <c r="J25" s="45">
        <v>91.6</v>
      </c>
      <c r="K25" s="45">
        <v>91.9</v>
      </c>
      <c r="L25" s="45">
        <v>91</v>
      </c>
    </row>
    <row r="26" spans="1:12" x14ac:dyDescent="0.25">
      <c r="E26">
        <v>1999</v>
      </c>
      <c r="F26" s="38">
        <f t="shared" si="2"/>
        <v>34054.135793134745</v>
      </c>
      <c r="G26" s="45">
        <v>90.08</v>
      </c>
      <c r="H26" s="45">
        <v>89.3</v>
      </c>
      <c r="I26" s="45">
        <v>90.2</v>
      </c>
      <c r="J26" s="45">
        <v>90.3</v>
      </c>
      <c r="K26" s="45">
        <v>90.5</v>
      </c>
      <c r="L26" s="45">
        <v>90.1</v>
      </c>
    </row>
    <row r="27" spans="1:12" x14ac:dyDescent="0.25">
      <c r="E27">
        <v>1998</v>
      </c>
      <c r="F27" s="38">
        <f t="shared" si="2"/>
        <v>33638.288220172391</v>
      </c>
      <c r="G27" s="45">
        <v>88.97999999999999</v>
      </c>
      <c r="H27" s="47">
        <v>88.2</v>
      </c>
      <c r="I27" s="47">
        <v>89.1</v>
      </c>
      <c r="J27" s="47">
        <v>89.2</v>
      </c>
      <c r="K27" s="47">
        <v>89.4</v>
      </c>
      <c r="L27" s="47">
        <v>89</v>
      </c>
    </row>
    <row r="28" spans="1:12" x14ac:dyDescent="0.25">
      <c r="E28">
        <v>1997</v>
      </c>
      <c r="F28" s="38">
        <f t="shared" si="2"/>
        <v>31173.446242250116</v>
      </c>
      <c r="G28" s="45">
        <v>82.46</v>
      </c>
      <c r="H28" s="45">
        <v>81.8</v>
      </c>
      <c r="I28" s="45">
        <v>82.6</v>
      </c>
      <c r="J28" s="45">
        <v>82.6</v>
      </c>
      <c r="K28" s="45">
        <v>82.7</v>
      </c>
      <c r="L28" s="45">
        <v>82.6</v>
      </c>
    </row>
    <row r="29" spans="1:12" x14ac:dyDescent="0.25">
      <c r="E29">
        <v>1996</v>
      </c>
      <c r="F29" s="38">
        <f t="shared" si="2"/>
        <v>31173.446242250116</v>
      </c>
      <c r="G29" s="45">
        <v>82.46</v>
      </c>
      <c r="H29" s="45">
        <v>81.8</v>
      </c>
      <c r="I29" s="45">
        <v>82.6</v>
      </c>
      <c r="J29" s="45">
        <v>82.6</v>
      </c>
      <c r="K29" s="45">
        <v>82.7</v>
      </c>
      <c r="L29" s="45">
        <v>82.6</v>
      </c>
    </row>
    <row r="30" spans="1:12" x14ac:dyDescent="0.25">
      <c r="E30">
        <v>1995</v>
      </c>
      <c r="F30" s="38">
        <f t="shared" si="2"/>
        <v>31173.446242250116</v>
      </c>
      <c r="G30" s="45">
        <v>82.46</v>
      </c>
      <c r="H30" s="45">
        <v>81.8</v>
      </c>
      <c r="I30" s="45">
        <v>82.6</v>
      </c>
      <c r="J30" s="45">
        <v>82.6</v>
      </c>
      <c r="K30" s="45">
        <v>82.7</v>
      </c>
      <c r="L30" s="45">
        <v>82.6</v>
      </c>
    </row>
    <row r="31" spans="1:12" x14ac:dyDescent="0.25">
      <c r="E31">
        <v>1994</v>
      </c>
      <c r="F31" s="38">
        <f t="shared" si="2"/>
        <v>28466.656585513385</v>
      </c>
      <c r="G31" s="45">
        <v>75.3</v>
      </c>
      <c r="H31" s="45">
        <v>74.8</v>
      </c>
      <c r="I31" s="45">
        <v>75.400000000000006</v>
      </c>
      <c r="J31" s="45">
        <v>75.5</v>
      </c>
      <c r="K31" s="45">
        <v>75.5</v>
      </c>
      <c r="L31" s="45">
        <v>75.3</v>
      </c>
    </row>
    <row r="32" spans="1:12" x14ac:dyDescent="0.25">
      <c r="E32">
        <v>1993</v>
      </c>
      <c r="F32" s="38">
        <f t="shared" si="2"/>
        <v>28466.656585513385</v>
      </c>
      <c r="G32" s="45">
        <v>75.3</v>
      </c>
      <c r="H32" s="45">
        <v>74.8</v>
      </c>
      <c r="I32" s="45">
        <v>75.400000000000006</v>
      </c>
      <c r="J32" s="45">
        <v>75.5</v>
      </c>
      <c r="K32" s="45">
        <v>75.5</v>
      </c>
      <c r="L32" s="45">
        <v>75.3</v>
      </c>
    </row>
    <row r="33" spans="5:12" x14ac:dyDescent="0.25">
      <c r="E33">
        <v>1992</v>
      </c>
      <c r="F33" s="38">
        <f t="shared" si="2"/>
        <v>28466.656585513385</v>
      </c>
      <c r="G33" s="45">
        <v>75.3</v>
      </c>
      <c r="H33" s="45">
        <v>74.8</v>
      </c>
      <c r="I33" s="45">
        <v>75.400000000000006</v>
      </c>
      <c r="J33" s="45">
        <v>75.5</v>
      </c>
      <c r="K33" s="45">
        <v>75.5</v>
      </c>
      <c r="L33" s="45">
        <v>75.3</v>
      </c>
    </row>
    <row r="34" spans="5:12" x14ac:dyDescent="0.25">
      <c r="E34">
        <v>1991</v>
      </c>
      <c r="F34" s="38">
        <f t="shared" si="2"/>
        <v>28466.656585513385</v>
      </c>
      <c r="G34" s="45">
        <v>75.3</v>
      </c>
      <c r="H34" s="45">
        <v>74.8</v>
      </c>
      <c r="I34" s="45">
        <v>75.400000000000006</v>
      </c>
      <c r="J34" s="45">
        <v>75.5</v>
      </c>
      <c r="K34" s="45">
        <v>75.5</v>
      </c>
      <c r="L34" s="45">
        <v>75.3</v>
      </c>
    </row>
    <row r="35" spans="5:12" x14ac:dyDescent="0.25">
      <c r="E35">
        <v>1990</v>
      </c>
      <c r="F35" s="38">
        <f t="shared" si="2"/>
        <v>28466.656585513385</v>
      </c>
      <c r="G35" s="45">
        <v>75.3</v>
      </c>
      <c r="H35" s="45">
        <v>74.8</v>
      </c>
      <c r="I35" s="45">
        <v>75.400000000000006</v>
      </c>
      <c r="J35" s="45">
        <v>75.5</v>
      </c>
      <c r="K35" s="45">
        <v>75.5</v>
      </c>
      <c r="L35" s="45">
        <v>75.3</v>
      </c>
    </row>
    <row r="36" spans="5:12" x14ac:dyDescent="0.25">
      <c r="E36">
        <v>1989</v>
      </c>
      <c r="F36" s="38">
        <f t="shared" si="2"/>
        <v>25502.797520036293</v>
      </c>
      <c r="G36" s="45">
        <v>67.459999999999994</v>
      </c>
      <c r="H36" s="45">
        <v>66.900000000000006</v>
      </c>
      <c r="I36" s="45">
        <v>67.599999999999994</v>
      </c>
      <c r="J36" s="45">
        <v>67.7</v>
      </c>
      <c r="K36" s="45">
        <v>67.599999999999994</v>
      </c>
      <c r="L36" s="45">
        <v>67.5</v>
      </c>
    </row>
    <row r="37" spans="5:12" x14ac:dyDescent="0.25">
      <c r="E37">
        <v>1988</v>
      </c>
      <c r="F37" s="38">
        <f t="shared" si="2"/>
        <v>25502.797520036293</v>
      </c>
      <c r="G37" s="45">
        <v>67.459999999999994</v>
      </c>
      <c r="H37" s="45">
        <v>66.900000000000006</v>
      </c>
      <c r="I37" s="45">
        <v>67.599999999999994</v>
      </c>
      <c r="J37" s="45">
        <v>67.7</v>
      </c>
      <c r="K37" s="45">
        <v>67.599999999999994</v>
      </c>
      <c r="L37" s="45">
        <v>67.5</v>
      </c>
    </row>
    <row r="38" spans="5:12" x14ac:dyDescent="0.25">
      <c r="E38">
        <v>1987</v>
      </c>
      <c r="F38" s="38">
        <f t="shared" si="2"/>
        <v>25502.797520036293</v>
      </c>
      <c r="G38" s="45">
        <v>67.459999999999994</v>
      </c>
      <c r="H38" s="45">
        <v>66.900000000000006</v>
      </c>
      <c r="I38" s="45">
        <v>67.599999999999994</v>
      </c>
      <c r="J38" s="45">
        <v>67.7</v>
      </c>
      <c r="K38" s="45">
        <v>67.599999999999994</v>
      </c>
      <c r="L38" s="45">
        <v>67.5</v>
      </c>
    </row>
    <row r="39" spans="5:12" x14ac:dyDescent="0.25">
      <c r="E39">
        <v>1986</v>
      </c>
      <c r="F39" s="38">
        <f t="shared" si="2"/>
        <v>25502.797520036293</v>
      </c>
      <c r="G39" s="45">
        <v>67.459999999999994</v>
      </c>
      <c r="H39" s="45">
        <v>66.900000000000006</v>
      </c>
      <c r="I39" s="45">
        <v>67.599999999999994</v>
      </c>
      <c r="J39" s="45">
        <v>67.7</v>
      </c>
      <c r="K39" s="45">
        <v>67.599999999999994</v>
      </c>
      <c r="L39" s="45">
        <v>67.5</v>
      </c>
    </row>
    <row r="40" spans="5:12" x14ac:dyDescent="0.25">
      <c r="E40">
        <v>1985</v>
      </c>
      <c r="F40" s="38">
        <f t="shared" si="2"/>
        <v>25502.797520036293</v>
      </c>
      <c r="G40" s="45">
        <v>67.459999999999994</v>
      </c>
      <c r="H40" s="45">
        <v>66.900000000000006</v>
      </c>
      <c r="I40" s="45">
        <v>67.599999999999994</v>
      </c>
      <c r="J40" s="45">
        <v>67.7</v>
      </c>
      <c r="K40" s="45">
        <v>67.599999999999994</v>
      </c>
      <c r="L40" s="45">
        <v>67.5</v>
      </c>
    </row>
    <row r="41" spans="5:12" x14ac:dyDescent="0.25">
      <c r="E41">
        <v>1984</v>
      </c>
      <c r="F41" s="38">
        <f t="shared" si="2"/>
        <v>19529.714199304406</v>
      </c>
      <c r="G41" s="45">
        <v>51.660000000000004</v>
      </c>
      <c r="H41" s="45">
        <v>51.1</v>
      </c>
      <c r="I41" s="45">
        <v>52.2</v>
      </c>
      <c r="J41" s="45">
        <v>52.5</v>
      </c>
      <c r="K41" s="45">
        <v>51.7</v>
      </c>
      <c r="L41" s="45">
        <v>50.8</v>
      </c>
    </row>
    <row r="42" spans="5:12" x14ac:dyDescent="0.25">
      <c r="E42">
        <v>1983</v>
      </c>
      <c r="F42" s="38">
        <f t="shared" si="2"/>
        <v>19529.714199304406</v>
      </c>
      <c r="G42" s="45">
        <v>51.660000000000004</v>
      </c>
      <c r="H42" s="45">
        <v>51.1</v>
      </c>
      <c r="I42" s="45">
        <v>52.2</v>
      </c>
      <c r="J42" s="45">
        <v>52.5</v>
      </c>
      <c r="K42" s="45">
        <v>51.7</v>
      </c>
      <c r="L42" s="45">
        <v>50.8</v>
      </c>
    </row>
    <row r="43" spans="5:12" x14ac:dyDescent="0.25">
      <c r="E43">
        <v>1982</v>
      </c>
      <c r="F43" s="38">
        <f t="shared" si="2"/>
        <v>19529.714199304406</v>
      </c>
      <c r="G43" s="45">
        <v>51.660000000000004</v>
      </c>
      <c r="H43" s="45">
        <v>51.1</v>
      </c>
      <c r="I43" s="45">
        <v>52.2</v>
      </c>
      <c r="J43" s="45">
        <v>52.5</v>
      </c>
      <c r="K43" s="45">
        <v>51.7</v>
      </c>
      <c r="L43" s="45">
        <v>50.8</v>
      </c>
    </row>
    <row r="44" spans="5:12" x14ac:dyDescent="0.25">
      <c r="E44">
        <v>1981</v>
      </c>
      <c r="F44" s="38">
        <f t="shared" si="2"/>
        <v>19529.714199304406</v>
      </c>
      <c r="G44" s="45">
        <v>51.660000000000004</v>
      </c>
      <c r="H44" s="45">
        <v>51.1</v>
      </c>
      <c r="I44" s="45">
        <v>52.2</v>
      </c>
      <c r="J44" s="45">
        <v>52.5</v>
      </c>
      <c r="K44" s="45">
        <v>51.7</v>
      </c>
      <c r="L44" s="45">
        <v>50.8</v>
      </c>
    </row>
    <row r="45" spans="5:12" x14ac:dyDescent="0.25">
      <c r="E45">
        <v>1980</v>
      </c>
      <c r="F45" s="38">
        <f t="shared" si="2"/>
        <v>19529.714199304406</v>
      </c>
      <c r="G45" s="45">
        <v>51.660000000000004</v>
      </c>
      <c r="H45" s="45">
        <v>51.1</v>
      </c>
      <c r="I45" s="45">
        <v>52.2</v>
      </c>
      <c r="J45" s="45">
        <v>52.5</v>
      </c>
      <c r="K45" s="45">
        <v>51.7</v>
      </c>
      <c r="L45" s="45">
        <v>50.8</v>
      </c>
    </row>
    <row r="46" spans="5:12" x14ac:dyDescent="0.25">
      <c r="E46">
        <v>1979</v>
      </c>
      <c r="F46" s="38">
        <f t="shared" si="2"/>
        <v>13874.187207016483</v>
      </c>
      <c r="G46" s="45">
        <v>36.699999999999996</v>
      </c>
      <c r="H46" s="45">
        <v>36.1</v>
      </c>
      <c r="I46" s="45">
        <v>37</v>
      </c>
      <c r="J46" s="45">
        <v>37</v>
      </c>
      <c r="K46" s="45">
        <v>37.299999999999997</v>
      </c>
      <c r="L46" s="45">
        <v>36.1</v>
      </c>
    </row>
    <row r="47" spans="5:12" x14ac:dyDescent="0.25">
      <c r="E47">
        <v>1978</v>
      </c>
      <c r="F47" s="38">
        <f t="shared" si="2"/>
        <v>13874.187207016483</v>
      </c>
      <c r="G47" s="45">
        <v>36.699999999999996</v>
      </c>
      <c r="H47" s="45">
        <v>36.1</v>
      </c>
      <c r="I47" s="45">
        <v>37</v>
      </c>
      <c r="J47" s="45">
        <v>37</v>
      </c>
      <c r="K47" s="45">
        <v>37.299999999999997</v>
      </c>
      <c r="L47" s="45">
        <v>36.1</v>
      </c>
    </row>
    <row r="48" spans="5:12" x14ac:dyDescent="0.25">
      <c r="E48">
        <v>1977</v>
      </c>
      <c r="F48" s="38">
        <f t="shared" si="2"/>
        <v>13874.187207016483</v>
      </c>
      <c r="G48" s="45">
        <v>36.699999999999996</v>
      </c>
      <c r="H48" s="45">
        <v>36.1</v>
      </c>
      <c r="I48" s="45">
        <v>37</v>
      </c>
      <c r="J48" s="45">
        <v>37</v>
      </c>
      <c r="K48" s="45">
        <v>37.299999999999997</v>
      </c>
      <c r="L48" s="45">
        <v>36.1</v>
      </c>
    </row>
    <row r="49" spans="5:12" x14ac:dyDescent="0.25">
      <c r="E49">
        <v>1976</v>
      </c>
      <c r="F49" s="38">
        <f t="shared" si="2"/>
        <v>13874.187207016483</v>
      </c>
      <c r="G49" s="45">
        <v>36.699999999999996</v>
      </c>
      <c r="H49" s="45">
        <v>36.1</v>
      </c>
      <c r="I49" s="45">
        <v>37</v>
      </c>
      <c r="J49" s="45">
        <v>37</v>
      </c>
      <c r="K49" s="45">
        <v>37.299999999999997</v>
      </c>
      <c r="L49" s="45">
        <v>36.1</v>
      </c>
    </row>
    <row r="50" spans="5:12" x14ac:dyDescent="0.25">
      <c r="E50">
        <v>1975</v>
      </c>
      <c r="F50" s="38">
        <f t="shared" si="2"/>
        <v>13874.187207016483</v>
      </c>
      <c r="G50" s="45">
        <v>36.699999999999996</v>
      </c>
      <c r="H50" s="45">
        <v>36.1</v>
      </c>
      <c r="I50" s="45">
        <v>37</v>
      </c>
      <c r="J50" s="45">
        <v>37</v>
      </c>
      <c r="K50" s="45">
        <v>37.299999999999997</v>
      </c>
      <c r="L50" s="45">
        <v>36.1</v>
      </c>
    </row>
    <row r="51" spans="5:12" x14ac:dyDescent="0.25">
      <c r="E51">
        <v>1974</v>
      </c>
      <c r="F51" s="38">
        <f t="shared" si="2"/>
        <v>8664.7512475427193</v>
      </c>
      <c r="G51" s="45">
        <v>22.919999999999998</v>
      </c>
      <c r="H51" s="45">
        <v>20.9</v>
      </c>
      <c r="I51" s="45">
        <v>23.7</v>
      </c>
      <c r="J51" s="45">
        <v>23.6</v>
      </c>
      <c r="K51" s="45">
        <v>23.4</v>
      </c>
      <c r="L51" s="45">
        <v>23</v>
      </c>
    </row>
    <row r="52" spans="5:12" x14ac:dyDescent="0.25">
      <c r="E52">
        <v>1973</v>
      </c>
      <c r="F52" s="38">
        <f t="shared" si="2"/>
        <v>8664.7512475427193</v>
      </c>
      <c r="G52" s="45">
        <v>22.919999999999998</v>
      </c>
      <c r="H52" s="45">
        <v>20.9</v>
      </c>
      <c r="I52" s="45">
        <v>23.7</v>
      </c>
      <c r="J52" s="45">
        <v>23.6</v>
      </c>
      <c r="K52" s="45">
        <v>23.4</v>
      </c>
      <c r="L52" s="45">
        <v>23</v>
      </c>
    </row>
    <row r="53" spans="5:12" x14ac:dyDescent="0.25">
      <c r="E53">
        <v>1972</v>
      </c>
      <c r="F53" s="38">
        <f t="shared" si="2"/>
        <v>8664.7512475427193</v>
      </c>
      <c r="G53" s="45">
        <v>22.919999999999998</v>
      </c>
      <c r="H53" s="45">
        <v>20.9</v>
      </c>
      <c r="I53" s="45">
        <v>23.7</v>
      </c>
      <c r="J53" s="45">
        <v>23.6</v>
      </c>
      <c r="K53" s="45">
        <v>23.4</v>
      </c>
      <c r="L53" s="45">
        <v>23</v>
      </c>
    </row>
    <row r="54" spans="5:12" x14ac:dyDescent="0.25">
      <c r="E54">
        <v>1971</v>
      </c>
      <c r="F54" s="38">
        <f t="shared" si="2"/>
        <v>8664.7512475427193</v>
      </c>
      <c r="G54" s="45">
        <v>22.919999999999998</v>
      </c>
      <c r="H54" s="45">
        <v>20.9</v>
      </c>
      <c r="I54" s="45">
        <v>23.7</v>
      </c>
      <c r="J54" s="45">
        <v>23.6</v>
      </c>
      <c r="K54" s="45">
        <v>23.4</v>
      </c>
      <c r="L54" s="45">
        <v>23</v>
      </c>
    </row>
    <row r="55" spans="5:12" x14ac:dyDescent="0.25">
      <c r="E55">
        <v>1970</v>
      </c>
      <c r="F55" s="38">
        <f t="shared" si="2"/>
        <v>8664.7512475427193</v>
      </c>
      <c r="G55" s="45">
        <v>22.919999999999998</v>
      </c>
      <c r="H55" s="45">
        <v>20.9</v>
      </c>
      <c r="I55" s="45">
        <v>23.7</v>
      </c>
      <c r="J55" s="45">
        <v>23.6</v>
      </c>
      <c r="K55" s="45">
        <v>23.4</v>
      </c>
      <c r="L55" s="45">
        <v>23</v>
      </c>
    </row>
    <row r="56" spans="5:12" x14ac:dyDescent="0.25">
      <c r="E56">
        <v>1969</v>
      </c>
      <c r="F56" s="38">
        <f t="shared" si="2"/>
        <v>6661.1220323605039</v>
      </c>
      <c r="G56" s="45">
        <v>17.62</v>
      </c>
      <c r="H56" s="45">
        <v>16</v>
      </c>
      <c r="I56" s="45">
        <v>18.2</v>
      </c>
      <c r="J56" s="45">
        <v>18.2</v>
      </c>
      <c r="K56" s="45">
        <v>18</v>
      </c>
      <c r="L56" s="45">
        <v>17.7</v>
      </c>
    </row>
    <row r="57" spans="5:12" x14ac:dyDescent="0.25">
      <c r="E57">
        <v>1968</v>
      </c>
      <c r="F57" s="38">
        <f t="shared" si="2"/>
        <v>6661.1220323605039</v>
      </c>
      <c r="G57" s="45">
        <v>17.62</v>
      </c>
      <c r="H57" s="45">
        <v>16</v>
      </c>
      <c r="I57" s="45">
        <v>18.2</v>
      </c>
      <c r="J57" s="45">
        <v>18.2</v>
      </c>
      <c r="K57" s="45">
        <v>18</v>
      </c>
      <c r="L57" s="45">
        <v>17.7</v>
      </c>
    </row>
    <row r="58" spans="5:12" x14ac:dyDescent="0.25">
      <c r="E58">
        <v>1967</v>
      </c>
      <c r="F58" s="38">
        <f t="shared" si="2"/>
        <v>6661.1220323605039</v>
      </c>
      <c r="G58" s="45">
        <v>17.62</v>
      </c>
      <c r="H58" s="45">
        <v>16</v>
      </c>
      <c r="I58" s="45">
        <v>18.2</v>
      </c>
      <c r="J58" s="45">
        <v>18.2</v>
      </c>
      <c r="K58" s="45">
        <v>18</v>
      </c>
      <c r="L58" s="45">
        <v>17.7</v>
      </c>
    </row>
    <row r="59" spans="5:12" x14ac:dyDescent="0.25">
      <c r="E59">
        <v>1966</v>
      </c>
      <c r="F59" s="38">
        <f t="shared" si="2"/>
        <v>6661.1220323605039</v>
      </c>
      <c r="G59" s="45">
        <v>17.62</v>
      </c>
      <c r="H59" s="45">
        <v>16</v>
      </c>
      <c r="I59" s="45">
        <v>18.2</v>
      </c>
      <c r="J59" s="45">
        <v>18.2</v>
      </c>
      <c r="K59" s="45">
        <v>18</v>
      </c>
      <c r="L59" s="45">
        <v>17.7</v>
      </c>
    </row>
    <row r="60" spans="5:12" x14ac:dyDescent="0.25">
      <c r="E60">
        <v>1965</v>
      </c>
      <c r="F60" s="38">
        <f t="shared" si="2"/>
        <v>6661.1220323605039</v>
      </c>
      <c r="G60" s="45">
        <v>17.62</v>
      </c>
      <c r="H60" s="45">
        <v>16</v>
      </c>
      <c r="I60" s="45">
        <v>18.2</v>
      </c>
      <c r="J60" s="45">
        <v>18.2</v>
      </c>
      <c r="K60" s="45">
        <v>18</v>
      </c>
      <c r="L60" s="45">
        <v>17.7</v>
      </c>
    </row>
    <row r="61" spans="5:12" x14ac:dyDescent="0.25">
      <c r="E61">
        <v>1964</v>
      </c>
      <c r="F61" s="38">
        <f t="shared" si="2"/>
        <v>6056.2528353243615</v>
      </c>
      <c r="G61" s="45">
        <v>16.02</v>
      </c>
      <c r="H61" s="45">
        <v>14.4</v>
      </c>
      <c r="I61" s="45">
        <v>16.600000000000001</v>
      </c>
      <c r="J61" s="45">
        <v>16.600000000000001</v>
      </c>
      <c r="K61" s="45">
        <v>16.399999999999999</v>
      </c>
      <c r="L61" s="45">
        <v>16.100000000000001</v>
      </c>
    </row>
    <row r="62" spans="5:12" x14ac:dyDescent="0.25">
      <c r="E62">
        <v>1963</v>
      </c>
      <c r="F62" s="38">
        <f t="shared" si="2"/>
        <v>6056.2528353243615</v>
      </c>
      <c r="G62" s="45">
        <v>16.02</v>
      </c>
      <c r="H62" s="45">
        <v>14.4</v>
      </c>
      <c r="I62" s="45">
        <v>16.600000000000001</v>
      </c>
      <c r="J62" s="45">
        <v>16.600000000000001</v>
      </c>
      <c r="K62" s="45">
        <v>16.399999999999999</v>
      </c>
      <c r="L62" s="45">
        <v>16.100000000000001</v>
      </c>
    </row>
    <row r="63" spans="5:12" x14ac:dyDescent="0.25">
      <c r="E63">
        <v>1962</v>
      </c>
      <c r="F63" s="38">
        <f t="shared" si="2"/>
        <v>6056.2528353243615</v>
      </c>
      <c r="G63" s="45">
        <v>16.02</v>
      </c>
      <c r="H63" s="45">
        <v>14.4</v>
      </c>
      <c r="I63" s="45">
        <v>16.600000000000001</v>
      </c>
      <c r="J63" s="45">
        <v>16.600000000000001</v>
      </c>
      <c r="K63" s="45">
        <v>16.399999999999999</v>
      </c>
      <c r="L63" s="45">
        <v>16.100000000000001</v>
      </c>
    </row>
    <row r="64" spans="5:12" x14ac:dyDescent="0.25">
      <c r="E64">
        <v>1961</v>
      </c>
      <c r="F64" s="38">
        <f t="shared" si="2"/>
        <v>6056.2528353243615</v>
      </c>
      <c r="G64" s="45">
        <v>16.02</v>
      </c>
      <c r="H64" s="45">
        <v>14.4</v>
      </c>
      <c r="I64" s="45">
        <v>16.600000000000001</v>
      </c>
      <c r="J64" s="45">
        <v>16.600000000000001</v>
      </c>
      <c r="K64" s="45">
        <v>16.399999999999999</v>
      </c>
      <c r="L64" s="45">
        <v>16.100000000000001</v>
      </c>
    </row>
    <row r="65" spans="5:12" x14ac:dyDescent="0.25">
      <c r="E65">
        <v>1960</v>
      </c>
      <c r="F65" s="38">
        <f t="shared" si="2"/>
        <v>6056.2528353243615</v>
      </c>
      <c r="G65" s="45">
        <v>16.02</v>
      </c>
      <c r="H65" s="45">
        <v>14.4</v>
      </c>
      <c r="I65" s="45">
        <v>16.600000000000001</v>
      </c>
      <c r="J65" s="45">
        <v>16.600000000000001</v>
      </c>
      <c r="K65" s="45">
        <v>16.399999999999999</v>
      </c>
      <c r="L65" s="45">
        <v>16.100000000000001</v>
      </c>
    </row>
    <row r="66" spans="5:12" x14ac:dyDescent="0.25">
      <c r="E66">
        <v>1959</v>
      </c>
      <c r="F66" s="38">
        <f t="shared" si="2"/>
        <v>5073.3403901406318</v>
      </c>
      <c r="G66" s="45">
        <v>13.419999999999998</v>
      </c>
      <c r="H66" s="45">
        <v>12.1</v>
      </c>
      <c r="I66" s="45">
        <v>13.9</v>
      </c>
      <c r="J66" s="45">
        <v>13.9</v>
      </c>
      <c r="K66" s="45">
        <v>13.7</v>
      </c>
      <c r="L66" s="45">
        <v>13.5</v>
      </c>
    </row>
    <row r="67" spans="5:12" x14ac:dyDescent="0.25">
      <c r="E67">
        <v>1958</v>
      </c>
      <c r="F67" s="38">
        <f t="shared" si="2"/>
        <v>5073.3403901406318</v>
      </c>
      <c r="G67" s="45">
        <v>13.419999999999998</v>
      </c>
      <c r="H67" s="45">
        <v>12.1</v>
      </c>
      <c r="I67" s="45">
        <v>13.9</v>
      </c>
      <c r="J67" s="45">
        <v>13.9</v>
      </c>
      <c r="K67" s="45">
        <v>13.7</v>
      </c>
      <c r="L67" s="45">
        <v>13.5</v>
      </c>
    </row>
    <row r="68" spans="5:12" x14ac:dyDescent="0.25">
      <c r="E68">
        <v>1957</v>
      </c>
      <c r="F68" s="38">
        <f t="shared" si="2"/>
        <v>5073.3403901406318</v>
      </c>
      <c r="G68" s="45">
        <v>13.419999999999998</v>
      </c>
      <c r="H68" s="45">
        <v>12.1</v>
      </c>
      <c r="I68" s="45">
        <v>13.9</v>
      </c>
      <c r="J68" s="45">
        <v>13.9</v>
      </c>
      <c r="K68" s="45">
        <v>13.7</v>
      </c>
      <c r="L68" s="45">
        <v>13.5</v>
      </c>
    </row>
    <row r="69" spans="5:12" x14ac:dyDescent="0.25">
      <c r="E69">
        <v>1956</v>
      </c>
      <c r="F69" s="38">
        <f t="shared" si="2"/>
        <v>5073.3403901406318</v>
      </c>
      <c r="G69" s="45">
        <v>13.419999999999998</v>
      </c>
      <c r="H69" s="45">
        <v>12.1</v>
      </c>
      <c r="I69" s="45">
        <v>13.9</v>
      </c>
      <c r="J69" s="45">
        <v>13.9</v>
      </c>
      <c r="K69" s="45">
        <v>13.7</v>
      </c>
      <c r="L69" s="45">
        <v>13.5</v>
      </c>
    </row>
    <row r="70" spans="5:12" x14ac:dyDescent="0.25">
      <c r="E70">
        <v>1955</v>
      </c>
      <c r="F70" s="38">
        <f t="shared" si="2"/>
        <v>5073.3403901406318</v>
      </c>
      <c r="G70" s="45">
        <v>13.419999999999998</v>
      </c>
      <c r="H70" s="45">
        <v>12.1</v>
      </c>
      <c r="I70" s="45">
        <v>13.9</v>
      </c>
      <c r="J70" s="45">
        <v>13.9</v>
      </c>
      <c r="K70" s="45">
        <v>13.7</v>
      </c>
      <c r="L70" s="45">
        <v>13.5</v>
      </c>
    </row>
    <row r="71" spans="5:12" x14ac:dyDescent="0.25">
      <c r="E71">
        <v>1954</v>
      </c>
      <c r="F71" s="38">
        <f t="shared" si="2"/>
        <v>4203.8409194011801</v>
      </c>
      <c r="G71" s="45">
        <v>11.12</v>
      </c>
      <c r="H71" s="45">
        <v>10</v>
      </c>
      <c r="I71" s="45">
        <v>11.5</v>
      </c>
      <c r="J71" s="45">
        <v>11.5</v>
      </c>
      <c r="K71" s="45">
        <v>11.4</v>
      </c>
      <c r="L71" s="45">
        <v>11.2</v>
      </c>
    </row>
    <row r="72" spans="5:12" x14ac:dyDescent="0.25">
      <c r="E72">
        <v>1953</v>
      </c>
      <c r="F72" s="38">
        <f t="shared" si="2"/>
        <v>4203.8409194011801</v>
      </c>
      <c r="G72" s="45">
        <v>11.12</v>
      </c>
      <c r="H72" s="45">
        <v>10</v>
      </c>
      <c r="I72" s="45">
        <v>11.5</v>
      </c>
      <c r="J72" s="45">
        <v>11.5</v>
      </c>
      <c r="K72" s="45">
        <v>11.4</v>
      </c>
      <c r="L72" s="45">
        <v>11.2</v>
      </c>
    </row>
    <row r="73" spans="5:12" x14ac:dyDescent="0.25">
      <c r="E73">
        <v>1952</v>
      </c>
      <c r="F73" s="38">
        <f t="shared" si="2"/>
        <v>4203.8409194011801</v>
      </c>
      <c r="G73" s="45">
        <v>11.12</v>
      </c>
      <c r="H73" s="45">
        <v>10</v>
      </c>
      <c r="I73" s="45">
        <v>11.5</v>
      </c>
      <c r="J73" s="45">
        <v>11.5</v>
      </c>
      <c r="K73" s="45">
        <v>11.4</v>
      </c>
      <c r="L73" s="45">
        <v>11.2</v>
      </c>
    </row>
    <row r="74" spans="5:12" x14ac:dyDescent="0.25">
      <c r="E74">
        <v>1951</v>
      </c>
      <c r="F74" s="38">
        <f t="shared" si="2"/>
        <v>4203.8409194011801</v>
      </c>
      <c r="G74" s="45">
        <v>11.12</v>
      </c>
      <c r="H74" s="45">
        <v>10</v>
      </c>
      <c r="I74" s="45">
        <v>11.5</v>
      </c>
      <c r="J74" s="45">
        <v>11.5</v>
      </c>
      <c r="K74" s="45">
        <v>11.4</v>
      </c>
      <c r="L74" s="45">
        <v>11.2</v>
      </c>
    </row>
    <row r="75" spans="5:12" x14ac:dyDescent="0.25">
      <c r="E75">
        <v>1950</v>
      </c>
      <c r="F75" s="38">
        <f t="shared" si="2"/>
        <v>4203.8409194011801</v>
      </c>
      <c r="G75" s="45">
        <v>11.12</v>
      </c>
      <c r="H75" s="45">
        <v>10</v>
      </c>
      <c r="I75" s="45">
        <v>11.5</v>
      </c>
      <c r="J75" s="45">
        <v>11.5</v>
      </c>
      <c r="K75" s="45">
        <v>11.4</v>
      </c>
      <c r="L75" s="45">
        <v>11.2</v>
      </c>
    </row>
    <row r="76" spans="5:12" x14ac:dyDescent="0.25">
      <c r="E76">
        <v>1949</v>
      </c>
      <c r="F76" s="38"/>
      <c r="G76" s="45">
        <v>11.12</v>
      </c>
      <c r="H76" s="45">
        <v>10</v>
      </c>
      <c r="I76" s="45">
        <v>11.5</v>
      </c>
      <c r="J76" s="45">
        <v>11.5</v>
      </c>
      <c r="K76" s="45">
        <v>11.4</v>
      </c>
      <c r="L76" s="45">
        <v>11.2</v>
      </c>
    </row>
    <row r="77" spans="5:12" x14ac:dyDescent="0.25">
      <c r="E77">
        <v>1948</v>
      </c>
      <c r="F77" s="38"/>
      <c r="G77" s="45">
        <v>11.12</v>
      </c>
      <c r="H77" s="45">
        <v>10</v>
      </c>
      <c r="I77" s="45">
        <v>11.5</v>
      </c>
      <c r="J77" s="45">
        <v>11.5</v>
      </c>
      <c r="K77" s="45">
        <v>11.4</v>
      </c>
      <c r="L77" s="45">
        <v>11.2</v>
      </c>
    </row>
    <row r="78" spans="5:12" x14ac:dyDescent="0.25">
      <c r="E78">
        <v>1947</v>
      </c>
      <c r="F78" s="38"/>
      <c r="G78" s="45">
        <v>11.12</v>
      </c>
      <c r="H78" s="45">
        <v>10</v>
      </c>
      <c r="I78" s="45">
        <v>11.5</v>
      </c>
      <c r="J78" s="45">
        <v>11.5</v>
      </c>
      <c r="K78" s="45">
        <v>11.4</v>
      </c>
      <c r="L78" s="45">
        <v>11.2</v>
      </c>
    </row>
    <row r="79" spans="5:12" x14ac:dyDescent="0.25">
      <c r="E79">
        <v>1946</v>
      </c>
      <c r="F79" s="38"/>
      <c r="G79" s="45">
        <v>11.12</v>
      </c>
      <c r="H79" s="45">
        <v>10</v>
      </c>
      <c r="I79" s="45">
        <v>11.5</v>
      </c>
      <c r="J79" s="45">
        <v>11.5</v>
      </c>
      <c r="K79" s="45">
        <v>11.4</v>
      </c>
      <c r="L79" s="45">
        <v>11.2</v>
      </c>
    </row>
    <row r="80" spans="5:12" x14ac:dyDescent="0.25">
      <c r="E80">
        <v>1945</v>
      </c>
      <c r="F80" s="38"/>
      <c r="G80" s="45">
        <v>11.12</v>
      </c>
      <c r="H80" s="45">
        <v>10</v>
      </c>
      <c r="I80" s="45">
        <v>11.5</v>
      </c>
      <c r="J80" s="45">
        <v>11.5</v>
      </c>
      <c r="K80" s="45">
        <v>11.4</v>
      </c>
      <c r="L80" s="45">
        <v>11.2</v>
      </c>
    </row>
    <row r="81" spans="5:12" x14ac:dyDescent="0.25">
      <c r="E81">
        <v>1944</v>
      </c>
      <c r="F81" s="38"/>
      <c r="G81" s="45">
        <v>11.12</v>
      </c>
      <c r="H81" s="45">
        <v>10</v>
      </c>
      <c r="I81" s="45">
        <v>11.5</v>
      </c>
      <c r="J81" s="45">
        <v>11.5</v>
      </c>
      <c r="K81" s="45">
        <v>11.4</v>
      </c>
      <c r="L81" s="45">
        <v>11.2</v>
      </c>
    </row>
    <row r="82" spans="5:12" x14ac:dyDescent="0.25">
      <c r="E82">
        <v>1943</v>
      </c>
      <c r="F82" s="38"/>
      <c r="G82" s="45">
        <v>11.12</v>
      </c>
      <c r="H82" s="45">
        <v>10</v>
      </c>
      <c r="I82" s="45">
        <v>11.5</v>
      </c>
      <c r="J82" s="45">
        <v>11.5</v>
      </c>
      <c r="K82" s="45">
        <v>11.4</v>
      </c>
      <c r="L82" s="45">
        <v>11.2</v>
      </c>
    </row>
    <row r="83" spans="5:12" x14ac:dyDescent="0.25">
      <c r="E83">
        <v>1942</v>
      </c>
      <c r="F83" s="38"/>
      <c r="G83" s="45">
        <v>11.12</v>
      </c>
      <c r="H83" s="45">
        <v>10</v>
      </c>
      <c r="I83" s="45">
        <v>11.5</v>
      </c>
      <c r="J83" s="45">
        <v>11.5</v>
      </c>
      <c r="K83" s="45">
        <v>11.4</v>
      </c>
      <c r="L83" s="45">
        <v>11.2</v>
      </c>
    </row>
    <row r="84" spans="5:12" x14ac:dyDescent="0.25">
      <c r="E84">
        <v>1941</v>
      </c>
      <c r="F84" s="38"/>
      <c r="G84" s="45">
        <v>11.12</v>
      </c>
      <c r="H84" s="45">
        <v>10</v>
      </c>
      <c r="I84" s="45">
        <v>11.5</v>
      </c>
      <c r="J84" s="45">
        <v>11.5</v>
      </c>
      <c r="K84" s="45">
        <v>11.4</v>
      </c>
      <c r="L84" s="45">
        <v>11.2</v>
      </c>
    </row>
    <row r="85" spans="5:12" x14ac:dyDescent="0.25">
      <c r="E85">
        <v>1940</v>
      </c>
      <c r="F85" s="38"/>
      <c r="G85" s="45">
        <v>11.12</v>
      </c>
      <c r="H85" s="45">
        <v>10</v>
      </c>
      <c r="I85" s="45">
        <v>11.5</v>
      </c>
      <c r="J85" s="45">
        <v>11.5</v>
      </c>
      <c r="K85" s="45">
        <v>11.4</v>
      </c>
      <c r="L85" s="45">
        <v>11.2</v>
      </c>
    </row>
  </sheetData>
  <phoneticPr fontId="4"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tint="-0.249977111117893"/>
  </sheetPr>
  <dimension ref="A1:AA414"/>
  <sheetViews>
    <sheetView zoomScaleNormal="100" workbookViewId="0">
      <selection activeCell="N2" sqref="N2"/>
    </sheetView>
  </sheetViews>
  <sheetFormatPr defaultRowHeight="13.2" x14ac:dyDescent="0.25"/>
  <cols>
    <col min="1" max="1" width="11" bestFit="1" customWidth="1"/>
    <col min="2" max="2" width="16.6640625" style="37" bestFit="1" customWidth="1"/>
    <col min="3" max="3" width="11.33203125" style="64" bestFit="1" customWidth="1"/>
    <col min="4" max="4" width="11" style="64" customWidth="1"/>
    <col min="5" max="5" width="9.33203125" style="32" customWidth="1"/>
    <col min="6" max="6" width="8.6640625" style="32" customWidth="1"/>
    <col min="7" max="7" width="9.21875" style="60" bestFit="1" customWidth="1"/>
    <col min="8" max="8" width="12.21875" style="64" bestFit="1" customWidth="1"/>
    <col min="9" max="9" width="10.44140625" style="60" bestFit="1" customWidth="1"/>
    <col min="10" max="10" width="10.6640625" style="37" bestFit="1" customWidth="1"/>
    <col min="11" max="11" width="9.21875" style="37" customWidth="1"/>
    <col min="13" max="13" width="11.6640625" style="32" bestFit="1" customWidth="1"/>
    <col min="14" max="15" width="11.44140625" style="32" bestFit="1" customWidth="1"/>
    <col min="16" max="16" width="8.88671875" style="32"/>
    <col min="17" max="17" width="8" style="32" bestFit="1" customWidth="1"/>
    <col min="18" max="18" width="10.44140625" style="60" bestFit="1" customWidth="1"/>
    <col min="19" max="19" width="11.44140625" style="64" bestFit="1" customWidth="1"/>
    <col min="20" max="20" width="16.6640625" style="32" bestFit="1" customWidth="1"/>
    <col min="21" max="21" width="11.33203125" style="32" bestFit="1" customWidth="1"/>
    <col min="22" max="22" width="11" style="32" customWidth="1"/>
    <col min="23" max="23" width="6" style="32" bestFit="1" customWidth="1"/>
    <col min="24" max="24" width="8.6640625" style="32" customWidth="1"/>
    <col min="25" max="25" width="8.33203125" style="32" bestFit="1" customWidth="1"/>
    <col min="26" max="26" width="7.88671875" style="32" bestFit="1" customWidth="1"/>
    <col min="27" max="27" width="11.44140625" style="32" bestFit="1" customWidth="1"/>
    <col min="28" max="16384" width="8.88671875" style="32"/>
  </cols>
  <sheetData>
    <row r="1" spans="1:27" s="65" customFormat="1" ht="38.4" customHeight="1" x14ac:dyDescent="0.25">
      <c r="A1" s="145" t="s">
        <v>48</v>
      </c>
      <c r="B1" s="145" t="s">
        <v>368</v>
      </c>
      <c r="C1" s="144" t="s">
        <v>587</v>
      </c>
      <c r="D1" s="144" t="s">
        <v>588</v>
      </c>
      <c r="E1" s="145" t="s">
        <v>586</v>
      </c>
      <c r="F1" s="145" t="s">
        <v>589</v>
      </c>
      <c r="G1" s="194" t="s">
        <v>610</v>
      </c>
      <c r="H1" s="144" t="s">
        <v>371</v>
      </c>
      <c r="I1" s="194" t="s">
        <v>369</v>
      </c>
      <c r="J1" s="145" t="s">
        <v>27</v>
      </c>
      <c r="K1" s="145" t="s">
        <v>608</v>
      </c>
      <c r="L1" s="194" t="s">
        <v>611</v>
      </c>
      <c r="M1" s="143" t="s">
        <v>799</v>
      </c>
      <c r="R1" s="66"/>
      <c r="S1" s="67"/>
      <c r="T1" s="66"/>
    </row>
    <row r="2" spans="1:27" x14ac:dyDescent="0.25">
      <c r="A2">
        <v>1003205337</v>
      </c>
      <c r="B2" s="37">
        <v>0.65</v>
      </c>
      <c r="C2" s="64">
        <v>29526</v>
      </c>
      <c r="D2" s="64">
        <v>29526</v>
      </c>
      <c r="E2" s="32">
        <v>27520</v>
      </c>
      <c r="F2" s="64">
        <v>100</v>
      </c>
      <c r="G2" s="60">
        <v>8</v>
      </c>
      <c r="H2" s="64">
        <v>66398</v>
      </c>
      <c r="I2" s="60">
        <v>663.98</v>
      </c>
      <c r="J2" s="110">
        <v>24.38</v>
      </c>
      <c r="K2" s="112">
        <v>1.2404999999999999</v>
      </c>
      <c r="L2" s="60">
        <v>8</v>
      </c>
      <c r="M2" s="60">
        <f>_xlfn.XLOOKUP(A2,'[1]FRV Output'!$F:$F,'[1]FRV Output'!$BC:$BC)</f>
        <v>33.251936176837027</v>
      </c>
      <c r="N2" s="64"/>
      <c r="O2" s="64"/>
      <c r="R2" s="32"/>
      <c r="T2" s="60"/>
      <c r="U2" s="110"/>
      <c r="V2" s="112"/>
      <c r="Y2" s="60"/>
      <c r="Z2" s="64"/>
      <c r="AA2" s="64"/>
    </row>
    <row r="3" spans="1:27" x14ac:dyDescent="0.25">
      <c r="A3">
        <v>1003366311</v>
      </c>
      <c r="B3" s="37">
        <v>0.65457083042568032</v>
      </c>
      <c r="C3" s="64">
        <v>47783</v>
      </c>
      <c r="D3" s="64">
        <v>47783</v>
      </c>
      <c r="E3" s="32">
        <v>27886</v>
      </c>
      <c r="F3" s="64">
        <v>159</v>
      </c>
      <c r="G3" s="60">
        <v>17.839999999999918</v>
      </c>
      <c r="H3" s="64">
        <v>39931</v>
      </c>
      <c r="I3" s="60">
        <v>251.13836477987422</v>
      </c>
      <c r="J3" s="110">
        <v>7.879999999999999</v>
      </c>
      <c r="K3" s="112">
        <v>1.1073</v>
      </c>
      <c r="L3" s="60">
        <v>17.839999999999918</v>
      </c>
      <c r="M3" s="60">
        <f>_xlfn.XLOOKUP(A3,'[1]FRV Output'!$F:$F,'[1]FRV Output'!$BC:$BC)</f>
        <v>16.481300015429156</v>
      </c>
      <c r="N3" s="64"/>
      <c r="O3" s="64"/>
      <c r="R3" s="32"/>
      <c r="T3" s="60"/>
      <c r="U3" s="110"/>
      <c r="V3" s="112"/>
      <c r="Y3" s="60"/>
      <c r="Z3" s="64"/>
      <c r="AA3" s="64"/>
    </row>
    <row r="4" spans="1:27" x14ac:dyDescent="0.25">
      <c r="A4">
        <v>1003869983</v>
      </c>
      <c r="B4" s="37">
        <v>0.64320495794599386</v>
      </c>
      <c r="C4" s="64">
        <v>44760</v>
      </c>
      <c r="D4" s="64">
        <v>44760</v>
      </c>
      <c r="E4" s="32">
        <v>27344</v>
      </c>
      <c r="F4" s="64">
        <v>150</v>
      </c>
      <c r="G4" s="60">
        <v>34.5</v>
      </c>
      <c r="H4" s="64">
        <v>44019.999999999993</v>
      </c>
      <c r="I4" s="60">
        <v>293.46666666666664</v>
      </c>
      <c r="J4" s="110">
        <v>7.879999999999999</v>
      </c>
      <c r="K4" s="112">
        <v>0.97399999999999998</v>
      </c>
      <c r="L4" s="60">
        <v>37.809999999999945</v>
      </c>
      <c r="M4" s="60">
        <f>_xlfn.XLOOKUP(A4,'[1]FRV Output'!$F:$F,'[1]FRV Output'!$BC:$BC)</f>
        <v>8.1039503375120532</v>
      </c>
      <c r="N4" s="64"/>
      <c r="O4" s="64"/>
      <c r="R4" s="32"/>
      <c r="T4" s="60"/>
      <c r="U4" s="110"/>
      <c r="V4" s="112"/>
      <c r="Y4" s="60"/>
      <c r="Z4" s="64"/>
      <c r="AA4" s="64"/>
    </row>
    <row r="5" spans="1:27" x14ac:dyDescent="0.25">
      <c r="A5">
        <v>1013656156</v>
      </c>
      <c r="B5" s="37">
        <v>0.69539093398235463</v>
      </c>
      <c r="C5" s="64">
        <v>30249</v>
      </c>
      <c r="D5" s="64">
        <v>30249</v>
      </c>
      <c r="E5" s="32">
        <v>28791</v>
      </c>
      <c r="F5" s="64">
        <v>120</v>
      </c>
      <c r="G5" s="60">
        <v>25.75</v>
      </c>
      <c r="H5" s="64">
        <v>39222</v>
      </c>
      <c r="I5" s="60">
        <v>326.85000000000002</v>
      </c>
      <c r="J5" s="110">
        <v>24.38</v>
      </c>
      <c r="K5" s="112">
        <v>1.2060999999999999</v>
      </c>
      <c r="L5" s="60">
        <v>25.75</v>
      </c>
      <c r="M5" s="60">
        <f>_xlfn.XLOOKUP(A5,'[1]FRV Output'!$F:$F,'[1]FRV Output'!$BC:$BC)</f>
        <v>12.454461623071358</v>
      </c>
      <c r="N5" s="64"/>
      <c r="O5" s="64"/>
      <c r="R5" s="32"/>
      <c r="T5" s="60"/>
      <c r="U5" s="110"/>
      <c r="V5" s="112"/>
      <c r="Y5" s="60"/>
      <c r="Z5" s="64"/>
      <c r="AA5" s="64"/>
    </row>
    <row r="6" spans="1:27" x14ac:dyDescent="0.25">
      <c r="A6">
        <v>1013951896</v>
      </c>
      <c r="B6" s="37">
        <v>0.52073603586773776</v>
      </c>
      <c r="C6" s="64">
        <v>26876</v>
      </c>
      <c r="D6" s="64">
        <v>26876</v>
      </c>
      <c r="E6" s="32">
        <v>27845</v>
      </c>
      <c r="F6" s="64">
        <v>80</v>
      </c>
      <c r="G6" s="60">
        <v>27.6099999999999</v>
      </c>
      <c r="H6" s="64">
        <v>31536</v>
      </c>
      <c r="I6" s="60">
        <v>394.2</v>
      </c>
      <c r="J6" s="110">
        <v>24.38</v>
      </c>
      <c r="K6" s="112">
        <v>1.1859999999999999</v>
      </c>
      <c r="L6" s="60">
        <v>27.6099999999999</v>
      </c>
      <c r="M6" s="60">
        <f>_xlfn.XLOOKUP(A6,'[1]FRV Output'!$F:$F,'[1]FRV Output'!$BC:$BC)</f>
        <v>11.157472657084956</v>
      </c>
      <c r="N6" s="64"/>
      <c r="O6" s="64"/>
      <c r="R6" s="32"/>
      <c r="T6" s="60"/>
      <c r="U6" s="110"/>
      <c r="V6" s="112"/>
      <c r="Y6" s="60"/>
      <c r="Z6" s="64"/>
      <c r="AA6" s="64"/>
    </row>
    <row r="7" spans="1:27" x14ac:dyDescent="0.25">
      <c r="A7">
        <v>1023358991</v>
      </c>
      <c r="B7" s="37">
        <v>0.56678451323618184</v>
      </c>
      <c r="C7" s="64">
        <v>24405</v>
      </c>
      <c r="D7" s="64">
        <v>24405</v>
      </c>
      <c r="E7" s="32">
        <v>28577</v>
      </c>
      <c r="F7" s="64">
        <v>104</v>
      </c>
      <c r="G7" s="60">
        <v>30.980000000000018</v>
      </c>
      <c r="H7" s="64">
        <v>50521</v>
      </c>
      <c r="I7" s="60">
        <v>485.77884615384613</v>
      </c>
      <c r="J7" s="110">
        <v>24.38</v>
      </c>
      <c r="K7" s="112">
        <v>1.0125999999999999</v>
      </c>
      <c r="L7" s="60">
        <v>30.980000000000018</v>
      </c>
      <c r="M7" s="60">
        <f>_xlfn.XLOOKUP(A7,'[1]FRV Output'!$F:$F,'[1]FRV Output'!$BC:$BC)</f>
        <v>12.501603653377018</v>
      </c>
      <c r="N7" s="64"/>
      <c r="O7" s="64"/>
      <c r="R7" s="32"/>
      <c r="T7" s="60"/>
      <c r="U7" s="110"/>
      <c r="V7" s="112"/>
      <c r="Y7" s="60"/>
      <c r="Z7" s="64"/>
      <c r="AA7" s="64"/>
    </row>
    <row r="8" spans="1:27" x14ac:dyDescent="0.25">
      <c r="A8">
        <v>1023386190</v>
      </c>
      <c r="B8" s="37">
        <v>0.62870031012122929</v>
      </c>
      <c r="C8" s="64">
        <v>25697</v>
      </c>
      <c r="D8" s="64">
        <v>25697</v>
      </c>
      <c r="E8" s="32">
        <v>28398</v>
      </c>
      <c r="F8" s="64">
        <v>100</v>
      </c>
      <c r="G8" s="60">
        <v>27.900000000000091</v>
      </c>
      <c r="H8" s="64">
        <v>0</v>
      </c>
      <c r="I8" s="60">
        <v>0</v>
      </c>
      <c r="J8" s="110">
        <v>24.38</v>
      </c>
      <c r="K8" s="112">
        <v>1.0794999999999999</v>
      </c>
      <c r="L8" s="60">
        <v>27.900000000000091</v>
      </c>
      <c r="M8" s="60">
        <f>_xlfn.XLOOKUP(A8,'[1]FRV Output'!$F:$F,'[1]FRV Output'!$BC:$BC)</f>
        <v>11.146624324975859</v>
      </c>
      <c r="N8" s="64"/>
      <c r="O8" s="64"/>
      <c r="R8" s="32"/>
      <c r="T8" s="60"/>
      <c r="U8" s="110"/>
      <c r="V8" s="112"/>
      <c r="Y8" s="60"/>
      <c r="Z8" s="64"/>
      <c r="AA8" s="64"/>
    </row>
    <row r="9" spans="1:27" x14ac:dyDescent="0.25">
      <c r="A9">
        <v>1023481520</v>
      </c>
      <c r="B9" s="37">
        <v>0.6270992053739658</v>
      </c>
      <c r="C9" s="64">
        <v>23211</v>
      </c>
      <c r="D9" s="64">
        <v>23211</v>
      </c>
      <c r="E9" s="32">
        <v>28301</v>
      </c>
      <c r="F9" s="64">
        <v>80</v>
      </c>
      <c r="G9" s="60">
        <v>4.9900000000000091</v>
      </c>
      <c r="H9" s="64">
        <v>67197.431807300527</v>
      </c>
      <c r="I9" s="60">
        <v>839.96789759125659</v>
      </c>
      <c r="J9" s="110">
        <v>24.38</v>
      </c>
      <c r="K9" s="112">
        <v>1.1823999999999999</v>
      </c>
      <c r="L9" s="60">
        <v>4.9900000000000091</v>
      </c>
      <c r="M9" s="60">
        <f>_xlfn.XLOOKUP(A9,'[1]FRV Output'!$F:$F,'[1]FRV Output'!$BC:$BC)</f>
        <v>36.824901472998981</v>
      </c>
      <c r="N9" s="64"/>
      <c r="O9" s="64"/>
      <c r="R9" s="32"/>
      <c r="T9" s="60"/>
      <c r="U9" s="110"/>
      <c r="V9" s="112"/>
      <c r="Y9" s="60"/>
      <c r="Z9" s="64"/>
      <c r="AA9" s="64"/>
    </row>
    <row r="10" spans="1:27" x14ac:dyDescent="0.25">
      <c r="A10">
        <v>1023671765</v>
      </c>
      <c r="B10" s="37">
        <v>0.64814975301152622</v>
      </c>
      <c r="C10" s="64">
        <v>44613</v>
      </c>
      <c r="D10" s="64">
        <v>44613</v>
      </c>
      <c r="E10" s="32">
        <v>27203</v>
      </c>
      <c r="F10" s="64">
        <v>238</v>
      </c>
      <c r="G10" s="60">
        <v>34.5</v>
      </c>
      <c r="H10" s="64">
        <v>66437</v>
      </c>
      <c r="I10" s="60">
        <v>279.14705882352939</v>
      </c>
      <c r="J10" s="110">
        <v>7.879999999999999</v>
      </c>
      <c r="K10" s="112">
        <v>1.3879999999999999</v>
      </c>
      <c r="L10" s="60">
        <v>43.990000000000009</v>
      </c>
      <c r="M10" s="60">
        <f>_xlfn.XLOOKUP(A10,'[1]FRV Output'!$F:$F,'[1]FRV Output'!$BC:$BC)</f>
        <v>8.1039503375120514</v>
      </c>
      <c r="N10" s="64"/>
      <c r="O10" s="64"/>
      <c r="R10" s="32"/>
      <c r="T10" s="60"/>
      <c r="U10" s="110"/>
      <c r="V10" s="112"/>
      <c r="Y10" s="60"/>
      <c r="Z10" s="64"/>
      <c r="AA10" s="64"/>
    </row>
    <row r="11" spans="1:27" x14ac:dyDescent="0.25">
      <c r="A11">
        <v>1033244090</v>
      </c>
      <c r="B11" s="37">
        <v>0.69840889102102821</v>
      </c>
      <c r="C11" s="64">
        <v>46130</v>
      </c>
      <c r="D11" s="64">
        <v>46130</v>
      </c>
      <c r="E11" s="32">
        <v>28086</v>
      </c>
      <c r="F11" s="64">
        <v>154</v>
      </c>
      <c r="G11" s="60">
        <v>21.6099999999999</v>
      </c>
      <c r="H11" s="64">
        <v>50475</v>
      </c>
      <c r="I11" s="60">
        <v>327.75974025974028</v>
      </c>
      <c r="J11" s="110">
        <v>7.879999999999999</v>
      </c>
      <c r="K11" s="112">
        <v>1.1453</v>
      </c>
      <c r="L11" s="60">
        <v>21.6099999999999</v>
      </c>
      <c r="M11" s="60">
        <f>_xlfn.XLOOKUP(A11,'[1]FRV Output'!$F:$F,'[1]FRV Output'!$BC:$BC)</f>
        <v>13.92391837933944</v>
      </c>
      <c r="N11" s="64"/>
      <c r="O11" s="64"/>
      <c r="R11" s="32"/>
      <c r="T11" s="60"/>
      <c r="U11" s="110"/>
      <c r="V11" s="112"/>
      <c r="Y11" s="60"/>
      <c r="Z11" s="64"/>
      <c r="AA11" s="64"/>
    </row>
    <row r="12" spans="1:27" x14ac:dyDescent="0.25">
      <c r="A12">
        <v>1033513320</v>
      </c>
      <c r="B12" s="37">
        <v>0.58044413236197667</v>
      </c>
      <c r="C12" s="64">
        <v>31297</v>
      </c>
      <c r="D12" s="64">
        <v>31297</v>
      </c>
      <c r="E12" s="32">
        <v>28379</v>
      </c>
      <c r="F12" s="64">
        <v>120</v>
      </c>
      <c r="G12" s="60">
        <v>24.720000000000027</v>
      </c>
      <c r="H12" s="64">
        <v>34530</v>
      </c>
      <c r="I12" s="60">
        <v>287.75</v>
      </c>
      <c r="J12" s="110">
        <v>24.38</v>
      </c>
      <c r="K12" s="112">
        <v>1.1476</v>
      </c>
      <c r="L12" s="60">
        <v>24.720000000000027</v>
      </c>
      <c r="M12" s="60">
        <f>_xlfn.XLOOKUP(A12,'[1]FRV Output'!$F:$F,'[1]FRV Output'!$BC:$BC)</f>
        <v>13.138707985776264</v>
      </c>
      <c r="N12" s="64"/>
      <c r="O12" s="64"/>
      <c r="R12" s="32"/>
      <c r="T12" s="60"/>
      <c r="U12" s="110"/>
      <c r="V12" s="112"/>
      <c r="Y12" s="60"/>
      <c r="Z12" s="64"/>
      <c r="AA12" s="64"/>
    </row>
    <row r="13" spans="1:27" x14ac:dyDescent="0.25">
      <c r="A13">
        <v>1033611959</v>
      </c>
      <c r="B13" s="37">
        <v>0.65</v>
      </c>
      <c r="C13" s="64">
        <v>22631</v>
      </c>
      <c r="D13" s="64">
        <v>22631</v>
      </c>
      <c r="E13" s="32">
        <v>27517</v>
      </c>
      <c r="F13" s="64">
        <v>133</v>
      </c>
      <c r="G13" s="60">
        <v>4.6700000000000728</v>
      </c>
      <c r="H13" s="64">
        <v>58275.060786229202</v>
      </c>
      <c r="I13" s="60">
        <v>438.15835177615941</v>
      </c>
      <c r="J13" s="110">
        <v>24.38</v>
      </c>
      <c r="K13" s="112">
        <v>1.1435999999999999</v>
      </c>
      <c r="L13" s="60">
        <v>4.6700000000000728</v>
      </c>
      <c r="M13" s="60">
        <f>_xlfn.XLOOKUP(A13,'[1]FRV Output'!$F:$F,'[1]FRV Output'!$BC:$BC)</f>
        <v>24.08770118442208</v>
      </c>
      <c r="N13" s="64"/>
      <c r="O13" s="64"/>
      <c r="R13" s="32"/>
      <c r="T13" s="60"/>
      <c r="U13" s="110"/>
      <c r="V13" s="112"/>
      <c r="Y13" s="60"/>
      <c r="Z13" s="64"/>
      <c r="AA13" s="64"/>
    </row>
    <row r="14" spans="1:27" x14ac:dyDescent="0.25">
      <c r="A14">
        <v>1033784970</v>
      </c>
      <c r="B14" s="37">
        <v>0.61825171318736416</v>
      </c>
      <c r="C14" s="64">
        <v>35891</v>
      </c>
      <c r="D14" s="64">
        <v>35891</v>
      </c>
      <c r="E14" s="32">
        <v>27406</v>
      </c>
      <c r="F14" s="64">
        <v>110</v>
      </c>
      <c r="G14" s="60">
        <v>9.2699999999999818</v>
      </c>
      <c r="H14" s="64">
        <v>36687</v>
      </c>
      <c r="I14" s="60">
        <v>333.5181818181818</v>
      </c>
      <c r="J14" s="110">
        <v>24.38</v>
      </c>
      <c r="K14" s="112">
        <v>1.2518</v>
      </c>
      <c r="L14" s="60">
        <v>9.2699999999999818</v>
      </c>
      <c r="M14" s="60">
        <f>_xlfn.XLOOKUP(A14,'[1]FRV Output'!$F:$F,'[1]FRV Output'!$BC:$BC)</f>
        <v>20.621934734003656</v>
      </c>
      <c r="N14" s="64"/>
      <c r="O14" s="64"/>
      <c r="R14" s="32"/>
      <c r="T14" s="60"/>
      <c r="U14" s="110"/>
      <c r="V14" s="112"/>
      <c r="Y14" s="60"/>
      <c r="Z14" s="64"/>
      <c r="AA14" s="64"/>
    </row>
    <row r="15" spans="1:27" x14ac:dyDescent="0.25">
      <c r="A15">
        <v>1043263981</v>
      </c>
      <c r="B15" s="37">
        <v>0.65334044065387353</v>
      </c>
      <c r="C15" s="64">
        <v>27262</v>
      </c>
      <c r="D15" s="64">
        <v>27262</v>
      </c>
      <c r="E15" s="32">
        <v>28329</v>
      </c>
      <c r="F15" s="64">
        <v>100</v>
      </c>
      <c r="G15" s="60">
        <v>24.059999999999945</v>
      </c>
      <c r="H15" s="64">
        <v>37473</v>
      </c>
      <c r="I15" s="60">
        <v>374.73</v>
      </c>
      <c r="J15" s="110">
        <v>24.38</v>
      </c>
      <c r="K15" s="112">
        <v>1.1637999999999999</v>
      </c>
      <c r="L15" s="60">
        <v>24.059999999999945</v>
      </c>
      <c r="M15" s="60">
        <f>_xlfn.XLOOKUP(A15,'[1]FRV Output'!$F:$F,'[1]FRV Output'!$BC:$BC)</f>
        <v>13.401773396817763</v>
      </c>
      <c r="N15" s="64"/>
      <c r="O15" s="64"/>
      <c r="R15" s="32"/>
      <c r="T15" s="60"/>
      <c r="U15" s="110"/>
      <c r="V15" s="112"/>
      <c r="Y15" s="60"/>
      <c r="Z15" s="64"/>
      <c r="AA15" s="64"/>
    </row>
    <row r="16" spans="1:27" x14ac:dyDescent="0.25">
      <c r="A16">
        <v>1043314602</v>
      </c>
      <c r="B16" s="37">
        <v>0.68245472541975227</v>
      </c>
      <c r="C16" s="64">
        <v>41244</v>
      </c>
      <c r="D16" s="64">
        <v>41244</v>
      </c>
      <c r="E16" s="32">
        <v>27262</v>
      </c>
      <c r="F16" s="64">
        <v>129</v>
      </c>
      <c r="G16" s="60">
        <v>10.819999999999936</v>
      </c>
      <c r="H16" s="64">
        <v>66368</v>
      </c>
      <c r="I16" s="60">
        <v>514.48062015503876</v>
      </c>
      <c r="J16" s="110">
        <v>24.38</v>
      </c>
      <c r="K16" s="112">
        <v>1.3634999999999999</v>
      </c>
      <c r="L16" s="60">
        <v>10.819999999999936</v>
      </c>
      <c r="M16" s="60">
        <f>_xlfn.XLOOKUP(A16,'[1]FRV Output'!$F:$F,'[1]FRV Output'!$BC:$BC)</f>
        <v>23.855367942845472</v>
      </c>
      <c r="N16" s="64"/>
      <c r="O16" s="64"/>
      <c r="R16" s="32"/>
      <c r="T16" s="60"/>
      <c r="U16" s="110"/>
      <c r="V16" s="112"/>
      <c r="Y16" s="60"/>
      <c r="Z16" s="64"/>
      <c r="AA16" s="64"/>
    </row>
    <row r="17" spans="1:27" x14ac:dyDescent="0.25">
      <c r="A17">
        <v>1043703945</v>
      </c>
      <c r="B17" s="37">
        <v>0.61682716675114035</v>
      </c>
      <c r="C17" s="64">
        <v>28421</v>
      </c>
      <c r="D17" s="64">
        <v>28421</v>
      </c>
      <c r="E17" s="32">
        <v>28052</v>
      </c>
      <c r="F17" s="64">
        <v>118</v>
      </c>
      <c r="G17" s="60">
        <v>3.3299999999999272</v>
      </c>
      <c r="H17" s="64">
        <v>35196</v>
      </c>
      <c r="I17" s="60">
        <v>298.27118644067798</v>
      </c>
      <c r="J17" s="110">
        <v>24.38</v>
      </c>
      <c r="K17" s="112">
        <v>1.0692999999999999</v>
      </c>
      <c r="L17" s="60">
        <v>3.3299999999999272</v>
      </c>
      <c r="M17" s="60">
        <f>_xlfn.XLOOKUP(A17,'[1]FRV Output'!$F:$F,'[1]FRV Output'!$BC:$BC)</f>
        <v>24.277193131027033</v>
      </c>
      <c r="N17" s="64"/>
      <c r="O17" s="64"/>
      <c r="R17" s="32"/>
      <c r="T17" s="60"/>
      <c r="U17" s="110"/>
      <c r="V17" s="112"/>
      <c r="Y17" s="60"/>
      <c r="Z17" s="64"/>
      <c r="AA17" s="64"/>
    </row>
    <row r="18" spans="1:27" x14ac:dyDescent="0.25">
      <c r="A18">
        <v>1043865538</v>
      </c>
      <c r="B18" s="37">
        <v>0.57355207105954853</v>
      </c>
      <c r="C18" s="64">
        <v>19442</v>
      </c>
      <c r="D18" s="64">
        <v>19442</v>
      </c>
      <c r="E18" s="32">
        <v>27549</v>
      </c>
      <c r="F18" s="64">
        <v>92</v>
      </c>
      <c r="G18" s="60">
        <v>28.220000000000027</v>
      </c>
      <c r="H18" s="64">
        <v>31113.959999999995</v>
      </c>
      <c r="I18" s="60">
        <v>338.19521739130431</v>
      </c>
      <c r="J18" s="110">
        <v>24.38</v>
      </c>
      <c r="K18" s="112">
        <v>1.0891</v>
      </c>
      <c r="L18" s="60">
        <v>28.220000000000027</v>
      </c>
      <c r="M18" s="60">
        <f>_xlfn.XLOOKUP(A18,'[1]FRV Output'!$F:$F,'[1]FRV Output'!$BC:$BC)</f>
        <v>10.908559186113781</v>
      </c>
      <c r="N18" s="64"/>
      <c r="O18" s="64"/>
      <c r="R18" s="32"/>
      <c r="T18" s="60"/>
      <c r="U18" s="110"/>
      <c r="V18" s="112"/>
      <c r="Y18" s="60"/>
      <c r="Z18" s="64"/>
      <c r="AA18" s="64"/>
    </row>
    <row r="19" spans="1:27" x14ac:dyDescent="0.25">
      <c r="A19">
        <v>1053380626</v>
      </c>
      <c r="B19" s="37">
        <v>0.65862406260189099</v>
      </c>
      <c r="C19" s="64">
        <v>37695</v>
      </c>
      <c r="D19" s="64">
        <v>37695</v>
      </c>
      <c r="E19" s="32">
        <v>28262</v>
      </c>
      <c r="F19" s="64">
        <v>120</v>
      </c>
      <c r="G19" s="60">
        <v>22.150000000000091</v>
      </c>
      <c r="H19" s="64">
        <v>36154.28571428571</v>
      </c>
      <c r="I19" s="60">
        <v>301.28571428571428</v>
      </c>
      <c r="J19" s="110">
        <v>24.38</v>
      </c>
      <c r="K19" s="112">
        <v>1.2743</v>
      </c>
      <c r="L19" s="60">
        <v>22.150000000000091</v>
      </c>
      <c r="M19" s="60">
        <f>_xlfn.XLOOKUP(A19,'[1]FRV Output'!$F:$F,'[1]FRV Output'!$BC:$BC)</f>
        <v>14.327545514325477</v>
      </c>
      <c r="N19" s="64"/>
      <c r="O19" s="64"/>
      <c r="R19" s="32"/>
      <c r="T19" s="60"/>
      <c r="U19" s="110"/>
      <c r="V19" s="112"/>
      <c r="Y19" s="60"/>
      <c r="Z19" s="64"/>
      <c r="AA19" s="64"/>
    </row>
    <row r="20" spans="1:27" x14ac:dyDescent="0.25">
      <c r="A20">
        <v>1053396788</v>
      </c>
      <c r="B20" s="37">
        <v>0.65977140017393465</v>
      </c>
      <c r="C20" s="64">
        <v>19267</v>
      </c>
      <c r="D20" s="64">
        <v>19267</v>
      </c>
      <c r="E20" s="32">
        <v>27856</v>
      </c>
      <c r="F20" s="64">
        <v>60</v>
      </c>
      <c r="G20" s="60">
        <v>8.3099999999999454</v>
      </c>
      <c r="H20" s="64">
        <v>40703.644646924826</v>
      </c>
      <c r="I20" s="60">
        <v>678.39407744874711</v>
      </c>
      <c r="J20" s="110">
        <v>24.38</v>
      </c>
      <c r="K20" s="112">
        <v>1.1019000000000001</v>
      </c>
      <c r="L20" s="60">
        <v>8.3099999999999454</v>
      </c>
      <c r="M20" s="60">
        <f>_xlfn.XLOOKUP(A20,'[1]FRV Output'!$F:$F,'[1]FRV Output'!$BC:$BC)</f>
        <v>31.621075244639169</v>
      </c>
      <c r="N20" s="64"/>
      <c r="O20" s="64"/>
      <c r="R20" s="32"/>
      <c r="T20" s="60"/>
      <c r="U20" s="110"/>
      <c r="V20" s="112"/>
      <c r="Y20" s="60"/>
      <c r="Z20" s="64"/>
      <c r="AA20" s="64"/>
    </row>
    <row r="21" spans="1:27" x14ac:dyDescent="0.25">
      <c r="A21">
        <v>1053953844</v>
      </c>
      <c r="B21" s="37">
        <v>0.68802161223406821</v>
      </c>
      <c r="C21" s="64">
        <v>17461</v>
      </c>
      <c r="D21" s="64">
        <v>19076.794029850746</v>
      </c>
      <c r="E21" s="32">
        <v>28112</v>
      </c>
      <c r="F21" s="64">
        <v>70</v>
      </c>
      <c r="G21" s="60">
        <v>15.299999999999955</v>
      </c>
      <c r="H21" s="64">
        <v>0</v>
      </c>
      <c r="I21" s="60">
        <v>0</v>
      </c>
      <c r="J21" s="110">
        <v>24.38</v>
      </c>
      <c r="K21" s="112">
        <v>1.1354</v>
      </c>
      <c r="L21" s="60">
        <v>15.299999999999955</v>
      </c>
      <c r="M21" s="60">
        <f>_xlfn.XLOOKUP(A21,'[1]FRV Output'!$F:$F,'[1]FRV Output'!$BC:$BC)</f>
        <v>18.301423799421428</v>
      </c>
      <c r="N21" s="64"/>
      <c r="O21" s="64"/>
      <c r="R21" s="32"/>
      <c r="T21" s="60"/>
      <c r="U21" s="110"/>
      <c r="V21" s="112"/>
      <c r="Y21" s="60"/>
      <c r="Z21" s="64"/>
      <c r="AA21" s="64"/>
    </row>
    <row r="22" spans="1:27" x14ac:dyDescent="0.25">
      <c r="A22">
        <v>1063458958</v>
      </c>
      <c r="B22" s="37">
        <v>0.62166111877892349</v>
      </c>
      <c r="C22" s="64">
        <v>36565</v>
      </c>
      <c r="D22" s="64">
        <v>36565</v>
      </c>
      <c r="E22" s="32">
        <v>28580</v>
      </c>
      <c r="F22" s="64">
        <v>115</v>
      </c>
      <c r="G22" s="60">
        <v>24.759999999999991</v>
      </c>
      <c r="H22" s="64">
        <v>32119.893384146348</v>
      </c>
      <c r="I22" s="60">
        <v>279.30342073170738</v>
      </c>
      <c r="J22" s="110">
        <v>24.38</v>
      </c>
      <c r="K22" s="112">
        <v>1.2544</v>
      </c>
      <c r="L22" s="60">
        <v>24.759999999999991</v>
      </c>
      <c r="M22" s="60">
        <f>_xlfn.XLOOKUP(A22,'[1]FRV Output'!$F:$F,'[1]FRV Output'!$BC:$BC)</f>
        <v>11.981604633905402</v>
      </c>
      <c r="N22" s="64"/>
      <c r="O22" s="64"/>
      <c r="R22" s="32"/>
      <c r="T22" s="60"/>
      <c r="U22" s="110"/>
      <c r="V22" s="112"/>
      <c r="Y22" s="60"/>
      <c r="Z22" s="64"/>
      <c r="AA22" s="64"/>
    </row>
    <row r="23" spans="1:27" x14ac:dyDescent="0.25">
      <c r="A23">
        <v>1063838381</v>
      </c>
      <c r="B23" s="37">
        <v>0.58046407185628746</v>
      </c>
      <c r="C23" s="64">
        <v>24893</v>
      </c>
      <c r="D23" s="64">
        <v>24893</v>
      </c>
      <c r="E23" s="32">
        <v>27103</v>
      </c>
      <c r="F23" s="64">
        <v>90</v>
      </c>
      <c r="G23" s="60">
        <v>14.190000000000055</v>
      </c>
      <c r="H23" s="64">
        <v>25826.000000000004</v>
      </c>
      <c r="I23" s="60">
        <v>286.95555555555558</v>
      </c>
      <c r="J23" s="110">
        <v>24.38</v>
      </c>
      <c r="K23" s="112">
        <v>1.3228</v>
      </c>
      <c r="L23" s="60">
        <v>14.190000000000055</v>
      </c>
      <c r="M23" s="60">
        <f>_xlfn.XLOOKUP(A23,'[1]FRV Output'!$F:$F,'[1]FRV Output'!$BC:$BC)</f>
        <v>18.026103201542927</v>
      </c>
      <c r="N23" s="64"/>
      <c r="O23" s="64"/>
      <c r="R23" s="32"/>
      <c r="T23" s="60"/>
      <c r="U23" s="110"/>
      <c r="V23" s="112"/>
      <c r="Y23" s="60"/>
      <c r="Z23" s="64"/>
      <c r="AA23" s="64"/>
    </row>
    <row r="24" spans="1:27" x14ac:dyDescent="0.25">
      <c r="A24">
        <v>1063919652</v>
      </c>
      <c r="B24" s="37">
        <v>0.63775292410142581</v>
      </c>
      <c r="C24" s="64">
        <v>24458</v>
      </c>
      <c r="D24" s="64">
        <v>24458</v>
      </c>
      <c r="E24" s="32">
        <v>28712</v>
      </c>
      <c r="F24" s="64">
        <v>147</v>
      </c>
      <c r="G24" s="60">
        <v>15.630000000000109</v>
      </c>
      <c r="H24" s="64">
        <v>53397</v>
      </c>
      <c r="I24" s="60">
        <v>363.24489795918367</v>
      </c>
      <c r="J24" s="110">
        <v>24.38</v>
      </c>
      <c r="K24" s="112">
        <v>1.1512</v>
      </c>
      <c r="L24" s="60">
        <v>15.630000000000109</v>
      </c>
      <c r="M24" s="60">
        <f>_xlfn.XLOOKUP(A24,'[1]FRV Output'!$F:$F,'[1]FRV Output'!$BC:$BC)</f>
        <v>17.188126289296005</v>
      </c>
      <c r="N24" s="64"/>
      <c r="O24" s="64"/>
      <c r="R24" s="32"/>
      <c r="T24" s="60"/>
      <c r="U24" s="110"/>
      <c r="V24" s="112"/>
      <c r="Y24" s="60"/>
      <c r="Z24" s="64"/>
      <c r="AA24" s="64"/>
    </row>
    <row r="25" spans="1:27" x14ac:dyDescent="0.25">
      <c r="A25">
        <v>1073034138</v>
      </c>
      <c r="B25" s="37">
        <v>0.6272475795297372</v>
      </c>
      <c r="C25" s="64">
        <v>37457</v>
      </c>
      <c r="D25" s="64">
        <v>37457</v>
      </c>
      <c r="E25" s="32">
        <v>28715</v>
      </c>
      <c r="F25" s="64">
        <v>118</v>
      </c>
      <c r="G25" s="60">
        <v>1.3900000000001</v>
      </c>
      <c r="H25" s="64">
        <v>65000</v>
      </c>
      <c r="I25" s="60">
        <v>550.84745762711862</v>
      </c>
      <c r="J25" s="110">
        <v>0</v>
      </c>
      <c r="K25" s="112">
        <v>1.2338</v>
      </c>
      <c r="L25" s="60">
        <v>1.3900000000001</v>
      </c>
      <c r="M25" s="60">
        <f>_xlfn.XLOOKUP(A25,'[1]FRV Output'!$F:$F,'[1]FRV Output'!$BC:$BC)</f>
        <v>30.294807015377632</v>
      </c>
      <c r="N25" s="64"/>
      <c r="O25" s="64"/>
      <c r="R25" s="32"/>
      <c r="T25" s="60"/>
      <c r="U25" s="110"/>
      <c r="V25" s="112"/>
    </row>
    <row r="26" spans="1:27" x14ac:dyDescent="0.25">
      <c r="A26">
        <v>1073599510</v>
      </c>
      <c r="B26" s="37">
        <v>0.80057985629648298</v>
      </c>
      <c r="C26" s="64">
        <v>25103</v>
      </c>
      <c r="D26" s="64">
        <v>25103</v>
      </c>
      <c r="E26" s="32">
        <v>28054</v>
      </c>
      <c r="F26" s="64">
        <v>76</v>
      </c>
      <c r="G26" s="60">
        <v>19.259999999999991</v>
      </c>
      <c r="H26" s="64">
        <v>0</v>
      </c>
      <c r="I26" s="60">
        <v>0</v>
      </c>
      <c r="J26" s="110">
        <v>24.38</v>
      </c>
      <c r="K26" s="112">
        <v>1.0259</v>
      </c>
      <c r="L26" s="60">
        <v>19.259999999999991</v>
      </c>
      <c r="M26" s="60">
        <f>_xlfn.XLOOKUP(A26,'[1]FRV Output'!$F:$F,'[1]FRV Output'!$BC:$BC)</f>
        <v>15.299774451818511</v>
      </c>
      <c r="N26" s="64"/>
      <c r="O26" s="64"/>
      <c r="R26" s="32"/>
      <c r="T26" s="60"/>
      <c r="U26" s="110"/>
      <c r="V26" s="112"/>
    </row>
    <row r="27" spans="1:27" x14ac:dyDescent="0.25">
      <c r="A27">
        <v>1073599635</v>
      </c>
      <c r="B27" s="37">
        <v>0.62474883946511472</v>
      </c>
      <c r="C27" s="64">
        <v>29312</v>
      </c>
      <c r="D27" s="64">
        <v>29312</v>
      </c>
      <c r="E27" s="32">
        <v>28408</v>
      </c>
      <c r="F27" s="64">
        <v>90</v>
      </c>
      <c r="G27" s="60">
        <v>13.279999999999973</v>
      </c>
      <c r="H27" s="64">
        <v>57297.989949748735</v>
      </c>
      <c r="I27" s="60">
        <v>636.64433277498597</v>
      </c>
      <c r="J27" s="110">
        <v>24.38</v>
      </c>
      <c r="K27" s="112">
        <v>1.2274</v>
      </c>
      <c r="L27" s="60">
        <v>13.279999999999973</v>
      </c>
      <c r="M27" s="60">
        <f>_xlfn.XLOOKUP(A27,'[1]FRV Output'!$F:$F,'[1]FRV Output'!$BC:$BC)</f>
        <v>25.795279777007806</v>
      </c>
      <c r="N27" s="64"/>
      <c r="O27" s="64"/>
      <c r="R27" s="32"/>
      <c r="T27" s="60"/>
      <c r="U27" s="110"/>
      <c r="V27" s="112"/>
    </row>
    <row r="28" spans="1:27" x14ac:dyDescent="0.25">
      <c r="A28">
        <v>1083298236</v>
      </c>
      <c r="B28" s="37">
        <v>0.69082437275985664</v>
      </c>
      <c r="C28" s="64">
        <v>29082</v>
      </c>
      <c r="D28" s="64">
        <v>29082</v>
      </c>
      <c r="E28" s="32">
        <v>27292</v>
      </c>
      <c r="F28" s="64">
        <v>90</v>
      </c>
      <c r="G28" s="60">
        <v>6.0599999999999454</v>
      </c>
      <c r="H28" s="64">
        <v>29716.2</v>
      </c>
      <c r="I28" s="60">
        <v>330.18</v>
      </c>
      <c r="J28" s="110">
        <v>24.38</v>
      </c>
      <c r="K28" s="112">
        <v>1.1889000000000001</v>
      </c>
      <c r="L28" s="60">
        <v>6.0599999999999454</v>
      </c>
      <c r="M28" s="60">
        <f>_xlfn.XLOOKUP(A28,'[1]FRV Output'!$F:$F,'[1]FRV Output'!$BC:$BC)</f>
        <v>22.201034949711183</v>
      </c>
      <c r="N28" s="64"/>
      <c r="O28" s="64"/>
      <c r="R28" s="32"/>
      <c r="T28" s="60"/>
      <c r="U28" s="110"/>
      <c r="V28" s="112"/>
    </row>
    <row r="29" spans="1:27" x14ac:dyDescent="0.25">
      <c r="A29">
        <v>1083659692</v>
      </c>
      <c r="B29" s="37">
        <v>0.58256179775280903</v>
      </c>
      <c r="C29" s="64">
        <v>33006</v>
      </c>
      <c r="D29" s="64">
        <v>33006</v>
      </c>
      <c r="E29" s="32">
        <v>28932</v>
      </c>
      <c r="F29" s="64">
        <v>130</v>
      </c>
      <c r="G29" s="60">
        <v>34.5</v>
      </c>
      <c r="H29" s="64">
        <v>46910</v>
      </c>
      <c r="I29" s="60">
        <v>360.84615384615387</v>
      </c>
      <c r="J29" s="110">
        <v>24.38</v>
      </c>
      <c r="K29" s="112">
        <v>1.2653000000000001</v>
      </c>
      <c r="L29" s="60">
        <v>36.819999999999936</v>
      </c>
      <c r="M29" s="60">
        <f>_xlfn.XLOOKUP(A29,'[1]FRV Output'!$F:$F,'[1]FRV Output'!$BC:$BC)</f>
        <v>8.6292991457607027</v>
      </c>
      <c r="N29" s="64"/>
      <c r="O29" s="64"/>
      <c r="R29" s="32"/>
      <c r="T29" s="60"/>
      <c r="U29" s="110"/>
      <c r="V29" s="112"/>
    </row>
    <row r="30" spans="1:27" x14ac:dyDescent="0.25">
      <c r="A30">
        <v>1083661193</v>
      </c>
      <c r="B30" s="37">
        <v>0.68692111146598522</v>
      </c>
      <c r="C30" s="64">
        <v>32182</v>
      </c>
      <c r="D30" s="64">
        <v>32182</v>
      </c>
      <c r="E30" s="32">
        <v>27511</v>
      </c>
      <c r="F30" s="64">
        <v>120</v>
      </c>
      <c r="G30" s="60">
        <v>17.759999999999991</v>
      </c>
      <c r="H30" s="64">
        <v>47592</v>
      </c>
      <c r="I30" s="60">
        <v>396.6</v>
      </c>
      <c r="J30" s="110">
        <v>24.38</v>
      </c>
      <c r="K30" s="112">
        <v>1.0583</v>
      </c>
      <c r="L30" s="60">
        <v>17.759999999999991</v>
      </c>
      <c r="M30" s="60">
        <f>_xlfn.XLOOKUP(A30,'[1]FRV Output'!$F:$F,'[1]FRV Output'!$BC:$BC)</f>
        <v>15.505210484088758</v>
      </c>
      <c r="N30" s="64"/>
      <c r="O30" s="64"/>
      <c r="R30" s="32"/>
      <c r="T30" s="60"/>
      <c r="U30" s="110"/>
      <c r="V30" s="112"/>
    </row>
    <row r="31" spans="1:27" x14ac:dyDescent="0.25">
      <c r="A31">
        <v>1083711626</v>
      </c>
      <c r="B31" s="37">
        <v>0.69032771659811598</v>
      </c>
      <c r="C31" s="64">
        <v>48249</v>
      </c>
      <c r="D31" s="64">
        <v>48249</v>
      </c>
      <c r="E31" s="32">
        <v>28105</v>
      </c>
      <c r="F31" s="64">
        <v>166</v>
      </c>
      <c r="G31" s="60">
        <v>23.1099999999999</v>
      </c>
      <c r="H31" s="64">
        <v>58418.818620241473</v>
      </c>
      <c r="I31" s="60">
        <v>351.92059409784019</v>
      </c>
      <c r="J31" s="110">
        <v>7.879999999999999</v>
      </c>
      <c r="K31" s="112">
        <v>1.3660000000000001</v>
      </c>
      <c r="L31" s="60">
        <v>23.1099999999999</v>
      </c>
      <c r="M31" s="60">
        <f>_xlfn.XLOOKUP(A31,'[1]FRV Output'!$F:$F,'[1]FRV Output'!$BC:$BC)</f>
        <v>13.319285657545796</v>
      </c>
      <c r="N31" s="64"/>
      <c r="O31" s="64"/>
      <c r="R31" s="32"/>
      <c r="T31" s="60"/>
      <c r="U31" s="110"/>
      <c r="V31" s="112"/>
    </row>
    <row r="32" spans="1:27" x14ac:dyDescent="0.25">
      <c r="A32">
        <v>1093131310</v>
      </c>
      <c r="B32" s="37">
        <v>0.48562572646261137</v>
      </c>
      <c r="C32" s="64">
        <v>27612</v>
      </c>
      <c r="D32" s="64">
        <v>27612</v>
      </c>
      <c r="E32" s="32">
        <v>28401</v>
      </c>
      <c r="F32" s="64">
        <v>90</v>
      </c>
      <c r="G32" s="60">
        <v>8.7100000000000364</v>
      </c>
      <c r="H32" s="64">
        <v>36000</v>
      </c>
      <c r="I32" s="60">
        <v>400</v>
      </c>
      <c r="J32" s="110">
        <v>24.38</v>
      </c>
      <c r="K32" s="112">
        <v>1.1656</v>
      </c>
      <c r="L32" s="60">
        <v>8.7100000000000364</v>
      </c>
      <c r="M32" s="60">
        <f>_xlfn.XLOOKUP(A32,'[1]FRV Output'!$F:$F,'[1]FRV Output'!$BC:$BC)</f>
        <v>20.630957911764686</v>
      </c>
      <c r="N32" s="64"/>
      <c r="O32" s="64"/>
      <c r="R32" s="32"/>
      <c r="T32" s="60"/>
      <c r="U32" s="110"/>
      <c r="V32" s="112"/>
    </row>
    <row r="33" spans="1:22" x14ac:dyDescent="0.25">
      <c r="A33">
        <v>1093228397</v>
      </c>
      <c r="B33" s="37">
        <v>0.65</v>
      </c>
      <c r="C33" s="64">
        <v>28926</v>
      </c>
      <c r="D33" s="64">
        <v>28926</v>
      </c>
      <c r="E33" s="32">
        <v>27529</v>
      </c>
      <c r="F33" s="64">
        <v>100</v>
      </c>
      <c r="G33" s="60">
        <v>6</v>
      </c>
      <c r="H33" s="64">
        <v>0</v>
      </c>
      <c r="I33" s="60">
        <v>0</v>
      </c>
      <c r="J33" s="110">
        <v>24.38</v>
      </c>
      <c r="K33" s="112">
        <v>1.2118</v>
      </c>
      <c r="L33" s="60">
        <v>6</v>
      </c>
      <c r="M33" s="60">
        <f>_xlfn.XLOOKUP(A33,'[1]FRV Output'!$F:$F,'[1]FRV Output'!$BC:$BC)</f>
        <v>22.837893804243006</v>
      </c>
      <c r="N33" s="64"/>
      <c r="O33" s="64"/>
      <c r="R33" s="32"/>
      <c r="T33" s="60"/>
      <c r="U33" s="110"/>
      <c r="V33" s="112"/>
    </row>
    <row r="34" spans="1:22" x14ac:dyDescent="0.25">
      <c r="A34">
        <v>1093708497</v>
      </c>
      <c r="B34" s="37">
        <v>0.59235558630231755</v>
      </c>
      <c r="C34" s="64">
        <v>42012</v>
      </c>
      <c r="D34" s="64">
        <v>42012</v>
      </c>
      <c r="E34" s="32">
        <v>28716</v>
      </c>
      <c r="F34" s="64">
        <v>131</v>
      </c>
      <c r="G34" s="60">
        <v>22.049999999999955</v>
      </c>
      <c r="H34" s="64">
        <v>36189.659722222226</v>
      </c>
      <c r="I34" s="60">
        <v>276.25694444444446</v>
      </c>
      <c r="J34" s="110">
        <v>7.879999999999999</v>
      </c>
      <c r="K34" s="112">
        <v>1.2806999999999999</v>
      </c>
      <c r="L34" s="60">
        <v>22.049999999999955</v>
      </c>
      <c r="M34" s="60">
        <f>_xlfn.XLOOKUP(A34,'[1]FRV Output'!$F:$F,'[1]FRV Output'!$BC:$BC)</f>
        <v>13.239897421848204</v>
      </c>
      <c r="N34" s="64"/>
      <c r="O34" s="64"/>
      <c r="R34" s="32"/>
      <c r="T34" s="60"/>
      <c r="U34" s="110"/>
      <c r="V34" s="112"/>
    </row>
    <row r="35" spans="1:22" x14ac:dyDescent="0.25">
      <c r="A35">
        <v>1093754459</v>
      </c>
      <c r="B35" s="37">
        <v>0.62956129561295615</v>
      </c>
      <c r="C35" s="64">
        <v>18847</v>
      </c>
      <c r="D35" s="64">
        <v>18847</v>
      </c>
      <c r="E35" s="32">
        <v>28139</v>
      </c>
      <c r="F35" s="64">
        <v>60</v>
      </c>
      <c r="G35" s="60">
        <v>20.869999999999891</v>
      </c>
      <c r="H35" s="64">
        <v>22246.05224063342</v>
      </c>
      <c r="I35" s="60">
        <v>370.76753734389035</v>
      </c>
      <c r="J35" s="110">
        <v>24.38</v>
      </c>
      <c r="K35" s="112">
        <v>1.2170000000000001</v>
      </c>
      <c r="L35" s="60">
        <v>20.869999999999891</v>
      </c>
      <c r="M35" s="60">
        <f>_xlfn.XLOOKUP(A35,'[1]FRV Output'!$F:$F,'[1]FRV Output'!$BC:$BC)</f>
        <v>14.686625194725957</v>
      </c>
      <c r="N35" s="64"/>
      <c r="O35" s="64"/>
      <c r="R35" s="32"/>
      <c r="T35" s="60"/>
      <c r="U35" s="110"/>
      <c r="V35" s="112"/>
    </row>
    <row r="36" spans="1:22" x14ac:dyDescent="0.25">
      <c r="A36">
        <v>1093791337</v>
      </c>
      <c r="B36" s="37">
        <v>0.65259004895155981</v>
      </c>
      <c r="C36" s="64">
        <v>34818</v>
      </c>
      <c r="D36" s="64">
        <v>34818</v>
      </c>
      <c r="E36" s="32">
        <v>28103</v>
      </c>
      <c r="F36" s="64">
        <v>110</v>
      </c>
      <c r="G36" s="60">
        <v>9.5699999999999363</v>
      </c>
      <c r="H36" s="64">
        <v>50841.91082802548</v>
      </c>
      <c r="I36" s="60">
        <v>462.19918934568619</v>
      </c>
      <c r="J36" s="110">
        <v>24.38</v>
      </c>
      <c r="K36" s="112">
        <v>1.095</v>
      </c>
      <c r="L36" s="60">
        <v>9.5699999999999363</v>
      </c>
      <c r="M36" s="60">
        <f>_xlfn.XLOOKUP(A36,'[1]FRV Output'!$F:$F,'[1]FRV Output'!$BC:$BC)</f>
        <v>23.315775271473985</v>
      </c>
      <c r="N36" s="64"/>
      <c r="O36" s="64"/>
      <c r="R36" s="32"/>
      <c r="T36" s="60"/>
      <c r="U36" s="110"/>
      <c r="V36" s="112"/>
    </row>
    <row r="37" spans="1:22" x14ac:dyDescent="0.25">
      <c r="A37">
        <v>1104471531</v>
      </c>
      <c r="B37" s="37">
        <v>0.66880461052240192</v>
      </c>
      <c r="C37" s="64">
        <v>39763</v>
      </c>
      <c r="D37" s="64">
        <v>39763</v>
      </c>
      <c r="E37" s="32">
        <v>27573</v>
      </c>
      <c r="F37" s="64">
        <v>140</v>
      </c>
      <c r="G37" s="60">
        <v>34.5</v>
      </c>
      <c r="H37" s="64">
        <v>45816.226901763221</v>
      </c>
      <c r="I37" s="60">
        <v>327.25876358402303</v>
      </c>
      <c r="J37" s="110">
        <v>24.38</v>
      </c>
      <c r="K37" s="112">
        <v>1.2549999999999999</v>
      </c>
      <c r="L37" s="60">
        <v>37.220000000000027</v>
      </c>
      <c r="M37" s="60">
        <f>_xlfn.XLOOKUP(A37,'[1]FRV Output'!$F:$F,'[1]FRV Output'!$BC:$BC)</f>
        <v>8.0677757989121286</v>
      </c>
      <c r="N37" s="64"/>
      <c r="O37" s="64"/>
      <c r="R37" s="32"/>
      <c r="T37" s="60"/>
      <c r="U37" s="110"/>
      <c r="V37" s="112"/>
    </row>
    <row r="38" spans="1:22" x14ac:dyDescent="0.25">
      <c r="A38">
        <v>1104800069</v>
      </c>
      <c r="B38" s="37">
        <v>0.68405553218342452</v>
      </c>
      <c r="C38" s="64">
        <v>30829</v>
      </c>
      <c r="D38" s="64">
        <v>30829</v>
      </c>
      <c r="E38" s="32">
        <v>28301</v>
      </c>
      <c r="F38" s="64">
        <v>98</v>
      </c>
      <c r="G38" s="60">
        <v>9.2899999999999636</v>
      </c>
      <c r="H38" s="64">
        <v>54657.355660720787</v>
      </c>
      <c r="I38" s="60">
        <v>557.72811898694681</v>
      </c>
      <c r="J38" s="110">
        <v>24.38</v>
      </c>
      <c r="K38" s="112">
        <v>1.3873</v>
      </c>
      <c r="L38" s="60">
        <v>9.2899999999999636</v>
      </c>
      <c r="M38" s="60">
        <f>_xlfn.XLOOKUP(A38,'[1]FRV Output'!$F:$F,'[1]FRV Output'!$BC:$BC)</f>
        <v>24.530143155789219</v>
      </c>
      <c r="N38" s="64"/>
      <c r="O38" s="64"/>
      <c r="R38" s="32"/>
      <c r="T38" s="60"/>
      <c r="U38" s="110"/>
      <c r="V38" s="112"/>
    </row>
    <row r="39" spans="1:22" x14ac:dyDescent="0.25">
      <c r="A39">
        <v>1104946060</v>
      </c>
      <c r="B39" s="37">
        <v>0.71951835634893901</v>
      </c>
      <c r="C39" s="64">
        <v>40191</v>
      </c>
      <c r="D39" s="64">
        <v>40191</v>
      </c>
      <c r="E39" s="32">
        <v>27534</v>
      </c>
      <c r="F39" s="64">
        <v>130</v>
      </c>
      <c r="G39" s="60">
        <v>7.8399999999999181</v>
      </c>
      <c r="H39" s="64">
        <v>27837</v>
      </c>
      <c r="I39" s="60">
        <v>214.13076923076923</v>
      </c>
      <c r="J39" s="110">
        <v>24.38</v>
      </c>
      <c r="K39" s="112">
        <v>1.2115</v>
      </c>
      <c r="L39" s="60">
        <v>7.8399999999999181</v>
      </c>
      <c r="M39" s="60">
        <f>_xlfn.XLOOKUP(A39,'[1]FRV Output'!$F:$F,'[1]FRV Output'!$BC:$BC)</f>
        <v>19.411696385728064</v>
      </c>
      <c r="N39" s="64"/>
      <c r="O39" s="64"/>
      <c r="R39" s="32"/>
      <c r="T39" s="60"/>
      <c r="U39" s="110"/>
      <c r="V39" s="112"/>
    </row>
    <row r="40" spans="1:22" x14ac:dyDescent="0.25">
      <c r="A40">
        <v>1104950765</v>
      </c>
      <c r="B40" s="37">
        <v>0.63620766346825952</v>
      </c>
      <c r="C40" s="64">
        <v>30200</v>
      </c>
      <c r="D40" s="64">
        <v>30200</v>
      </c>
      <c r="E40" s="32">
        <v>28621</v>
      </c>
      <c r="F40" s="64">
        <v>99</v>
      </c>
      <c r="G40" s="60">
        <v>15.599999999999909</v>
      </c>
      <c r="H40" s="64">
        <v>64170.765887379515</v>
      </c>
      <c r="I40" s="60">
        <v>648.18955441797493</v>
      </c>
      <c r="J40" s="110">
        <v>24.38</v>
      </c>
      <c r="K40" s="112">
        <v>1.3016000000000001</v>
      </c>
      <c r="L40" s="60">
        <v>15.599999999999909</v>
      </c>
      <c r="M40" s="60">
        <f>_xlfn.XLOOKUP(A40,'[1]FRV Output'!$F:$F,'[1]FRV Output'!$BC:$BC)</f>
        <v>26.686969019467309</v>
      </c>
      <c r="N40" s="64"/>
      <c r="O40" s="64"/>
      <c r="R40" s="32"/>
      <c r="T40" s="60"/>
      <c r="U40" s="110"/>
      <c r="V40" s="112"/>
    </row>
    <row r="41" spans="1:22" x14ac:dyDescent="0.25">
      <c r="A41">
        <v>1114463932</v>
      </c>
      <c r="B41" s="37">
        <v>0.65</v>
      </c>
      <c r="C41" s="64">
        <v>28640</v>
      </c>
      <c r="D41" s="64">
        <v>28640</v>
      </c>
      <c r="E41" s="32">
        <v>28314</v>
      </c>
      <c r="F41" s="64">
        <v>90</v>
      </c>
      <c r="G41" s="60">
        <v>10.779999999999973</v>
      </c>
      <c r="H41" s="64">
        <v>62100</v>
      </c>
      <c r="I41" s="60">
        <v>690</v>
      </c>
      <c r="J41" s="110">
        <v>24.38</v>
      </c>
      <c r="K41" s="112">
        <v>1.2923</v>
      </c>
      <c r="L41" s="60">
        <v>10.779999999999973</v>
      </c>
      <c r="M41" s="60">
        <f>_xlfn.XLOOKUP(A41,'[1]FRV Output'!$F:$F,'[1]FRV Output'!$BC:$BC)</f>
        <v>32.195594896403655</v>
      </c>
      <c r="N41" s="64"/>
      <c r="O41" s="64"/>
      <c r="R41" s="32"/>
      <c r="T41" s="60"/>
      <c r="U41" s="110"/>
      <c r="V41" s="112"/>
    </row>
    <row r="42" spans="1:22" x14ac:dyDescent="0.25">
      <c r="A42">
        <v>1114480233</v>
      </c>
      <c r="B42" s="37">
        <v>0.63936457042920647</v>
      </c>
      <c r="C42" s="64">
        <v>33842</v>
      </c>
      <c r="D42" s="64">
        <v>33842</v>
      </c>
      <c r="E42" s="32">
        <v>28204</v>
      </c>
      <c r="F42" s="64">
        <v>120</v>
      </c>
      <c r="G42" s="60">
        <v>19.059999999999945</v>
      </c>
      <c r="H42" s="64">
        <v>39914</v>
      </c>
      <c r="I42" s="60">
        <v>332.61666666666667</v>
      </c>
      <c r="J42" s="110">
        <v>24.38</v>
      </c>
      <c r="K42" s="112">
        <v>1.1653</v>
      </c>
      <c r="L42" s="60">
        <v>19.059999999999945</v>
      </c>
      <c r="M42" s="60">
        <f>_xlfn.XLOOKUP(A42,'[1]FRV Output'!$F:$F,'[1]FRV Output'!$BC:$BC)</f>
        <v>16.382682497589201</v>
      </c>
      <c r="N42" s="64"/>
      <c r="O42" s="64"/>
      <c r="R42" s="32"/>
      <c r="T42" s="60"/>
      <c r="U42" s="110"/>
      <c r="V42" s="112"/>
    </row>
    <row r="43" spans="1:22" x14ac:dyDescent="0.25">
      <c r="A43">
        <v>1114501442</v>
      </c>
      <c r="B43" s="37">
        <v>0.68508451857919417</v>
      </c>
      <c r="C43" s="64">
        <v>59151</v>
      </c>
      <c r="D43" s="64">
        <v>59151</v>
      </c>
      <c r="E43" s="32">
        <v>27215</v>
      </c>
      <c r="F43" s="64">
        <v>180</v>
      </c>
      <c r="G43" s="60">
        <v>15.799999999999955</v>
      </c>
      <c r="H43" s="64">
        <v>51563.999999999993</v>
      </c>
      <c r="I43" s="60">
        <v>286.46666666666664</v>
      </c>
      <c r="J43" s="110">
        <v>7.879999999999999</v>
      </c>
      <c r="K43" s="112">
        <v>1.1342000000000001</v>
      </c>
      <c r="L43" s="60">
        <v>15.799999999999955</v>
      </c>
      <c r="M43" s="60">
        <f>_xlfn.XLOOKUP(A43,'[1]FRV Output'!$F:$F,'[1]FRV Output'!$BC:$BC)</f>
        <v>16.761421524572722</v>
      </c>
      <c r="N43" s="64"/>
      <c r="O43" s="64"/>
      <c r="R43" s="32"/>
      <c r="T43" s="60"/>
      <c r="U43" s="110"/>
      <c r="V43" s="112"/>
    </row>
    <row r="44" spans="1:22" x14ac:dyDescent="0.25">
      <c r="A44">
        <v>1114501459</v>
      </c>
      <c r="B44" s="37">
        <v>0.67659029243292124</v>
      </c>
      <c r="C44" s="64">
        <v>44478</v>
      </c>
      <c r="D44" s="64">
        <v>44478</v>
      </c>
      <c r="E44" s="32">
        <v>28306</v>
      </c>
      <c r="F44" s="64">
        <v>136</v>
      </c>
      <c r="G44" s="60">
        <v>4.1099999999999</v>
      </c>
      <c r="H44" s="64">
        <v>55408</v>
      </c>
      <c r="I44" s="60">
        <v>407.41176470588238</v>
      </c>
      <c r="J44" s="110">
        <v>7.879999999999999</v>
      </c>
      <c r="K44" s="112">
        <v>1.2921</v>
      </c>
      <c r="L44" s="60">
        <v>4.1099999999999</v>
      </c>
      <c r="M44" s="60">
        <f>_xlfn.XLOOKUP(A44,'[1]FRV Output'!$F:$F,'[1]FRV Output'!$BC:$BC)</f>
        <v>22.762749277519266</v>
      </c>
      <c r="N44" s="64"/>
      <c r="O44" s="64"/>
      <c r="R44" s="32"/>
      <c r="T44" s="60"/>
      <c r="U44" s="110"/>
      <c r="V44" s="112"/>
    </row>
    <row r="45" spans="1:22" x14ac:dyDescent="0.25">
      <c r="A45">
        <v>1114996758</v>
      </c>
      <c r="B45" s="37">
        <v>0.61923137501968817</v>
      </c>
      <c r="C45" s="64">
        <v>26505</v>
      </c>
      <c r="D45" s="64">
        <v>26505</v>
      </c>
      <c r="E45" s="32">
        <v>28732</v>
      </c>
      <c r="F45" s="64">
        <v>90</v>
      </c>
      <c r="G45" s="60">
        <v>18.279999999999973</v>
      </c>
      <c r="H45" s="64">
        <v>38268</v>
      </c>
      <c r="I45" s="60">
        <v>425.2</v>
      </c>
      <c r="J45" s="110">
        <v>24.38</v>
      </c>
      <c r="K45" s="112">
        <v>1.2854000000000001</v>
      </c>
      <c r="L45" s="60">
        <v>18.279999999999973</v>
      </c>
      <c r="M45" s="60">
        <f>_xlfn.XLOOKUP(A45,'[1]FRV Output'!$F:$F,'[1]FRV Output'!$BC:$BC)</f>
        <v>17.23683896859789</v>
      </c>
      <c r="N45" s="64"/>
      <c r="O45" s="64"/>
      <c r="R45" s="32"/>
      <c r="T45" s="60"/>
      <c r="U45" s="110"/>
      <c r="V45" s="112"/>
    </row>
    <row r="46" spans="1:22" x14ac:dyDescent="0.25">
      <c r="A46">
        <v>1124015458</v>
      </c>
      <c r="B46" s="37">
        <v>0.64411236531554639</v>
      </c>
      <c r="C46" s="64">
        <v>33068</v>
      </c>
      <c r="D46" s="64">
        <v>33068</v>
      </c>
      <c r="E46" s="32">
        <v>27360</v>
      </c>
      <c r="F46" s="64">
        <v>114</v>
      </c>
      <c r="G46" s="60">
        <v>12.099999999999909</v>
      </c>
      <c r="H46" s="64">
        <v>93025.95446546415</v>
      </c>
      <c r="I46" s="60">
        <v>816.01714443389608</v>
      </c>
      <c r="J46" s="110">
        <v>0</v>
      </c>
      <c r="K46" s="112">
        <v>1.0269999999999999</v>
      </c>
      <c r="L46" s="60">
        <v>12.099999999999909</v>
      </c>
      <c r="M46" s="60">
        <f>_xlfn.XLOOKUP(A46,'[1]FRV Output'!$F:$F,'[1]FRV Output'!$BC:$BC)</f>
        <v>32.155498992285445</v>
      </c>
      <c r="N46" s="64"/>
      <c r="O46" s="64"/>
      <c r="R46" s="32"/>
      <c r="T46" s="60"/>
      <c r="U46" s="110"/>
      <c r="V46" s="112"/>
    </row>
    <row r="47" spans="1:22" x14ac:dyDescent="0.25">
      <c r="A47">
        <v>1124342241</v>
      </c>
      <c r="B47" s="37">
        <v>0.65</v>
      </c>
      <c r="C47" s="64">
        <v>31561</v>
      </c>
      <c r="D47" s="64">
        <v>31561</v>
      </c>
      <c r="E47" s="32">
        <v>28173</v>
      </c>
      <c r="F47" s="64">
        <v>100</v>
      </c>
      <c r="G47" s="60">
        <v>5.5399999999999636</v>
      </c>
      <c r="H47" s="64">
        <v>60190</v>
      </c>
      <c r="I47" s="60">
        <v>601.9</v>
      </c>
      <c r="J47" s="110">
        <v>24.38</v>
      </c>
      <c r="K47" s="112">
        <v>1.1907000000000001</v>
      </c>
      <c r="L47" s="60">
        <v>5.5399999999999636</v>
      </c>
      <c r="M47" s="60">
        <f>_xlfn.XLOOKUP(A47,'[1]FRV Output'!$F:$F,'[1]FRV Output'!$BC:$BC)</f>
        <v>31.80657258980245</v>
      </c>
      <c r="N47" s="64"/>
      <c r="O47" s="64"/>
      <c r="R47" s="32"/>
      <c r="T47" s="60"/>
      <c r="U47" s="110"/>
      <c r="V47" s="112"/>
    </row>
    <row r="48" spans="1:22" x14ac:dyDescent="0.25">
      <c r="A48">
        <v>1134175524</v>
      </c>
      <c r="B48" s="37">
        <v>0.55299917830731304</v>
      </c>
      <c r="C48" s="64">
        <v>18384</v>
      </c>
      <c r="D48" s="64">
        <v>18384</v>
      </c>
      <c r="E48" s="32">
        <v>27828</v>
      </c>
      <c r="F48" s="64">
        <v>56</v>
      </c>
      <c r="G48" s="60">
        <v>30.599999999999909</v>
      </c>
      <c r="H48" s="64">
        <v>10682</v>
      </c>
      <c r="I48" s="60">
        <v>190.75</v>
      </c>
      <c r="J48" s="110">
        <v>24.38</v>
      </c>
      <c r="K48" s="112">
        <v>1.2323999999999999</v>
      </c>
      <c r="L48" s="60">
        <v>30.599999999999909</v>
      </c>
      <c r="M48" s="60">
        <f>_xlfn.XLOOKUP(A48,'[1]FRV Output'!$F:$F,'[1]FRV Output'!$BC:$BC)</f>
        <v>8.2679777198596422</v>
      </c>
      <c r="N48" s="64"/>
      <c r="O48" s="64"/>
      <c r="R48" s="32"/>
      <c r="T48" s="60"/>
      <c r="U48" s="110"/>
      <c r="V48" s="112"/>
    </row>
    <row r="49" spans="1:22" x14ac:dyDescent="0.25">
      <c r="A49">
        <v>1134249006</v>
      </c>
      <c r="B49" s="37">
        <v>0.64859228362877996</v>
      </c>
      <c r="C49" s="64">
        <v>29300</v>
      </c>
      <c r="D49" s="64">
        <v>29300</v>
      </c>
      <c r="E49" s="32">
        <v>27520</v>
      </c>
      <c r="F49" s="64">
        <v>90</v>
      </c>
      <c r="G49" s="60">
        <v>18.259999999999991</v>
      </c>
      <c r="H49" s="64">
        <v>33006</v>
      </c>
      <c r="I49" s="60">
        <v>366.73333333333335</v>
      </c>
      <c r="J49" s="110">
        <v>24.38</v>
      </c>
      <c r="K49" s="112">
        <v>1.2322</v>
      </c>
      <c r="L49" s="60">
        <v>18.259999999999991</v>
      </c>
      <c r="M49" s="60">
        <f>_xlfn.XLOOKUP(A49,'[1]FRV Output'!$F:$F,'[1]FRV Output'!$BC:$BC)</f>
        <v>15.754984297064848</v>
      </c>
      <c r="N49" s="64"/>
      <c r="O49" s="64"/>
      <c r="R49" s="32"/>
      <c r="T49" s="60"/>
      <c r="U49" s="110"/>
      <c r="V49" s="112"/>
    </row>
    <row r="50" spans="1:22" x14ac:dyDescent="0.25">
      <c r="A50">
        <v>1134298615</v>
      </c>
      <c r="B50" s="37">
        <v>0.43940261685536802</v>
      </c>
      <c r="C50" s="64">
        <v>1705</v>
      </c>
      <c r="D50" s="64">
        <v>1705</v>
      </c>
      <c r="E50" s="32">
        <v>27406</v>
      </c>
      <c r="F50" s="64">
        <v>23</v>
      </c>
      <c r="G50" s="60">
        <v>12</v>
      </c>
      <c r="H50" s="64">
        <v>0</v>
      </c>
      <c r="I50" s="60">
        <v>0</v>
      </c>
      <c r="J50" s="110">
        <v>24.38</v>
      </c>
      <c r="K50" s="112">
        <v>1.5327</v>
      </c>
      <c r="L50" s="60">
        <v>12</v>
      </c>
      <c r="M50" s="60">
        <f>_xlfn.XLOOKUP(A50,'[1]FRV Output'!$F:$F,'[1]FRV Output'!$BC:$BC)</f>
        <v>19.30978351012536</v>
      </c>
      <c r="N50" s="64"/>
      <c r="O50" s="64"/>
      <c r="R50" s="32"/>
      <c r="T50" s="60"/>
      <c r="U50" s="110"/>
      <c r="V50" s="112"/>
    </row>
    <row r="51" spans="1:22" x14ac:dyDescent="0.25">
      <c r="A51">
        <v>1134660103</v>
      </c>
      <c r="B51" s="37">
        <v>0.68242797448867387</v>
      </c>
      <c r="C51" s="64">
        <v>38012</v>
      </c>
      <c r="D51" s="64">
        <v>38012</v>
      </c>
      <c r="E51" s="32">
        <v>28304</v>
      </c>
      <c r="F51" s="64">
        <v>170</v>
      </c>
      <c r="G51" s="60">
        <v>9.7599999999999909</v>
      </c>
      <c r="H51" s="64">
        <v>67705</v>
      </c>
      <c r="I51" s="60">
        <v>398.26470588235293</v>
      </c>
      <c r="J51" s="110">
        <v>24.38</v>
      </c>
      <c r="K51" s="112">
        <v>1.4043000000000001</v>
      </c>
      <c r="L51" s="60">
        <v>9.7599999999999909</v>
      </c>
      <c r="M51" s="60">
        <f>_xlfn.XLOOKUP(A51,'[1]FRV Output'!$F:$F,'[1]FRV Output'!$BC:$BC)</f>
        <v>21.409782452989393</v>
      </c>
      <c r="N51" s="64"/>
      <c r="O51" s="64"/>
      <c r="R51" s="32"/>
      <c r="T51" s="60"/>
      <c r="U51" s="110"/>
      <c r="V51" s="112"/>
    </row>
    <row r="52" spans="1:22" x14ac:dyDescent="0.25">
      <c r="A52">
        <v>1144277666</v>
      </c>
      <c r="B52" s="37">
        <v>0.58312513384252973</v>
      </c>
      <c r="C52" s="64">
        <v>25158</v>
      </c>
      <c r="D52" s="64">
        <v>25158</v>
      </c>
      <c r="E52" s="32">
        <v>27260</v>
      </c>
      <c r="F52" s="64">
        <v>100</v>
      </c>
      <c r="G52" s="60">
        <v>23.430000000000064</v>
      </c>
      <c r="H52" s="64">
        <v>20365</v>
      </c>
      <c r="I52" s="60">
        <v>203.65</v>
      </c>
      <c r="J52" s="110">
        <v>24.38</v>
      </c>
      <c r="K52" s="112">
        <v>1.1792108485224528</v>
      </c>
      <c r="L52" s="60">
        <v>23.430000000000064</v>
      </c>
      <c r="M52" s="60">
        <f>_xlfn.XLOOKUP(A52,'[1]FRV Output'!$F:$F,'[1]FRV Output'!$BC:$BC)</f>
        <v>13.652881289175479</v>
      </c>
      <c r="N52" s="64"/>
      <c r="O52" s="64"/>
      <c r="R52" s="32"/>
      <c r="T52" s="60"/>
      <c r="U52" s="110"/>
      <c r="V52" s="112"/>
    </row>
    <row r="53" spans="1:22" x14ac:dyDescent="0.25">
      <c r="A53">
        <v>1144299702</v>
      </c>
      <c r="B53" s="37">
        <v>0.68652160300563558</v>
      </c>
      <c r="C53" s="64">
        <v>42678</v>
      </c>
      <c r="D53" s="64">
        <v>42678</v>
      </c>
      <c r="E53" s="32">
        <v>27616</v>
      </c>
      <c r="F53" s="64">
        <v>132</v>
      </c>
      <c r="G53" s="60">
        <v>15.230000000000018</v>
      </c>
      <c r="H53" s="64">
        <v>56107</v>
      </c>
      <c r="I53" s="60">
        <v>425.05303030303031</v>
      </c>
      <c r="J53" s="110">
        <v>7.879999999999999</v>
      </c>
      <c r="K53" s="112">
        <v>1.3380000000000001</v>
      </c>
      <c r="L53" s="60">
        <v>15.230000000000018</v>
      </c>
      <c r="M53" s="60">
        <f>_xlfn.XLOOKUP(A53,'[1]FRV Output'!$F:$F,'[1]FRV Output'!$BC:$BC)</f>
        <v>18.058472963075907</v>
      </c>
      <c r="N53" s="64"/>
      <c r="O53" s="64"/>
      <c r="R53" s="32"/>
      <c r="T53" s="60"/>
      <c r="U53" s="110"/>
      <c r="V53" s="112"/>
    </row>
    <row r="54" spans="1:22" x14ac:dyDescent="0.25">
      <c r="A54">
        <v>1144646274</v>
      </c>
      <c r="B54" s="37">
        <v>0.55634398802161311</v>
      </c>
      <c r="C54" s="64">
        <v>24680</v>
      </c>
      <c r="D54" s="64">
        <v>24680</v>
      </c>
      <c r="E54" s="32">
        <v>27705</v>
      </c>
      <c r="F54" s="64">
        <v>96</v>
      </c>
      <c r="G54" s="60">
        <v>16.119999999999891</v>
      </c>
      <c r="H54" s="64">
        <v>28728</v>
      </c>
      <c r="I54" s="60">
        <v>299.25</v>
      </c>
      <c r="J54" s="110">
        <v>24.38</v>
      </c>
      <c r="K54" s="112">
        <v>1.1893</v>
      </c>
      <c r="L54" s="60">
        <v>16.119999999999891</v>
      </c>
      <c r="M54" s="60">
        <f>_xlfn.XLOOKUP(A54,'[1]FRV Output'!$F:$F,'[1]FRV Output'!$BC:$BC)</f>
        <v>17.059136748312447</v>
      </c>
      <c r="N54" s="64"/>
      <c r="O54" s="64"/>
      <c r="R54" s="32"/>
      <c r="T54" s="60"/>
      <c r="U54" s="110"/>
      <c r="V54" s="112"/>
    </row>
    <row r="55" spans="1:22" x14ac:dyDescent="0.25">
      <c r="A55">
        <v>1144804485</v>
      </c>
      <c r="B55" s="37">
        <v>0.63636363636363635</v>
      </c>
      <c r="C55" s="64">
        <v>29136</v>
      </c>
      <c r="D55" s="64">
        <v>29136</v>
      </c>
      <c r="E55" s="32">
        <v>28612</v>
      </c>
      <c r="F55" s="64">
        <v>90</v>
      </c>
      <c r="G55" s="60">
        <v>3</v>
      </c>
      <c r="H55" s="64">
        <v>36125</v>
      </c>
      <c r="I55" s="60">
        <v>401.38888888888891</v>
      </c>
      <c r="J55" s="110">
        <v>24.38</v>
      </c>
      <c r="K55" s="112">
        <v>1.2450000000000001</v>
      </c>
      <c r="L55" s="60">
        <v>3</v>
      </c>
      <c r="M55" s="60">
        <f>_xlfn.XLOOKUP(A55,'[1]FRV Output'!$F:$F,'[1]FRV Output'!$BC:$BC)</f>
        <v>23.218637698208404</v>
      </c>
      <c r="N55" s="64"/>
      <c r="O55" s="64"/>
      <c r="R55" s="32"/>
      <c r="T55" s="60"/>
      <c r="U55" s="110"/>
      <c r="V55" s="112"/>
    </row>
    <row r="56" spans="1:22" x14ac:dyDescent="0.25">
      <c r="A56">
        <v>1144868092</v>
      </c>
      <c r="B56" s="37">
        <v>0.69513174220859797</v>
      </c>
      <c r="C56" s="64">
        <v>39430</v>
      </c>
      <c r="D56" s="64">
        <v>39430</v>
      </c>
      <c r="E56" s="32">
        <v>28144</v>
      </c>
      <c r="F56" s="64">
        <v>160</v>
      </c>
      <c r="G56" s="60">
        <v>17.039999999999964</v>
      </c>
      <c r="H56" s="64">
        <v>26536.076591427845</v>
      </c>
      <c r="I56" s="60">
        <v>165.85047869642403</v>
      </c>
      <c r="J56" s="110">
        <v>24.38</v>
      </c>
      <c r="K56" s="112">
        <v>0.56999999999999995</v>
      </c>
      <c r="L56" s="60">
        <v>17.039999999999964</v>
      </c>
      <c r="M56" s="60">
        <f>_xlfn.XLOOKUP(A56,'[1]FRV Output'!$F:$F,'[1]FRV Output'!$BC:$BC)</f>
        <v>16.438735614271987</v>
      </c>
      <c r="N56" s="64"/>
      <c r="O56" s="64"/>
      <c r="R56" s="32"/>
      <c r="T56" s="60"/>
      <c r="U56" s="110"/>
      <c r="V56" s="112"/>
    </row>
    <row r="57" spans="1:22" x14ac:dyDescent="0.25">
      <c r="A57">
        <v>1154369841</v>
      </c>
      <c r="B57" s="37">
        <v>0.70590045388106781</v>
      </c>
      <c r="C57" s="64">
        <v>19658</v>
      </c>
      <c r="D57" s="64">
        <v>19658</v>
      </c>
      <c r="E57" s="32">
        <v>27545</v>
      </c>
      <c r="F57" s="64">
        <v>80</v>
      </c>
      <c r="G57" s="60">
        <v>20.779999999999973</v>
      </c>
      <c r="H57" s="64">
        <v>24770.03607614369</v>
      </c>
      <c r="I57" s="60">
        <v>309.6254509517961</v>
      </c>
      <c r="J57" s="110">
        <v>24.38</v>
      </c>
      <c r="K57" s="112">
        <v>1.1682999999999999</v>
      </c>
      <c r="L57" s="60">
        <v>20.779999999999973</v>
      </c>
      <c r="M57" s="60">
        <f>_xlfn.XLOOKUP(A57,'[1]FRV Output'!$F:$F,'[1]FRV Output'!$BC:$BC)</f>
        <v>14.239928035197712</v>
      </c>
      <c r="N57" s="64"/>
      <c r="O57" s="64"/>
      <c r="R57" s="32"/>
      <c r="T57" s="60"/>
      <c r="U57" s="110"/>
      <c r="V57" s="112"/>
    </row>
    <row r="58" spans="1:22" x14ac:dyDescent="0.25">
      <c r="A58">
        <v>1154792000</v>
      </c>
      <c r="B58" s="37">
        <v>0.6269960299955889</v>
      </c>
      <c r="C58" s="64">
        <v>29461</v>
      </c>
      <c r="D58" s="64">
        <v>29461</v>
      </c>
      <c r="E58" s="32">
        <v>27834</v>
      </c>
      <c r="F58" s="64">
        <v>130</v>
      </c>
      <c r="G58" s="60">
        <v>32.039999999999964</v>
      </c>
      <c r="H58" s="64">
        <v>0</v>
      </c>
      <c r="I58" s="60">
        <v>0</v>
      </c>
      <c r="J58" s="110">
        <v>24.38</v>
      </c>
      <c r="K58" s="112">
        <v>1.0931999999999999</v>
      </c>
      <c r="L58" s="60">
        <v>32.039999999999964</v>
      </c>
      <c r="M58" s="60">
        <f>_xlfn.XLOOKUP(A58,'[1]FRV Output'!$F:$F,'[1]FRV Output'!$BC:$BC)</f>
        <v>8.7763127741080158</v>
      </c>
      <c r="N58" s="64"/>
      <c r="O58" s="64"/>
      <c r="R58" s="32"/>
      <c r="T58" s="60"/>
      <c r="U58" s="110"/>
      <c r="V58" s="112"/>
    </row>
    <row r="59" spans="1:22" x14ac:dyDescent="0.25">
      <c r="A59">
        <v>1164476636</v>
      </c>
      <c r="B59" s="37">
        <v>0.53514775746839516</v>
      </c>
      <c r="C59" s="64">
        <v>14516</v>
      </c>
      <c r="D59" s="64">
        <v>14516</v>
      </c>
      <c r="E59" s="32">
        <v>27890</v>
      </c>
      <c r="F59" s="64">
        <v>50</v>
      </c>
      <c r="G59" s="60">
        <v>24.420000000000073</v>
      </c>
      <c r="H59" s="64">
        <v>28458.275494195168</v>
      </c>
      <c r="I59" s="60">
        <v>569.16550988390338</v>
      </c>
      <c r="J59" s="110">
        <v>24.38</v>
      </c>
      <c r="K59" s="112">
        <v>1.0498000000000001</v>
      </c>
      <c r="L59" s="60">
        <v>24.420000000000073</v>
      </c>
      <c r="M59" s="60">
        <f>_xlfn.XLOOKUP(A59,'[1]FRV Output'!$F:$F,'[1]FRV Output'!$BC:$BC)</f>
        <v>18.46109403401854</v>
      </c>
      <c r="N59" s="64"/>
      <c r="O59" s="64"/>
      <c r="R59" s="32"/>
      <c r="T59" s="60"/>
      <c r="U59" s="110"/>
      <c r="V59" s="112"/>
    </row>
    <row r="60" spans="1:22" x14ac:dyDescent="0.25">
      <c r="A60">
        <v>1164725198</v>
      </c>
      <c r="B60" s="37">
        <v>0.65048095928317307</v>
      </c>
      <c r="C60" s="64">
        <v>34473</v>
      </c>
      <c r="D60" s="64">
        <v>34473</v>
      </c>
      <c r="E60" s="32">
        <v>28801</v>
      </c>
      <c r="F60" s="64">
        <v>120</v>
      </c>
      <c r="G60" s="60">
        <v>22.220000000000027</v>
      </c>
      <c r="H60" s="64">
        <v>32560.999999999996</v>
      </c>
      <c r="I60" s="60">
        <v>271.34166666666664</v>
      </c>
      <c r="J60" s="110">
        <v>24.38</v>
      </c>
      <c r="K60" s="112">
        <v>1.4256</v>
      </c>
      <c r="L60" s="60">
        <v>22.220000000000027</v>
      </c>
      <c r="M60" s="60">
        <f>_xlfn.XLOOKUP(A60,'[1]FRV Output'!$F:$F,'[1]FRV Output'!$BC:$BC)</f>
        <v>13.687577536764739</v>
      </c>
      <c r="N60" s="64"/>
      <c r="O60" s="64"/>
      <c r="R60" s="32"/>
      <c r="T60" s="60"/>
      <c r="U60" s="110"/>
      <c r="V60" s="112"/>
    </row>
    <row r="61" spans="1:22" x14ac:dyDescent="0.25">
      <c r="A61">
        <v>1164848503</v>
      </c>
      <c r="B61" s="37">
        <v>0.52362204724409445</v>
      </c>
      <c r="C61" s="64">
        <v>19565</v>
      </c>
      <c r="D61" s="64">
        <v>19565</v>
      </c>
      <c r="E61" s="32">
        <v>27597</v>
      </c>
      <c r="F61" s="64">
        <v>60</v>
      </c>
      <c r="G61" s="60">
        <v>11.5</v>
      </c>
      <c r="H61" s="64">
        <v>21195</v>
      </c>
      <c r="I61" s="60">
        <v>353.25</v>
      </c>
      <c r="J61" s="110">
        <v>24.38</v>
      </c>
      <c r="K61" s="112">
        <v>1.3062</v>
      </c>
      <c r="L61" s="60">
        <v>11.5</v>
      </c>
      <c r="M61" s="60">
        <f>_xlfn.XLOOKUP(A61,'[1]FRV Output'!$F:$F,'[1]FRV Output'!$BC:$BC)</f>
        <v>17.367763344748237</v>
      </c>
      <c r="N61" s="64"/>
      <c r="O61" s="64"/>
      <c r="R61" s="32"/>
      <c r="T61" s="60"/>
      <c r="U61" s="110"/>
      <c r="V61" s="112"/>
    </row>
    <row r="62" spans="1:22" x14ac:dyDescent="0.25">
      <c r="A62">
        <v>1174149934</v>
      </c>
      <c r="B62" s="37">
        <v>0.58095627298733143</v>
      </c>
      <c r="C62" s="64">
        <v>0</v>
      </c>
      <c r="D62" s="64">
        <v>0</v>
      </c>
      <c r="E62" s="32">
        <v>28358</v>
      </c>
      <c r="F62" s="64">
        <v>90</v>
      </c>
      <c r="G62" s="60">
        <v>29.630000000000109</v>
      </c>
      <c r="H62" s="64">
        <v>37765.47369081217</v>
      </c>
      <c r="I62" s="60">
        <v>419.61637434235746</v>
      </c>
      <c r="J62" s="110">
        <v>24.38</v>
      </c>
      <c r="K62" s="112">
        <v>1.4875</v>
      </c>
      <c r="L62" s="60">
        <v>29.630000000000109</v>
      </c>
      <c r="M62" s="60">
        <f>_xlfn.XLOOKUP(A62,'[1]FRV Output'!$F:$F,'[1]FRV Output'!$BC:$BC)</f>
        <v>12.401689245709969</v>
      </c>
      <c r="N62" s="64"/>
      <c r="O62" s="64"/>
      <c r="R62" s="32"/>
      <c r="T62" s="60"/>
      <c r="U62" s="110"/>
      <c r="V62" s="112"/>
    </row>
    <row r="63" spans="1:22" x14ac:dyDescent="0.25">
      <c r="A63">
        <v>1174178313</v>
      </c>
      <c r="B63" s="37">
        <v>0.61680017319766178</v>
      </c>
      <c r="C63" s="64">
        <v>49774</v>
      </c>
      <c r="D63" s="64">
        <v>39775.72925764192</v>
      </c>
      <c r="E63" s="32">
        <v>27055</v>
      </c>
      <c r="F63" s="64">
        <v>147</v>
      </c>
      <c r="G63" s="60">
        <v>34.5</v>
      </c>
      <c r="H63" s="64">
        <v>51036.141932869403</v>
      </c>
      <c r="I63" s="60">
        <v>347.1846389991116</v>
      </c>
      <c r="J63" s="110">
        <v>24.38</v>
      </c>
      <c r="K63" s="112">
        <v>1.3127</v>
      </c>
      <c r="L63" s="60">
        <v>38.420000000000073</v>
      </c>
      <c r="M63" s="60">
        <f>_xlfn.XLOOKUP(A63,'[1]FRV Output'!$F:$F,'[1]FRV Output'!$BC:$BC)</f>
        <v>8.6082544607007119</v>
      </c>
      <c r="N63" s="64"/>
      <c r="O63" s="64"/>
      <c r="R63" s="32"/>
      <c r="T63" s="60"/>
      <c r="U63" s="110"/>
      <c r="V63" s="112"/>
    </row>
    <row r="64" spans="1:22" x14ac:dyDescent="0.25">
      <c r="A64">
        <v>1174524458</v>
      </c>
      <c r="B64" s="37">
        <v>0.67589138544287319</v>
      </c>
      <c r="C64" s="64">
        <v>23190</v>
      </c>
      <c r="D64" s="64">
        <v>23190</v>
      </c>
      <c r="E64" s="32">
        <v>27511</v>
      </c>
      <c r="F64" s="64">
        <v>71</v>
      </c>
      <c r="G64" s="60">
        <v>6</v>
      </c>
      <c r="H64" s="64">
        <v>0</v>
      </c>
      <c r="I64" s="60">
        <v>0</v>
      </c>
      <c r="J64" s="110">
        <v>0</v>
      </c>
      <c r="K64" s="112">
        <v>0.92920000000000003</v>
      </c>
      <c r="L64" s="60">
        <v>6</v>
      </c>
      <c r="M64" s="60">
        <f>_xlfn.XLOOKUP(A64,'[1]FRV Output'!$F:$F,'[1]FRV Output'!$BC:$BC)</f>
        <v>21.752724542367403</v>
      </c>
      <c r="N64" s="64"/>
      <c r="O64" s="64"/>
      <c r="R64" s="32"/>
      <c r="T64" s="60"/>
      <c r="U64" s="110"/>
      <c r="V64" s="112"/>
    </row>
    <row r="65" spans="1:22" x14ac:dyDescent="0.25">
      <c r="A65">
        <v>1174608350</v>
      </c>
      <c r="B65" s="37">
        <v>0.63037048567870491</v>
      </c>
      <c r="C65" s="64">
        <v>16380</v>
      </c>
      <c r="D65" s="64">
        <v>16380</v>
      </c>
      <c r="E65" s="32">
        <v>28081</v>
      </c>
      <c r="F65" s="64">
        <v>50</v>
      </c>
      <c r="G65" s="60">
        <v>25.970000000000027</v>
      </c>
      <c r="H65" s="64">
        <v>17434.456888265398</v>
      </c>
      <c r="I65" s="60">
        <v>348.68913776530798</v>
      </c>
      <c r="J65" s="110">
        <v>24.38</v>
      </c>
      <c r="K65" s="112">
        <v>1.2284999999999999</v>
      </c>
      <c r="L65" s="60">
        <v>25.970000000000027</v>
      </c>
      <c r="M65" s="60">
        <f>_xlfn.XLOOKUP(A65,'[1]FRV Output'!$F:$F,'[1]FRV Output'!$BC:$BC)</f>
        <v>12.003823926854384</v>
      </c>
      <c r="N65" s="64"/>
      <c r="O65" s="64"/>
      <c r="R65" s="32"/>
      <c r="T65" s="60"/>
      <c r="U65" s="110"/>
      <c r="V65" s="112"/>
    </row>
    <row r="66" spans="1:22" x14ac:dyDescent="0.25">
      <c r="A66">
        <v>1184174484</v>
      </c>
      <c r="B66" s="37">
        <v>0.59947003668976762</v>
      </c>
      <c r="C66" s="64">
        <v>49503</v>
      </c>
      <c r="D66" s="64">
        <v>49503</v>
      </c>
      <c r="E66" s="32">
        <v>27834</v>
      </c>
      <c r="F66" s="64">
        <v>152</v>
      </c>
      <c r="G66" s="60">
        <v>11.180000000000064</v>
      </c>
      <c r="H66" s="64">
        <v>77707</v>
      </c>
      <c r="I66" s="60">
        <v>511.23026315789474</v>
      </c>
      <c r="J66" s="110">
        <v>7.879999999999999</v>
      </c>
      <c r="K66" s="112">
        <v>1.2521</v>
      </c>
      <c r="L66" s="60">
        <v>11.180000000000064</v>
      </c>
      <c r="M66" s="60">
        <f>_xlfn.XLOOKUP(A66,'[1]FRV Output'!$F:$F,'[1]FRV Output'!$BC:$BC)</f>
        <v>23.023421282365042</v>
      </c>
      <c r="N66" s="64"/>
      <c r="O66" s="64"/>
      <c r="R66" s="32"/>
      <c r="T66" s="60"/>
      <c r="U66" s="110"/>
      <c r="V66" s="112"/>
    </row>
    <row r="67" spans="1:22" x14ac:dyDescent="0.25">
      <c r="A67">
        <v>1184196206</v>
      </c>
      <c r="B67" s="37">
        <v>0.69969040247678027</v>
      </c>
      <c r="C67" s="64">
        <v>21783</v>
      </c>
      <c r="D67" s="64">
        <v>21783</v>
      </c>
      <c r="E67" s="32">
        <v>28741</v>
      </c>
      <c r="F67" s="64">
        <v>80</v>
      </c>
      <c r="G67" s="60">
        <v>19.599999999999909</v>
      </c>
      <c r="H67" s="64">
        <v>0</v>
      </c>
      <c r="I67" s="60">
        <v>0</v>
      </c>
      <c r="J67" s="110">
        <v>24.38</v>
      </c>
      <c r="K67" s="112">
        <v>0.95240000000000002</v>
      </c>
      <c r="L67" s="60">
        <v>19.599999999999909</v>
      </c>
      <c r="M67" s="60">
        <f>_xlfn.XLOOKUP(A67,'[1]FRV Output'!$F:$F,'[1]FRV Output'!$BC:$BC)</f>
        <v>15.753806306653846</v>
      </c>
      <c r="N67" s="64"/>
      <c r="O67" s="64"/>
      <c r="R67" s="32"/>
      <c r="T67" s="60"/>
      <c r="U67" s="110"/>
      <c r="V67" s="112"/>
    </row>
    <row r="68" spans="1:22" x14ac:dyDescent="0.25">
      <c r="A68">
        <v>1184363236</v>
      </c>
      <c r="B68" s="37">
        <v>0.6609157701390711</v>
      </c>
      <c r="C68" s="64">
        <v>46826</v>
      </c>
      <c r="D68" s="64">
        <v>46826</v>
      </c>
      <c r="E68" s="32">
        <v>28602</v>
      </c>
      <c r="F68" s="64">
        <v>150</v>
      </c>
      <c r="G68" s="60">
        <v>25.259999999999991</v>
      </c>
      <c r="H68" s="64">
        <v>37101</v>
      </c>
      <c r="I68" s="60">
        <v>247.34</v>
      </c>
      <c r="J68" s="110">
        <v>7.879999999999999</v>
      </c>
      <c r="K68" s="112">
        <v>1.2717000000000001</v>
      </c>
      <c r="L68" s="60">
        <v>25.259999999999991</v>
      </c>
      <c r="M68" s="60">
        <f>_xlfn.XLOOKUP(A68,'[1]FRV Output'!$F:$F,'[1]FRV Output'!$BC:$BC)</f>
        <v>12.740615947336956</v>
      </c>
      <c r="N68" s="64"/>
      <c r="O68" s="64"/>
      <c r="R68" s="32"/>
      <c r="T68" s="60"/>
      <c r="U68" s="110"/>
      <c r="V68" s="112"/>
    </row>
    <row r="69" spans="1:22" x14ac:dyDescent="0.25">
      <c r="A69">
        <v>1184650541</v>
      </c>
      <c r="B69" s="37">
        <v>0.59378644011327675</v>
      </c>
      <c r="C69" s="64">
        <v>45077</v>
      </c>
      <c r="D69" s="64">
        <v>45077</v>
      </c>
      <c r="E69" s="32">
        <v>28697</v>
      </c>
      <c r="F69" s="64">
        <v>176</v>
      </c>
      <c r="G69" s="60">
        <v>28.829999999999927</v>
      </c>
      <c r="H69" s="64">
        <v>54671.166349235842</v>
      </c>
      <c r="I69" s="60">
        <v>310.63162698429454</v>
      </c>
      <c r="J69" s="110">
        <v>7.879999999999999</v>
      </c>
      <c r="K69" s="112">
        <v>1.3762000000000001</v>
      </c>
      <c r="L69" s="60">
        <v>28.829999999999927</v>
      </c>
      <c r="M69" s="60">
        <f>_xlfn.XLOOKUP(A69,'[1]FRV Output'!$F:$F,'[1]FRV Output'!$BC:$BC)</f>
        <v>10.682246421407934</v>
      </c>
      <c r="N69" s="64"/>
      <c r="O69" s="64"/>
      <c r="R69" s="32"/>
      <c r="T69" s="60"/>
      <c r="U69" s="110"/>
      <c r="V69" s="112"/>
    </row>
    <row r="70" spans="1:22" x14ac:dyDescent="0.25">
      <c r="A70">
        <v>1184705048</v>
      </c>
      <c r="B70" s="37">
        <v>0.6449569183983781</v>
      </c>
      <c r="C70" s="64">
        <v>20364</v>
      </c>
      <c r="D70" s="64">
        <v>20364</v>
      </c>
      <c r="E70" s="32">
        <v>28573</v>
      </c>
      <c r="F70" s="64">
        <v>80</v>
      </c>
      <c r="G70" s="60">
        <v>30.5</v>
      </c>
      <c r="H70" s="64">
        <v>0</v>
      </c>
      <c r="I70" s="60">
        <v>0</v>
      </c>
      <c r="J70" s="110">
        <v>24.38</v>
      </c>
      <c r="K70" s="112">
        <v>1.0887</v>
      </c>
      <c r="L70" s="60">
        <v>30.5</v>
      </c>
      <c r="M70" s="60">
        <f>_xlfn.XLOOKUP(A70,'[1]FRV Output'!$F:$F,'[1]FRV Output'!$BC:$BC)</f>
        <v>9.7350587270973961</v>
      </c>
      <c r="N70" s="64"/>
      <c r="O70" s="64"/>
      <c r="R70" s="32"/>
      <c r="T70" s="60"/>
      <c r="U70" s="110"/>
      <c r="V70" s="112"/>
    </row>
    <row r="71" spans="1:22" x14ac:dyDescent="0.25">
      <c r="A71">
        <v>1184712580</v>
      </c>
      <c r="B71" s="37">
        <v>0.79778069791210404</v>
      </c>
      <c r="C71" s="64">
        <v>47799</v>
      </c>
      <c r="D71" s="64">
        <v>47799</v>
      </c>
      <c r="E71" s="32">
        <v>28387</v>
      </c>
      <c r="F71" s="64">
        <v>176</v>
      </c>
      <c r="G71" s="60">
        <v>13.789999999999964</v>
      </c>
      <c r="H71" s="64">
        <v>0</v>
      </c>
      <c r="I71" s="60">
        <v>0</v>
      </c>
      <c r="J71" s="110">
        <v>0</v>
      </c>
      <c r="K71" s="112">
        <v>1.0741000000000001</v>
      </c>
      <c r="L71" s="60">
        <v>13.789999999999964</v>
      </c>
      <c r="M71" s="60">
        <f>_xlfn.XLOOKUP(A71,'[1]FRV Output'!$F:$F,'[1]FRV Output'!$BC:$BC)</f>
        <v>18.042993731918997</v>
      </c>
      <c r="N71" s="64"/>
      <c r="O71" s="64"/>
      <c r="R71" s="32"/>
      <c r="T71" s="60"/>
      <c r="U71" s="110"/>
      <c r="V71" s="112"/>
    </row>
    <row r="72" spans="1:22" x14ac:dyDescent="0.25">
      <c r="A72">
        <v>1194028118</v>
      </c>
      <c r="B72" s="37">
        <v>0.65</v>
      </c>
      <c r="C72" s="64">
        <v>34189</v>
      </c>
      <c r="D72" s="64">
        <v>34189</v>
      </c>
      <c r="E72" s="32">
        <v>28412</v>
      </c>
      <c r="F72" s="64">
        <v>100</v>
      </c>
      <c r="G72" s="60">
        <v>7.4900000000000091</v>
      </c>
      <c r="H72" s="64">
        <v>67869</v>
      </c>
      <c r="I72" s="60">
        <v>678.69</v>
      </c>
      <c r="J72" s="110">
        <v>24.38</v>
      </c>
      <c r="K72" s="112">
        <v>1.0125999999999999</v>
      </c>
      <c r="L72" s="60">
        <v>7.4900000000000091</v>
      </c>
      <c r="M72" s="60">
        <f>_xlfn.XLOOKUP(A72,'[1]FRV Output'!$F:$F,'[1]FRV Output'!$BC:$BC)</f>
        <v>30.110459237691941</v>
      </c>
      <c r="N72" s="64"/>
      <c r="O72" s="64"/>
      <c r="R72" s="32"/>
      <c r="T72" s="60"/>
      <c r="U72" s="110"/>
      <c r="V72" s="112"/>
    </row>
    <row r="73" spans="1:22" x14ac:dyDescent="0.25">
      <c r="A73">
        <v>1194309336</v>
      </c>
      <c r="B73" s="37">
        <v>0.66849175062052857</v>
      </c>
      <c r="C73" s="64">
        <v>29869</v>
      </c>
      <c r="D73" s="64">
        <v>29869</v>
      </c>
      <c r="E73" s="32">
        <v>28214</v>
      </c>
      <c r="F73" s="64">
        <v>90</v>
      </c>
      <c r="G73" s="60">
        <v>3.8900000000001</v>
      </c>
      <c r="H73" s="64">
        <v>38758</v>
      </c>
      <c r="I73" s="60">
        <v>430.64444444444445</v>
      </c>
      <c r="J73" s="110">
        <v>24.38</v>
      </c>
      <c r="K73" s="112">
        <v>1.2555000000000001</v>
      </c>
      <c r="L73" s="60">
        <v>3.8900000000001</v>
      </c>
      <c r="M73" s="60">
        <f>_xlfn.XLOOKUP(A73,'[1]FRV Output'!$F:$F,'[1]FRV Output'!$BC:$BC)</f>
        <v>23.288172150897175</v>
      </c>
      <c r="N73" s="64"/>
      <c r="O73" s="64"/>
      <c r="R73" s="32"/>
      <c r="T73" s="60"/>
      <c r="U73" s="110"/>
      <c r="V73" s="112"/>
    </row>
    <row r="74" spans="1:22" x14ac:dyDescent="0.25">
      <c r="A74">
        <v>1194381681</v>
      </c>
      <c r="B74" s="37">
        <v>0.62089213969300516</v>
      </c>
      <c r="C74" s="64">
        <v>27603</v>
      </c>
      <c r="D74" s="64">
        <v>27603</v>
      </c>
      <c r="E74" s="32">
        <v>27909</v>
      </c>
      <c r="F74" s="64">
        <v>108</v>
      </c>
      <c r="G74" s="60">
        <v>18.6099999999999</v>
      </c>
      <c r="H74" s="64">
        <v>33425</v>
      </c>
      <c r="I74" s="60">
        <v>309.49074074074076</v>
      </c>
      <c r="J74" s="110">
        <v>24.38</v>
      </c>
      <c r="K74" s="112">
        <v>1.0846</v>
      </c>
      <c r="L74" s="60">
        <v>18.6099999999999</v>
      </c>
      <c r="M74" s="60">
        <f>_xlfn.XLOOKUP(A74,'[1]FRV Output'!$F:$F,'[1]FRV Output'!$BC:$BC)</f>
        <v>16.379276489874616</v>
      </c>
      <c r="N74" s="64"/>
      <c r="O74" s="64"/>
      <c r="R74" s="32"/>
      <c r="T74" s="60"/>
      <c r="U74" s="110"/>
      <c r="V74" s="112"/>
    </row>
    <row r="75" spans="1:22" x14ac:dyDescent="0.25">
      <c r="A75">
        <v>1194722629</v>
      </c>
      <c r="B75" s="37">
        <v>0.70952575633687653</v>
      </c>
      <c r="C75" s="64">
        <v>34147</v>
      </c>
      <c r="D75" s="64">
        <v>34147</v>
      </c>
      <c r="E75" s="32">
        <v>28806</v>
      </c>
      <c r="F75" s="64">
        <v>120</v>
      </c>
      <c r="G75" s="60">
        <v>4.5399999999999636</v>
      </c>
      <c r="H75" s="64">
        <v>72307.628347090795</v>
      </c>
      <c r="I75" s="60">
        <v>602.56356955908996</v>
      </c>
      <c r="J75" s="110">
        <v>24.38</v>
      </c>
      <c r="K75" s="112">
        <v>1.2199</v>
      </c>
      <c r="L75" s="60">
        <v>4.5399999999999636</v>
      </c>
      <c r="M75" s="60">
        <f>_xlfn.XLOOKUP(A75,'[1]FRV Output'!$F:$F,'[1]FRV Output'!$BC:$BC)</f>
        <v>32.088144118444063</v>
      </c>
      <c r="N75" s="64"/>
      <c r="O75" s="64"/>
      <c r="R75" s="32"/>
      <c r="T75" s="60"/>
      <c r="U75" s="110"/>
      <c r="V75" s="112"/>
    </row>
    <row r="76" spans="1:22" x14ac:dyDescent="0.25">
      <c r="A76">
        <v>1194779504</v>
      </c>
      <c r="B76" s="37">
        <v>0.61637448713166731</v>
      </c>
      <c r="C76" s="64">
        <v>23056</v>
      </c>
      <c r="D76" s="64">
        <v>23056</v>
      </c>
      <c r="E76" s="32">
        <v>28372</v>
      </c>
      <c r="F76" s="64">
        <v>84</v>
      </c>
      <c r="G76" s="60">
        <v>27.829999999999927</v>
      </c>
      <c r="H76" s="64">
        <v>32361</v>
      </c>
      <c r="I76" s="60">
        <v>385.25</v>
      </c>
      <c r="J76" s="110">
        <v>24.38</v>
      </c>
      <c r="K76" s="112">
        <v>1.2363999999999999</v>
      </c>
      <c r="L76" s="60">
        <v>27.829999999999927</v>
      </c>
      <c r="M76" s="60">
        <f>_xlfn.XLOOKUP(A76,'[1]FRV Output'!$F:$F,'[1]FRV Output'!$BC:$BC)</f>
        <v>12.196872017170957</v>
      </c>
      <c r="N76" s="64"/>
      <c r="O76" s="64"/>
      <c r="R76" s="32"/>
      <c r="T76" s="60"/>
      <c r="U76" s="110"/>
      <c r="V76" s="112"/>
    </row>
    <row r="77" spans="1:22" x14ac:dyDescent="0.25">
      <c r="A77">
        <v>1194825448</v>
      </c>
      <c r="B77" s="37">
        <v>0.61031184384477799</v>
      </c>
      <c r="C77" s="64">
        <v>30485</v>
      </c>
      <c r="D77" s="64">
        <v>30485</v>
      </c>
      <c r="E77" s="32">
        <v>28150</v>
      </c>
      <c r="F77" s="64">
        <v>100</v>
      </c>
      <c r="G77" s="60">
        <v>34.5</v>
      </c>
      <c r="H77" s="64">
        <v>28983.999999999996</v>
      </c>
      <c r="I77" s="60">
        <v>289.83999999999997</v>
      </c>
      <c r="J77" s="110">
        <v>24.38</v>
      </c>
      <c r="K77" s="112">
        <v>1.3008999999999999</v>
      </c>
      <c r="L77" s="60">
        <v>38.079999999999927</v>
      </c>
      <c r="M77" s="60">
        <f>_xlfn.XLOOKUP(A77,'[1]FRV Output'!$F:$F,'[1]FRV Output'!$BC:$BC)</f>
        <v>8.2777842815814857</v>
      </c>
      <c r="N77" s="64"/>
      <c r="O77" s="64"/>
      <c r="R77" s="32"/>
      <c r="T77" s="60"/>
      <c r="U77" s="110"/>
      <c r="V77" s="112"/>
    </row>
    <row r="78" spans="1:22" x14ac:dyDescent="0.25">
      <c r="A78">
        <v>1205252640</v>
      </c>
      <c r="B78" s="37">
        <v>0.66886531776450675</v>
      </c>
      <c r="C78" s="64">
        <v>34026</v>
      </c>
      <c r="D78" s="64">
        <v>34026</v>
      </c>
      <c r="E78" s="32">
        <v>27804</v>
      </c>
      <c r="F78" s="64">
        <v>117</v>
      </c>
      <c r="G78" s="60">
        <v>27.039999999999964</v>
      </c>
      <c r="H78" s="64">
        <v>42361</v>
      </c>
      <c r="I78" s="60">
        <v>362.05982905982904</v>
      </c>
      <c r="J78" s="110">
        <v>24.38</v>
      </c>
      <c r="K78" s="112">
        <v>1.3139000000000001</v>
      </c>
      <c r="L78" s="60">
        <v>27.039999999999964</v>
      </c>
      <c r="M78" s="60">
        <f>_xlfn.XLOOKUP(A78,'[1]FRV Output'!$F:$F,'[1]FRV Output'!$BC:$BC)</f>
        <v>10.988249960477864</v>
      </c>
      <c r="N78" s="64"/>
      <c r="O78" s="64"/>
      <c r="R78" s="32"/>
      <c r="T78" s="60"/>
      <c r="U78" s="110"/>
      <c r="V78" s="112"/>
    </row>
    <row r="79" spans="1:22" x14ac:dyDescent="0.25">
      <c r="A79">
        <v>1205357878</v>
      </c>
      <c r="B79" s="37">
        <v>0.52142623487078832</v>
      </c>
      <c r="C79" s="64">
        <v>13204</v>
      </c>
      <c r="D79" s="64">
        <v>13204</v>
      </c>
      <c r="E79" s="32">
        <v>27106</v>
      </c>
      <c r="F79" s="64">
        <v>40</v>
      </c>
      <c r="G79" s="60">
        <v>1</v>
      </c>
      <c r="H79" s="64">
        <v>15097.5</v>
      </c>
      <c r="I79" s="60">
        <v>377.4375</v>
      </c>
      <c r="J79" s="110">
        <v>24.38</v>
      </c>
      <c r="K79" s="112">
        <v>1.1529</v>
      </c>
      <c r="L79" s="60">
        <v>1</v>
      </c>
      <c r="M79" s="60">
        <f>_xlfn.XLOOKUP(A79,'[1]FRV Output'!$F:$F,'[1]FRV Output'!$BC:$BC)</f>
        <v>23.438804349060888</v>
      </c>
      <c r="N79" s="64"/>
      <c r="O79" s="64"/>
      <c r="R79" s="32"/>
      <c r="T79" s="60"/>
      <c r="U79" s="110"/>
      <c r="V79" s="112"/>
    </row>
    <row r="80" spans="1:22" x14ac:dyDescent="0.25">
      <c r="A80">
        <v>1215400668</v>
      </c>
      <c r="B80" s="37">
        <v>0.6376835642578611</v>
      </c>
      <c r="C80" s="64">
        <v>29736</v>
      </c>
      <c r="D80" s="64">
        <v>29736</v>
      </c>
      <c r="E80" s="32">
        <v>27407</v>
      </c>
      <c r="F80" s="64">
        <v>126</v>
      </c>
      <c r="G80" s="60">
        <v>20</v>
      </c>
      <c r="H80" s="64">
        <v>44783</v>
      </c>
      <c r="I80" s="60">
        <v>355.42063492063494</v>
      </c>
      <c r="J80" s="110">
        <v>24.38</v>
      </c>
      <c r="K80" s="112">
        <v>1.0724</v>
      </c>
      <c r="L80" s="60">
        <v>20</v>
      </c>
      <c r="M80" s="60">
        <f>_xlfn.XLOOKUP(A80,'[1]FRV Output'!$F:$F,'[1]FRV Output'!$BC:$BC)</f>
        <v>13.585122016634557</v>
      </c>
      <c r="N80" s="64"/>
      <c r="O80" s="64"/>
      <c r="R80" s="32"/>
      <c r="T80" s="60"/>
      <c r="U80" s="110"/>
      <c r="V80" s="112"/>
    </row>
    <row r="81" spans="1:22" x14ac:dyDescent="0.25">
      <c r="A81">
        <v>1215931977</v>
      </c>
      <c r="B81" s="37">
        <v>0.66652139173385627</v>
      </c>
      <c r="C81" s="64">
        <v>24605</v>
      </c>
      <c r="D81" s="64">
        <v>24605</v>
      </c>
      <c r="E81" s="32">
        <v>28002</v>
      </c>
      <c r="F81" s="64">
        <v>76</v>
      </c>
      <c r="G81" s="60">
        <v>1.7300000000000182</v>
      </c>
      <c r="H81" s="64">
        <v>42196</v>
      </c>
      <c r="I81" s="60">
        <v>555.21052631578948</v>
      </c>
      <c r="J81" s="110">
        <v>24.38</v>
      </c>
      <c r="K81" s="112">
        <v>1.2030000000000001</v>
      </c>
      <c r="L81" s="60">
        <v>1.7300000000000182</v>
      </c>
      <c r="M81" s="60">
        <f>_xlfn.XLOOKUP(A81,'[1]FRV Output'!$F:$F,'[1]FRV Output'!$BC:$BC)</f>
        <v>30.260814767169734</v>
      </c>
      <c r="N81" s="64"/>
      <c r="O81" s="64"/>
      <c r="R81" s="32"/>
      <c r="T81" s="60"/>
      <c r="U81" s="110"/>
      <c r="V81" s="112"/>
    </row>
    <row r="82" spans="1:22" x14ac:dyDescent="0.25">
      <c r="A82">
        <v>1215979059</v>
      </c>
      <c r="B82" s="37">
        <v>0.62348824826956717</v>
      </c>
      <c r="C82" s="64">
        <v>20860</v>
      </c>
      <c r="D82" s="64">
        <v>20860</v>
      </c>
      <c r="E82" s="32">
        <v>28212</v>
      </c>
      <c r="F82" s="64">
        <v>70</v>
      </c>
      <c r="G82" s="60">
        <v>13.869999999999891</v>
      </c>
      <c r="H82" s="64">
        <v>36914</v>
      </c>
      <c r="I82" s="60">
        <v>527.34285714285716</v>
      </c>
      <c r="J82" s="110">
        <v>24.38</v>
      </c>
      <c r="K82" s="112">
        <v>1.1879999999999999</v>
      </c>
      <c r="L82" s="60">
        <v>13.869999999999891</v>
      </c>
      <c r="M82" s="60">
        <f>_xlfn.XLOOKUP(A82,'[1]FRV Output'!$F:$F,'[1]FRV Output'!$BC:$BC)</f>
        <v>24.427743127054342</v>
      </c>
      <c r="N82" s="64"/>
      <c r="O82" s="64"/>
      <c r="R82" s="32"/>
      <c r="T82" s="60"/>
      <c r="U82" s="110"/>
      <c r="V82" s="112"/>
    </row>
    <row r="83" spans="1:22" x14ac:dyDescent="0.25">
      <c r="A83">
        <v>1215982525</v>
      </c>
      <c r="B83" s="37">
        <v>0.68711790393013095</v>
      </c>
      <c r="C83" s="64">
        <v>40823</v>
      </c>
      <c r="D83" s="64">
        <v>40823</v>
      </c>
      <c r="E83" s="32">
        <v>27312</v>
      </c>
      <c r="F83" s="64">
        <v>140</v>
      </c>
      <c r="G83" s="60">
        <v>10.940000000000055</v>
      </c>
      <c r="H83" s="64">
        <v>0</v>
      </c>
      <c r="I83" s="60">
        <v>0</v>
      </c>
      <c r="J83" s="110">
        <v>24.38</v>
      </c>
      <c r="K83" s="112">
        <v>1.1713</v>
      </c>
      <c r="L83" s="60">
        <v>10.940000000000055</v>
      </c>
      <c r="M83" s="60">
        <f>_xlfn.XLOOKUP(A83,'[1]FRV Output'!$F:$F,'[1]FRV Output'!$BC:$BC)</f>
        <v>19.563141465766595</v>
      </c>
      <c r="N83" s="64"/>
      <c r="O83" s="64"/>
      <c r="R83" s="32"/>
      <c r="T83" s="60"/>
      <c r="U83" s="110"/>
      <c r="V83" s="112"/>
    </row>
    <row r="84" spans="1:22" x14ac:dyDescent="0.25">
      <c r="A84">
        <v>1225000888</v>
      </c>
      <c r="B84" s="37">
        <v>0.65659547738693469</v>
      </c>
      <c r="C84" s="64">
        <v>33109</v>
      </c>
      <c r="D84" s="64">
        <v>33109</v>
      </c>
      <c r="E84" s="32">
        <v>27313</v>
      </c>
      <c r="F84" s="64">
        <v>118</v>
      </c>
      <c r="G84" s="60">
        <v>10.1099999999999</v>
      </c>
      <c r="H84" s="64">
        <v>58851</v>
      </c>
      <c r="I84" s="60">
        <v>498.73728813559325</v>
      </c>
      <c r="J84" s="110">
        <v>24.38</v>
      </c>
      <c r="K84" s="112">
        <v>1.2286999999999999</v>
      </c>
      <c r="L84" s="60">
        <v>10.1099999999999</v>
      </c>
      <c r="M84" s="60">
        <f>_xlfn.XLOOKUP(A84,'[1]FRV Output'!$F:$F,'[1]FRV Output'!$BC:$BC)</f>
        <v>23.983463879014856</v>
      </c>
      <c r="N84" s="64"/>
      <c r="O84" s="64"/>
      <c r="R84" s="32"/>
      <c r="T84" s="60"/>
      <c r="U84" s="110"/>
      <c r="V84" s="112"/>
    </row>
    <row r="85" spans="1:22" x14ac:dyDescent="0.25">
      <c r="A85">
        <v>1225064777</v>
      </c>
      <c r="B85" s="37">
        <v>0.61934097421203438</v>
      </c>
      <c r="C85" s="64">
        <v>49743</v>
      </c>
      <c r="D85" s="64">
        <v>49743</v>
      </c>
      <c r="E85" s="32">
        <v>27577</v>
      </c>
      <c r="F85" s="64">
        <v>165</v>
      </c>
      <c r="G85" s="60">
        <v>34.150000000000091</v>
      </c>
      <c r="H85" s="64">
        <v>65990</v>
      </c>
      <c r="I85" s="60">
        <v>399.93939393939394</v>
      </c>
      <c r="J85" s="110">
        <v>7.879999999999999</v>
      </c>
      <c r="K85" s="112">
        <v>1.1840999999999999</v>
      </c>
      <c r="L85" s="60">
        <v>34.150000000000091</v>
      </c>
      <c r="M85" s="60">
        <f>_xlfn.XLOOKUP(A85,'[1]FRV Output'!$F:$F,'[1]FRV Output'!$BC:$BC)</f>
        <v>9.7005239421407907</v>
      </c>
      <c r="N85" s="64"/>
      <c r="O85" s="64"/>
      <c r="R85" s="32"/>
      <c r="T85" s="60"/>
      <c r="U85" s="110"/>
      <c r="V85" s="112"/>
    </row>
    <row r="86" spans="1:22" x14ac:dyDescent="0.25">
      <c r="A86">
        <v>1225279755</v>
      </c>
      <c r="B86" s="37">
        <v>0.66302800189843381</v>
      </c>
      <c r="C86" s="64">
        <v>36774</v>
      </c>
      <c r="D86" s="64">
        <v>36774</v>
      </c>
      <c r="E86" s="32">
        <v>27834</v>
      </c>
      <c r="F86" s="64">
        <v>120</v>
      </c>
      <c r="G86" s="60">
        <v>25.710000000000036</v>
      </c>
      <c r="H86" s="64">
        <v>39904</v>
      </c>
      <c r="I86" s="60">
        <v>332.53333333333336</v>
      </c>
      <c r="J86" s="110">
        <v>24.38</v>
      </c>
      <c r="K86" s="112">
        <v>1.3297000000000001</v>
      </c>
      <c r="L86" s="60">
        <v>25.710000000000036</v>
      </c>
      <c r="M86" s="60">
        <f>_xlfn.XLOOKUP(A86,'[1]FRV Output'!$F:$F,'[1]FRV Output'!$BC:$BC)</f>
        <v>12.470070685269997</v>
      </c>
      <c r="N86" s="64"/>
      <c r="O86" s="64"/>
      <c r="R86" s="32"/>
      <c r="T86" s="60"/>
      <c r="U86" s="110"/>
      <c r="V86" s="112"/>
    </row>
    <row r="87" spans="1:22" x14ac:dyDescent="0.25">
      <c r="A87">
        <v>1225524747</v>
      </c>
      <c r="B87" s="37">
        <v>0.59177892483948125</v>
      </c>
      <c r="C87" s="64">
        <v>34215</v>
      </c>
      <c r="D87" s="64">
        <v>34215</v>
      </c>
      <c r="E87" s="32">
        <v>28801</v>
      </c>
      <c r="F87" s="64">
        <v>120</v>
      </c>
      <c r="G87" s="60">
        <v>7.1500000000000909</v>
      </c>
      <c r="H87" s="64">
        <v>48818</v>
      </c>
      <c r="I87" s="60">
        <v>406.81666666666666</v>
      </c>
      <c r="J87" s="110">
        <v>24.38</v>
      </c>
      <c r="K87" s="112">
        <v>1.1241000000000001</v>
      </c>
      <c r="L87" s="60">
        <v>7.1500000000000909</v>
      </c>
      <c r="M87" s="60">
        <f>_xlfn.XLOOKUP(A87,'[1]FRV Output'!$F:$F,'[1]FRV Output'!$BC:$BC)</f>
        <v>20.559671707449329</v>
      </c>
      <c r="N87" s="64"/>
      <c r="O87" s="64"/>
      <c r="R87" s="32"/>
      <c r="T87" s="60"/>
      <c r="U87" s="110"/>
      <c r="V87" s="112"/>
    </row>
    <row r="88" spans="1:22" x14ac:dyDescent="0.25">
      <c r="A88">
        <v>1225588536</v>
      </c>
      <c r="B88" s="37">
        <v>0.5773145429633979</v>
      </c>
      <c r="C88" s="64">
        <v>37435</v>
      </c>
      <c r="D88" s="64">
        <v>37435</v>
      </c>
      <c r="E88" s="32">
        <v>27030</v>
      </c>
      <c r="F88" s="64">
        <v>120</v>
      </c>
      <c r="G88" s="60">
        <v>10.559999999999945</v>
      </c>
      <c r="H88" s="64">
        <v>40020</v>
      </c>
      <c r="I88" s="60">
        <v>333.5</v>
      </c>
      <c r="J88" s="110">
        <v>24.38</v>
      </c>
      <c r="K88" s="112">
        <v>1.1149</v>
      </c>
      <c r="L88" s="60">
        <v>10.559999999999945</v>
      </c>
      <c r="M88" s="60">
        <f>_xlfn.XLOOKUP(A88,'[1]FRV Output'!$F:$F,'[1]FRV Output'!$BC:$BC)</f>
        <v>20.99510234633367</v>
      </c>
      <c r="N88" s="64"/>
      <c r="O88" s="64"/>
      <c r="R88" s="32"/>
      <c r="T88" s="60"/>
      <c r="U88" s="110"/>
      <c r="V88" s="112"/>
    </row>
    <row r="89" spans="1:22" x14ac:dyDescent="0.25">
      <c r="A89">
        <v>1225654098</v>
      </c>
      <c r="B89" s="37">
        <v>0.58922858158549596</v>
      </c>
      <c r="C89" s="64">
        <v>0</v>
      </c>
      <c r="D89" s="64">
        <v>0</v>
      </c>
      <c r="E89" s="32">
        <v>28304</v>
      </c>
      <c r="F89" s="64">
        <v>120</v>
      </c>
      <c r="G89" s="60">
        <v>21.930000000000064</v>
      </c>
      <c r="H89" s="64">
        <v>41762</v>
      </c>
      <c r="I89" s="60">
        <v>348.01666666666665</v>
      </c>
      <c r="J89" s="110">
        <v>24.38</v>
      </c>
      <c r="K89" s="112">
        <v>1.1792108485224528</v>
      </c>
      <c r="L89" s="60">
        <v>21.930000000000064</v>
      </c>
      <c r="M89" s="60">
        <f>_xlfn.XLOOKUP(A89,'[1]FRV Output'!$F:$F,'[1]FRV Output'!$BC:$BC)</f>
        <v>11.270342860414679</v>
      </c>
      <c r="N89" s="64"/>
      <c r="O89" s="64"/>
      <c r="R89" s="32"/>
      <c r="T89" s="60"/>
      <c r="U89" s="110"/>
      <c r="V89" s="112"/>
    </row>
    <row r="90" spans="1:22" x14ac:dyDescent="0.25">
      <c r="A90">
        <v>1225688757</v>
      </c>
      <c r="B90" s="37">
        <v>0.59185818385650224</v>
      </c>
      <c r="C90" s="64">
        <v>32589</v>
      </c>
      <c r="D90" s="64">
        <v>32589</v>
      </c>
      <c r="E90" s="32">
        <v>27320</v>
      </c>
      <c r="F90" s="64">
        <v>110</v>
      </c>
      <c r="G90" s="60">
        <v>34.5</v>
      </c>
      <c r="H90" s="64">
        <v>28570.000000000004</v>
      </c>
      <c r="I90" s="60">
        <v>259.72727272727275</v>
      </c>
      <c r="J90" s="110">
        <v>24.38</v>
      </c>
      <c r="K90" s="112">
        <v>1.1477999999999999</v>
      </c>
      <c r="L90" s="60">
        <v>46.170000000000073</v>
      </c>
      <c r="M90" s="60">
        <f>_xlfn.XLOOKUP(A90,'[1]FRV Output'!$F:$F,'[1]FRV Output'!$BC:$BC)</f>
        <v>7.1872450331397157</v>
      </c>
      <c r="N90" s="64"/>
      <c r="O90" s="64"/>
      <c r="R90" s="32"/>
      <c r="T90" s="60"/>
      <c r="U90" s="110"/>
      <c r="V90" s="112"/>
    </row>
    <row r="91" spans="1:22" x14ac:dyDescent="0.25">
      <c r="A91">
        <v>1235175175</v>
      </c>
      <c r="B91" s="37">
        <v>0.6011754827875736</v>
      </c>
      <c r="C91" s="64">
        <v>46048</v>
      </c>
      <c r="D91" s="64">
        <v>46048</v>
      </c>
      <c r="E91" s="32">
        <v>28002</v>
      </c>
      <c r="F91" s="64">
        <v>180</v>
      </c>
      <c r="G91" s="60">
        <v>34.5</v>
      </c>
      <c r="H91" s="64">
        <v>56370.925315227934</v>
      </c>
      <c r="I91" s="60">
        <v>313.17180730682185</v>
      </c>
      <c r="J91" s="110">
        <v>7.879999999999999</v>
      </c>
      <c r="K91" s="112">
        <v>1.2924</v>
      </c>
      <c r="L91" s="60">
        <v>37.480000000000018</v>
      </c>
      <c r="M91" s="60">
        <f>_xlfn.XLOOKUP(A91,'[1]FRV Output'!$F:$F,'[1]FRV Output'!$BC:$BC)</f>
        <v>8.1039503375120532</v>
      </c>
      <c r="N91" s="64"/>
      <c r="O91" s="64"/>
      <c r="R91" s="32"/>
      <c r="T91" s="60"/>
      <c r="U91" s="110"/>
      <c r="V91" s="112"/>
    </row>
    <row r="92" spans="1:22" x14ac:dyDescent="0.25">
      <c r="A92">
        <v>1235236878</v>
      </c>
      <c r="B92" s="37">
        <v>0.65127652519893897</v>
      </c>
      <c r="C92" s="64">
        <v>10724</v>
      </c>
      <c r="D92" s="64">
        <v>10724</v>
      </c>
      <c r="E92" s="32">
        <v>28144</v>
      </c>
      <c r="F92" s="64">
        <v>58</v>
      </c>
      <c r="G92" s="60">
        <v>34.5</v>
      </c>
      <c r="H92" s="64">
        <v>23500</v>
      </c>
      <c r="I92" s="60">
        <v>405.17241379310343</v>
      </c>
      <c r="J92" s="110">
        <v>24.38</v>
      </c>
      <c r="K92" s="112">
        <v>1.1752</v>
      </c>
      <c r="L92" s="60">
        <v>57.769999999999982</v>
      </c>
      <c r="M92" s="60">
        <f>_xlfn.XLOOKUP(A92,'[1]FRV Output'!$F:$F,'[1]FRV Output'!$BC:$BC)</f>
        <v>9.8058876132969388</v>
      </c>
      <c r="N92" s="64"/>
      <c r="O92" s="64"/>
      <c r="R92" s="32"/>
      <c r="T92" s="60"/>
      <c r="U92" s="110"/>
      <c r="V92" s="112"/>
    </row>
    <row r="93" spans="1:22" x14ac:dyDescent="0.25">
      <c r="A93">
        <v>1235239567</v>
      </c>
      <c r="B93" s="37">
        <v>0.62225319776976062</v>
      </c>
      <c r="C93" s="64">
        <v>30824</v>
      </c>
      <c r="D93" s="64">
        <v>30824</v>
      </c>
      <c r="E93" s="32">
        <v>28054</v>
      </c>
      <c r="F93" s="64">
        <v>120</v>
      </c>
      <c r="G93" s="60">
        <v>34.5</v>
      </c>
      <c r="H93" s="64">
        <v>37273.846153846156</v>
      </c>
      <c r="I93" s="60">
        <v>310.61538461538464</v>
      </c>
      <c r="J93" s="110">
        <v>24.38</v>
      </c>
      <c r="K93" s="112">
        <v>1.3338000000000001</v>
      </c>
      <c r="L93" s="60">
        <v>41.519999999999982</v>
      </c>
      <c r="M93" s="60">
        <f>_xlfn.XLOOKUP(A93,'[1]FRV Output'!$F:$F,'[1]FRV Output'!$BC:$BC)</f>
        <v>8.1039503375120514</v>
      </c>
      <c r="N93" s="64"/>
      <c r="O93" s="64"/>
      <c r="R93" s="32"/>
      <c r="T93" s="60"/>
      <c r="U93" s="110"/>
      <c r="V93" s="112"/>
    </row>
    <row r="94" spans="1:22" x14ac:dyDescent="0.25">
      <c r="A94">
        <v>1235264219</v>
      </c>
      <c r="B94" s="37">
        <v>0.72895611476632971</v>
      </c>
      <c r="C94" s="64">
        <v>38516</v>
      </c>
      <c r="D94" s="64">
        <v>38516</v>
      </c>
      <c r="E94" s="32">
        <v>27217</v>
      </c>
      <c r="F94" s="64">
        <v>160</v>
      </c>
      <c r="G94" s="60">
        <v>19.230000000000018</v>
      </c>
      <c r="H94" s="64">
        <v>46970</v>
      </c>
      <c r="I94" s="60">
        <v>293.5625</v>
      </c>
      <c r="J94" s="110">
        <v>0</v>
      </c>
      <c r="K94" s="112">
        <v>1.0589</v>
      </c>
      <c r="L94" s="60">
        <v>19.230000000000018</v>
      </c>
      <c r="M94" s="60">
        <f>_xlfn.XLOOKUP(A94,'[1]FRV Output'!$F:$F,'[1]FRV Output'!$BC:$BC)</f>
        <v>15.969681128254546</v>
      </c>
      <c r="N94" s="64"/>
      <c r="O94" s="64"/>
      <c r="R94" s="32"/>
      <c r="T94" s="60"/>
      <c r="U94" s="110"/>
      <c r="V94" s="112"/>
    </row>
    <row r="95" spans="1:22" x14ac:dyDescent="0.25">
      <c r="A95">
        <v>1235370750</v>
      </c>
      <c r="B95" s="37">
        <v>0.59575378820306479</v>
      </c>
      <c r="C95" s="64">
        <v>38603</v>
      </c>
      <c r="D95" s="64">
        <v>38603</v>
      </c>
      <c r="E95" s="32">
        <v>27546</v>
      </c>
      <c r="F95" s="64">
        <v>129</v>
      </c>
      <c r="G95" s="60">
        <v>6.1900000000000546</v>
      </c>
      <c r="H95" s="64">
        <v>57019.258442928171</v>
      </c>
      <c r="I95" s="60">
        <v>442.00975537153619</v>
      </c>
      <c r="J95" s="110">
        <v>24.38</v>
      </c>
      <c r="K95" s="112">
        <v>1.3298000000000001</v>
      </c>
      <c r="L95" s="60">
        <v>6.1900000000000546</v>
      </c>
      <c r="M95" s="60">
        <f>_xlfn.XLOOKUP(A95,'[1]FRV Output'!$F:$F,'[1]FRV Output'!$BC:$BC)</f>
        <v>23.58692463591262</v>
      </c>
      <c r="N95" s="64"/>
      <c r="O95" s="64"/>
      <c r="R95" s="32"/>
      <c r="T95" s="60"/>
      <c r="U95" s="110"/>
      <c r="V95" s="112"/>
    </row>
    <row r="96" spans="1:22" x14ac:dyDescent="0.25">
      <c r="A96">
        <v>1235591918</v>
      </c>
      <c r="B96" s="37">
        <v>0.68744633350506612</v>
      </c>
      <c r="C96" s="64">
        <v>34298</v>
      </c>
      <c r="D96" s="64">
        <v>34298</v>
      </c>
      <c r="E96" s="32">
        <v>28716</v>
      </c>
      <c r="F96" s="64">
        <v>114</v>
      </c>
      <c r="G96" s="60">
        <v>11.130000000000109</v>
      </c>
      <c r="H96" s="64">
        <v>43995</v>
      </c>
      <c r="I96" s="60">
        <v>385.92105263157896</v>
      </c>
      <c r="J96" s="110">
        <v>24.38</v>
      </c>
      <c r="K96" s="112">
        <v>1.2689999999999999</v>
      </c>
      <c r="L96" s="60">
        <v>11.130000000000109</v>
      </c>
      <c r="M96" s="60">
        <f>_xlfn.XLOOKUP(A96,'[1]FRV Output'!$F:$F,'[1]FRV Output'!$BC:$BC)</f>
        <v>19.068862865959527</v>
      </c>
      <c r="N96" s="64"/>
      <c r="O96" s="64"/>
      <c r="R96" s="32"/>
      <c r="T96" s="60"/>
      <c r="U96" s="110"/>
      <c r="V96" s="112"/>
    </row>
    <row r="97" spans="1:22" x14ac:dyDescent="0.25">
      <c r="A97">
        <v>1245227578</v>
      </c>
      <c r="B97" s="37">
        <v>0.67747771029848813</v>
      </c>
      <c r="C97" s="64">
        <v>55408</v>
      </c>
      <c r="D97" s="64">
        <v>55408</v>
      </c>
      <c r="E97" s="32">
        <v>28658</v>
      </c>
      <c r="F97" s="64">
        <v>174</v>
      </c>
      <c r="G97" s="60">
        <v>4.0399999999999636</v>
      </c>
      <c r="H97" s="64">
        <v>149627.36150378239</v>
      </c>
      <c r="I97" s="60">
        <v>859.92736496426664</v>
      </c>
      <c r="J97" s="110">
        <v>0</v>
      </c>
      <c r="K97" s="112">
        <v>1.1056999999999999</v>
      </c>
      <c r="L97" s="60">
        <v>4.0399999999999636</v>
      </c>
      <c r="M97" s="60">
        <f>_xlfn.XLOOKUP(A97,'[1]FRV Output'!$F:$F,'[1]FRV Output'!$BC:$BC)</f>
        <v>36.462966775144452</v>
      </c>
      <c r="N97" s="64"/>
      <c r="O97" s="64"/>
      <c r="R97" s="32"/>
      <c r="T97" s="60"/>
      <c r="U97" s="110"/>
      <c r="V97" s="112"/>
    </row>
    <row r="98" spans="1:22" x14ac:dyDescent="0.25">
      <c r="A98">
        <v>1245285253</v>
      </c>
      <c r="B98" s="37">
        <v>0.55006190034045188</v>
      </c>
      <c r="C98" s="64">
        <v>34457</v>
      </c>
      <c r="D98" s="64">
        <v>34457</v>
      </c>
      <c r="E98" s="32">
        <v>28560</v>
      </c>
      <c r="F98" s="64">
        <v>110</v>
      </c>
      <c r="G98" s="60">
        <v>3.4400000000000546</v>
      </c>
      <c r="H98" s="64">
        <v>22000</v>
      </c>
      <c r="I98" s="60">
        <v>200</v>
      </c>
      <c r="J98" s="110">
        <v>24.38</v>
      </c>
      <c r="K98" s="112">
        <v>1.1084000000000001</v>
      </c>
      <c r="L98" s="60">
        <v>3.4400000000000546</v>
      </c>
      <c r="M98" s="60">
        <f>_xlfn.XLOOKUP(A98,'[1]FRV Output'!$F:$F,'[1]FRV Output'!$BC:$BC)</f>
        <v>22.229055799322374</v>
      </c>
      <c r="N98" s="64"/>
      <c r="O98" s="64"/>
      <c r="R98" s="32"/>
      <c r="T98" s="60"/>
      <c r="U98" s="110"/>
      <c r="V98" s="112"/>
    </row>
    <row r="99" spans="1:22" x14ac:dyDescent="0.25">
      <c r="A99">
        <v>1245287762</v>
      </c>
      <c r="B99" s="37">
        <v>0.59144832294956051</v>
      </c>
      <c r="C99" s="64">
        <v>34005</v>
      </c>
      <c r="D99" s="64">
        <v>34005</v>
      </c>
      <c r="E99" s="32">
        <v>28621</v>
      </c>
      <c r="F99" s="64">
        <v>100</v>
      </c>
      <c r="G99" s="60">
        <v>4.5199999999999818</v>
      </c>
      <c r="H99" s="64">
        <v>24652</v>
      </c>
      <c r="I99" s="60">
        <v>246.52</v>
      </c>
      <c r="J99" s="110">
        <v>24.38</v>
      </c>
      <c r="K99" s="112">
        <v>1.2350000000000001</v>
      </c>
      <c r="L99" s="60">
        <v>4.5199999999999818</v>
      </c>
      <c r="M99" s="60">
        <f>_xlfn.XLOOKUP(A99,'[1]FRV Output'!$F:$F,'[1]FRV Output'!$BC:$BC)</f>
        <v>21.099459076753416</v>
      </c>
      <c r="N99" s="64"/>
      <c r="O99" s="64"/>
      <c r="R99" s="32"/>
      <c r="T99" s="60"/>
      <c r="U99" s="110"/>
      <c r="V99" s="112"/>
    </row>
    <row r="100" spans="1:22" x14ac:dyDescent="0.25">
      <c r="A100">
        <v>1245337880</v>
      </c>
      <c r="B100" s="37">
        <v>0.65932838797160398</v>
      </c>
      <c r="C100" s="64">
        <v>19500</v>
      </c>
      <c r="D100" s="64">
        <v>19500</v>
      </c>
      <c r="E100" s="32">
        <v>28054</v>
      </c>
      <c r="F100" s="64">
        <v>60</v>
      </c>
      <c r="G100" s="60">
        <v>25.130000000000109</v>
      </c>
      <c r="H100" s="64">
        <v>17703.794984040127</v>
      </c>
      <c r="I100" s="60">
        <v>295.06324973400211</v>
      </c>
      <c r="J100" s="110">
        <v>24.38</v>
      </c>
      <c r="K100" s="112">
        <v>1.2121999999999999</v>
      </c>
      <c r="L100" s="60">
        <v>25.130000000000109</v>
      </c>
      <c r="M100" s="60">
        <f>_xlfn.XLOOKUP(A100,'[1]FRV Output'!$F:$F,'[1]FRV Output'!$BC:$BC)</f>
        <v>12.221946302884582</v>
      </c>
      <c r="N100" s="64"/>
      <c r="O100" s="64"/>
      <c r="R100" s="32"/>
      <c r="T100" s="60"/>
      <c r="U100" s="110"/>
      <c r="V100" s="112"/>
    </row>
    <row r="101" spans="1:22" x14ac:dyDescent="0.25">
      <c r="A101">
        <v>1245350289</v>
      </c>
      <c r="B101" s="37">
        <v>0.6111161237931968</v>
      </c>
      <c r="C101" s="64">
        <v>37578</v>
      </c>
      <c r="D101" s="64">
        <v>37578</v>
      </c>
      <c r="E101" s="32">
        <v>27288</v>
      </c>
      <c r="F101" s="64">
        <v>112</v>
      </c>
      <c r="G101" s="60">
        <v>18.309999999999945</v>
      </c>
      <c r="H101" s="64">
        <v>34900</v>
      </c>
      <c r="I101" s="60">
        <v>311.60714285714283</v>
      </c>
      <c r="J101" s="110">
        <v>24.38</v>
      </c>
      <c r="K101" s="112">
        <v>1.1897</v>
      </c>
      <c r="L101" s="60">
        <v>18.309999999999945</v>
      </c>
      <c r="M101" s="60">
        <f>_xlfn.XLOOKUP(A101,'[1]FRV Output'!$F:$F,'[1]FRV Output'!$BC:$BC)</f>
        <v>15.214655298738668</v>
      </c>
      <c r="N101" s="64"/>
      <c r="O101" s="64"/>
      <c r="R101" s="32"/>
      <c r="T101" s="60"/>
      <c r="U101" s="110"/>
      <c r="V101" s="112"/>
    </row>
    <row r="102" spans="1:22" x14ac:dyDescent="0.25">
      <c r="A102">
        <v>1245737840</v>
      </c>
      <c r="B102" s="37">
        <v>0.62006509126927978</v>
      </c>
      <c r="C102" s="64">
        <v>28018</v>
      </c>
      <c r="D102" s="64">
        <v>28018</v>
      </c>
      <c r="E102" s="32">
        <v>28401</v>
      </c>
      <c r="F102" s="64">
        <v>120</v>
      </c>
      <c r="G102" s="60">
        <v>1.1199999999998909</v>
      </c>
      <c r="H102" s="64">
        <v>51465</v>
      </c>
      <c r="I102" s="60">
        <v>428.875</v>
      </c>
      <c r="J102" s="110">
        <v>24.38</v>
      </c>
      <c r="K102" s="112">
        <v>1.1741999999999999</v>
      </c>
      <c r="L102" s="60">
        <v>1.1199999999998909</v>
      </c>
      <c r="M102" s="60">
        <f>_xlfn.XLOOKUP(A102,'[1]FRV Output'!$F:$F,'[1]FRV Output'!$BC:$BC)</f>
        <v>24.267620862644652</v>
      </c>
      <c r="N102" s="64"/>
      <c r="O102" s="64"/>
      <c r="R102" s="32"/>
      <c r="T102" s="60"/>
      <c r="U102" s="110"/>
      <c r="V102" s="112"/>
    </row>
    <row r="103" spans="1:22" x14ac:dyDescent="0.25">
      <c r="A103">
        <v>1255070306</v>
      </c>
      <c r="B103" s="37">
        <v>0.64503494355272262</v>
      </c>
      <c r="C103" s="64">
        <v>29180</v>
      </c>
      <c r="D103" s="64">
        <v>29180</v>
      </c>
      <c r="E103" s="32">
        <v>28601</v>
      </c>
      <c r="F103" s="64">
        <v>104</v>
      </c>
      <c r="G103" s="60">
        <v>16.369999999999891</v>
      </c>
      <c r="H103" s="64">
        <v>31740</v>
      </c>
      <c r="I103" s="60">
        <v>305.19230769230768</v>
      </c>
      <c r="J103" s="110">
        <v>24.38</v>
      </c>
      <c r="K103" s="112">
        <v>1.2811999999999999</v>
      </c>
      <c r="L103" s="60">
        <v>16.369999999999891</v>
      </c>
      <c r="M103" s="60">
        <f>_xlfn.XLOOKUP(A103,'[1]FRV Output'!$F:$F,'[1]FRV Output'!$BC:$BC)</f>
        <v>17.276707834136978</v>
      </c>
      <c r="N103" s="64"/>
      <c r="O103" s="64"/>
      <c r="R103" s="32"/>
      <c r="T103" s="60"/>
      <c r="U103" s="110"/>
      <c r="V103" s="112"/>
    </row>
    <row r="104" spans="1:22" x14ac:dyDescent="0.25">
      <c r="A104">
        <v>1255367447</v>
      </c>
      <c r="B104" s="37">
        <v>0.61558329746018081</v>
      </c>
      <c r="C104" s="64">
        <v>53381</v>
      </c>
      <c r="D104" s="64">
        <v>53381</v>
      </c>
      <c r="E104" s="32">
        <v>27025</v>
      </c>
      <c r="F104" s="64">
        <v>170</v>
      </c>
      <c r="G104" s="60">
        <v>26.009999999999991</v>
      </c>
      <c r="H104" s="64">
        <v>65935</v>
      </c>
      <c r="I104" s="60">
        <v>387.85294117647061</v>
      </c>
      <c r="J104" s="110">
        <v>7.879999999999999</v>
      </c>
      <c r="K104" s="112">
        <v>1.2734000000000001</v>
      </c>
      <c r="L104" s="60">
        <v>26.009999999999991</v>
      </c>
      <c r="M104" s="60">
        <f>_xlfn.XLOOKUP(A104,'[1]FRV Output'!$F:$F,'[1]FRV Output'!$BC:$BC)</f>
        <v>11.654288200015246</v>
      </c>
      <c r="N104" s="64"/>
      <c r="O104" s="64"/>
      <c r="R104" s="32"/>
      <c r="T104" s="60"/>
      <c r="U104" s="110"/>
      <c r="V104" s="112"/>
    </row>
    <row r="105" spans="1:22" x14ac:dyDescent="0.25">
      <c r="A105">
        <v>1255379293</v>
      </c>
      <c r="B105" s="37">
        <v>0.66230994931981857</v>
      </c>
      <c r="C105" s="64">
        <v>29125</v>
      </c>
      <c r="D105" s="64">
        <v>29125</v>
      </c>
      <c r="E105" s="32">
        <v>28704</v>
      </c>
      <c r="F105" s="64">
        <v>100</v>
      </c>
      <c r="G105" s="60">
        <v>23.3599999999999</v>
      </c>
      <c r="H105" s="64">
        <v>38658</v>
      </c>
      <c r="I105" s="60">
        <v>386.58</v>
      </c>
      <c r="J105" s="110">
        <v>24.38</v>
      </c>
      <c r="K105" s="112">
        <v>1.1217999999999999</v>
      </c>
      <c r="L105" s="60">
        <v>23.3599999999999</v>
      </c>
      <c r="M105" s="60">
        <f>_xlfn.XLOOKUP(A105,'[1]FRV Output'!$F:$F,'[1]FRV Output'!$BC:$BC)</f>
        <v>13.575018435868788</v>
      </c>
      <c r="N105" s="64"/>
      <c r="O105" s="64"/>
      <c r="R105" s="32"/>
      <c r="T105" s="60"/>
      <c r="U105" s="110"/>
      <c r="V105" s="112"/>
    </row>
    <row r="106" spans="1:22" x14ac:dyDescent="0.25">
      <c r="A106">
        <v>1255385720</v>
      </c>
      <c r="B106" s="37">
        <v>0.65684246811444336</v>
      </c>
      <c r="C106" s="64">
        <v>31394</v>
      </c>
      <c r="D106" s="64">
        <v>31394</v>
      </c>
      <c r="E106" s="32">
        <v>27610</v>
      </c>
      <c r="F106" s="64">
        <v>125</v>
      </c>
      <c r="G106" s="60">
        <v>17.5</v>
      </c>
      <c r="H106" s="64">
        <v>34321</v>
      </c>
      <c r="I106" s="60">
        <v>274.56799999999998</v>
      </c>
      <c r="J106" s="110">
        <v>24.38</v>
      </c>
      <c r="K106" s="112">
        <v>1.2000999999999999</v>
      </c>
      <c r="L106" s="60">
        <v>17.5</v>
      </c>
      <c r="M106" s="60">
        <f>_xlfn.XLOOKUP(A106,'[1]FRV Output'!$F:$F,'[1]FRV Output'!$BC:$BC)</f>
        <v>16.441095876567065</v>
      </c>
      <c r="N106" s="64"/>
      <c r="O106" s="64"/>
      <c r="R106" s="32"/>
      <c r="T106" s="60"/>
      <c r="U106" s="110"/>
      <c r="V106" s="112"/>
    </row>
    <row r="107" spans="1:22" x14ac:dyDescent="0.25">
      <c r="A107">
        <v>1255682522</v>
      </c>
      <c r="B107" s="37">
        <v>0.65</v>
      </c>
      <c r="C107" s="64">
        <v>25071</v>
      </c>
      <c r="D107" s="64">
        <v>25071</v>
      </c>
      <c r="E107" s="32">
        <v>28412</v>
      </c>
      <c r="F107" s="64">
        <v>80</v>
      </c>
      <c r="G107" s="60">
        <v>3.0999999999999091</v>
      </c>
      <c r="H107" s="64">
        <v>43500</v>
      </c>
      <c r="I107" s="60">
        <v>543.75</v>
      </c>
      <c r="J107" s="110">
        <v>24.38</v>
      </c>
      <c r="K107" s="112">
        <v>1.1920999999999999</v>
      </c>
      <c r="L107" s="60">
        <v>3.0999999999999091</v>
      </c>
      <c r="M107" s="60">
        <f>_xlfn.XLOOKUP(A107,'[1]FRV Output'!$F:$F,'[1]FRV Output'!$BC:$BC)</f>
        <v>26.829712338817814</v>
      </c>
      <c r="N107" s="64"/>
      <c r="O107" s="64"/>
      <c r="R107" s="32"/>
      <c r="T107" s="60"/>
      <c r="U107" s="110"/>
      <c r="V107" s="112"/>
    </row>
    <row r="108" spans="1:22" x14ac:dyDescent="0.25">
      <c r="A108">
        <v>1255878245</v>
      </c>
      <c r="B108" s="37">
        <v>0.64203849203488794</v>
      </c>
      <c r="C108" s="64">
        <v>32903</v>
      </c>
      <c r="D108" s="64">
        <v>32903</v>
      </c>
      <c r="E108" s="32">
        <v>27209</v>
      </c>
      <c r="F108" s="64">
        <v>141</v>
      </c>
      <c r="G108" s="60">
        <v>28.789999999999964</v>
      </c>
      <c r="H108" s="64">
        <v>50014.306784660766</v>
      </c>
      <c r="I108" s="60">
        <v>354.71139563589196</v>
      </c>
      <c r="J108" s="110">
        <v>24.38</v>
      </c>
      <c r="K108" s="112">
        <v>1.1559999999999999</v>
      </c>
      <c r="L108" s="60">
        <v>28.789999999999964</v>
      </c>
      <c r="M108" s="60">
        <f>_xlfn.XLOOKUP(A108,'[1]FRV Output'!$F:$F,'[1]FRV Output'!$BC:$BC)</f>
        <v>10.945540137530809</v>
      </c>
      <c r="N108" s="64"/>
      <c r="O108" s="64"/>
      <c r="R108" s="32"/>
      <c r="T108" s="60"/>
      <c r="U108" s="110"/>
      <c r="V108" s="112"/>
    </row>
    <row r="109" spans="1:22" x14ac:dyDescent="0.25">
      <c r="A109">
        <v>1265441208</v>
      </c>
      <c r="B109" s="37">
        <v>0.60937088707554621</v>
      </c>
      <c r="C109" s="64">
        <v>22647</v>
      </c>
      <c r="D109" s="64">
        <v>22647</v>
      </c>
      <c r="E109" s="32">
        <v>27565</v>
      </c>
      <c r="F109" s="64">
        <v>80</v>
      </c>
      <c r="G109" s="60">
        <v>20.660000000000082</v>
      </c>
      <c r="H109" s="64">
        <v>24991</v>
      </c>
      <c r="I109" s="60">
        <v>312.38749999999999</v>
      </c>
      <c r="J109" s="110">
        <v>24.38</v>
      </c>
      <c r="K109" s="112">
        <v>1.0858000000000001</v>
      </c>
      <c r="L109" s="60">
        <v>20.660000000000082</v>
      </c>
      <c r="M109" s="60">
        <f>_xlfn.XLOOKUP(A109,'[1]FRV Output'!$F:$F,'[1]FRV Output'!$BC:$BC)</f>
        <v>13.356460262777265</v>
      </c>
      <c r="N109" s="64"/>
      <c r="O109" s="64"/>
      <c r="R109" s="32"/>
      <c r="T109" s="60"/>
      <c r="U109" s="110"/>
      <c r="V109" s="112"/>
    </row>
    <row r="110" spans="1:22" x14ac:dyDescent="0.25">
      <c r="A110">
        <v>1265556294</v>
      </c>
      <c r="B110" s="37">
        <v>0.63348321656383977</v>
      </c>
      <c r="C110" s="64">
        <v>27246</v>
      </c>
      <c r="D110" s="64">
        <v>27246</v>
      </c>
      <c r="E110" s="32">
        <v>28753</v>
      </c>
      <c r="F110" s="64">
        <v>80</v>
      </c>
      <c r="G110" s="60">
        <v>12.8599999999999</v>
      </c>
      <c r="H110" s="64">
        <v>32019.040680024285</v>
      </c>
      <c r="I110" s="60">
        <v>400.23800850030358</v>
      </c>
      <c r="J110" s="110">
        <v>24.38</v>
      </c>
      <c r="K110" s="112">
        <v>1.4829000000000001</v>
      </c>
      <c r="L110" s="60">
        <v>12.8599999999999</v>
      </c>
      <c r="M110" s="60">
        <f>_xlfn.XLOOKUP(A110,'[1]FRV Output'!$F:$F,'[1]FRV Output'!$BC:$BC)</f>
        <v>21.431670826910374</v>
      </c>
      <c r="N110" s="64"/>
      <c r="O110" s="64"/>
      <c r="R110" s="32"/>
      <c r="T110" s="60"/>
      <c r="U110" s="110"/>
      <c r="V110" s="112"/>
    </row>
    <row r="111" spans="1:22" x14ac:dyDescent="0.25">
      <c r="A111">
        <v>1265816185</v>
      </c>
      <c r="B111" s="37">
        <v>0.66329585523251944</v>
      </c>
      <c r="C111" s="64">
        <v>28800</v>
      </c>
      <c r="D111" s="64">
        <v>28800</v>
      </c>
      <c r="E111" s="32">
        <v>27959</v>
      </c>
      <c r="F111" s="64">
        <v>126</v>
      </c>
      <c r="G111" s="60">
        <v>23.680000000000064</v>
      </c>
      <c r="H111" s="64">
        <v>42254</v>
      </c>
      <c r="I111" s="60">
        <v>335.34920634920633</v>
      </c>
      <c r="J111" s="110">
        <v>24.38</v>
      </c>
      <c r="K111" s="112">
        <v>1.3075000000000001</v>
      </c>
      <c r="L111" s="60">
        <v>23.680000000000064</v>
      </c>
      <c r="M111" s="60">
        <f>_xlfn.XLOOKUP(A111,'[1]FRV Output'!$F:$F,'[1]FRV Output'!$BC:$BC)</f>
        <v>13.553235300144623</v>
      </c>
      <c r="N111" s="64"/>
      <c r="O111" s="64"/>
      <c r="R111" s="32"/>
      <c r="T111" s="60"/>
      <c r="U111" s="110"/>
      <c r="V111" s="112"/>
    </row>
    <row r="112" spans="1:22" x14ac:dyDescent="0.25">
      <c r="A112">
        <v>1275508970</v>
      </c>
      <c r="B112" s="37">
        <v>0.58659891482215143</v>
      </c>
      <c r="C112" s="64">
        <v>10034</v>
      </c>
      <c r="D112" s="64">
        <v>10034</v>
      </c>
      <c r="E112" s="32">
        <v>28043</v>
      </c>
      <c r="F112" s="64">
        <v>30</v>
      </c>
      <c r="G112" s="60">
        <v>20.549999999999955</v>
      </c>
      <c r="H112" s="64">
        <v>13878.746071893922</v>
      </c>
      <c r="I112" s="60">
        <v>462.62486906313075</v>
      </c>
      <c r="J112" s="110">
        <v>24.38</v>
      </c>
      <c r="K112" s="112">
        <v>0.98209999999999997</v>
      </c>
      <c r="L112" s="60">
        <v>20.549999999999955</v>
      </c>
      <c r="M112" s="60">
        <f>_xlfn.XLOOKUP(A112,'[1]FRV Output'!$F:$F,'[1]FRV Output'!$BC:$BC)</f>
        <v>16.315683985814022</v>
      </c>
      <c r="N112" s="64"/>
      <c r="O112" s="64"/>
      <c r="R112" s="32"/>
      <c r="T112" s="60"/>
      <c r="U112" s="110"/>
      <c r="V112" s="112"/>
    </row>
    <row r="113" spans="1:22" x14ac:dyDescent="0.25">
      <c r="A113">
        <v>1275519506</v>
      </c>
      <c r="B113" s="37">
        <v>0.62163485070974056</v>
      </c>
      <c r="C113" s="64">
        <v>30239</v>
      </c>
      <c r="D113" s="64">
        <v>30239</v>
      </c>
      <c r="E113" s="32">
        <v>28619</v>
      </c>
      <c r="F113" s="64">
        <v>100</v>
      </c>
      <c r="G113" s="60">
        <v>30.650000000000091</v>
      </c>
      <c r="H113" s="64">
        <v>37684.210526315786</v>
      </c>
      <c r="I113" s="60">
        <v>376.84210526315786</v>
      </c>
      <c r="J113" s="110">
        <v>24.38</v>
      </c>
      <c r="K113" s="112">
        <v>1.2518</v>
      </c>
      <c r="L113" s="60">
        <v>30.650000000000091</v>
      </c>
      <c r="M113" s="60">
        <f>_xlfn.XLOOKUP(A113,'[1]FRV Output'!$F:$F,'[1]FRV Output'!$BC:$BC)</f>
        <v>10.425497103425915</v>
      </c>
      <c r="N113" s="64"/>
      <c r="O113" s="64"/>
      <c r="R113" s="32"/>
      <c r="T113" s="60"/>
      <c r="U113" s="110"/>
      <c r="V113" s="112"/>
    </row>
    <row r="114" spans="1:22" x14ac:dyDescent="0.25">
      <c r="A114">
        <v>1275823155</v>
      </c>
      <c r="B114" s="37">
        <v>0.61879774673971755</v>
      </c>
      <c r="C114" s="64">
        <v>38172</v>
      </c>
      <c r="D114" s="64">
        <v>38172</v>
      </c>
      <c r="E114" s="32">
        <v>27253</v>
      </c>
      <c r="F114" s="64">
        <v>120</v>
      </c>
      <c r="G114" s="60">
        <v>7</v>
      </c>
      <c r="H114" s="64">
        <v>60812.957746478874</v>
      </c>
      <c r="I114" s="60">
        <v>506.77464788732397</v>
      </c>
      <c r="J114" s="110">
        <v>24.38</v>
      </c>
      <c r="K114" s="112">
        <v>1.363</v>
      </c>
      <c r="L114" s="60">
        <v>7</v>
      </c>
      <c r="M114" s="60">
        <f>_xlfn.XLOOKUP(A114,'[1]FRV Output'!$F:$F,'[1]FRV Output'!$BC:$BC)</f>
        <v>26.043499632628372</v>
      </c>
      <c r="N114" s="64"/>
      <c r="O114" s="64"/>
      <c r="R114" s="32"/>
      <c r="T114" s="60"/>
      <c r="U114" s="110"/>
      <c r="V114" s="112"/>
    </row>
    <row r="115" spans="1:22" x14ac:dyDescent="0.25">
      <c r="A115">
        <v>1285656272</v>
      </c>
      <c r="B115" s="37">
        <v>0.65</v>
      </c>
      <c r="C115" s="64" t="e">
        <v>#N/A</v>
      </c>
      <c r="D115" s="64" t="e">
        <v>#N/A</v>
      </c>
      <c r="E115" s="32" t="e">
        <v>#N/A</v>
      </c>
      <c r="F115" s="64" t="e">
        <v>#N/A</v>
      </c>
      <c r="G115" s="60" t="e">
        <v>#N/A</v>
      </c>
      <c r="H115" s="64" t="e">
        <v>#N/A</v>
      </c>
      <c r="I115" s="60" t="e">
        <v>#N/A</v>
      </c>
      <c r="J115" s="110">
        <v>24.38</v>
      </c>
      <c r="K115" s="112">
        <v>1.0121</v>
      </c>
      <c r="L115" s="60" t="e">
        <v>#N/A</v>
      </c>
      <c r="M115" s="60" t="e">
        <f>_xlfn.XLOOKUP(A115,'[1]FRV Output'!$F:$F,'[1]FRV Output'!$BC:$BC)</f>
        <v>#N/A</v>
      </c>
      <c r="N115" s="64"/>
      <c r="O115" s="64"/>
      <c r="R115" s="32"/>
      <c r="T115" s="60"/>
      <c r="U115" s="110"/>
      <c r="V115" s="112"/>
    </row>
    <row r="116" spans="1:22" x14ac:dyDescent="0.25">
      <c r="A116">
        <v>1285665539</v>
      </c>
      <c r="B116" s="37">
        <v>0.58738856628772396</v>
      </c>
      <c r="C116" s="64">
        <v>32687</v>
      </c>
      <c r="D116" s="64">
        <v>32687</v>
      </c>
      <c r="E116" s="32">
        <v>28334</v>
      </c>
      <c r="F116" s="64">
        <v>100</v>
      </c>
      <c r="G116" s="60">
        <v>19.589999999999918</v>
      </c>
      <c r="H116" s="64">
        <v>45636</v>
      </c>
      <c r="I116" s="60">
        <v>456.36</v>
      </c>
      <c r="J116" s="110">
        <v>24.38</v>
      </c>
      <c r="K116" s="112">
        <v>1.2255</v>
      </c>
      <c r="L116" s="60">
        <v>19.589999999999918</v>
      </c>
      <c r="M116" s="60">
        <f>_xlfn.XLOOKUP(A116,'[1]FRV Output'!$F:$F,'[1]FRV Output'!$BC:$BC)</f>
        <v>16.784124724148434</v>
      </c>
      <c r="N116" s="64"/>
      <c r="O116" s="64"/>
      <c r="R116" s="32"/>
      <c r="T116" s="60"/>
      <c r="U116" s="110"/>
      <c r="V116" s="112"/>
    </row>
    <row r="117" spans="1:22" x14ac:dyDescent="0.25">
      <c r="A117">
        <v>1285687962</v>
      </c>
      <c r="B117" s="37">
        <v>0.63807036160313446</v>
      </c>
      <c r="C117" s="64">
        <v>20920</v>
      </c>
      <c r="D117" s="64">
        <v>20920</v>
      </c>
      <c r="E117" s="32">
        <v>27292</v>
      </c>
      <c r="F117" s="64">
        <v>64</v>
      </c>
      <c r="G117" s="60">
        <v>24.150000000000091</v>
      </c>
      <c r="H117" s="64">
        <v>35147</v>
      </c>
      <c r="I117" s="60">
        <v>549.171875</v>
      </c>
      <c r="J117" s="110">
        <v>24.38</v>
      </c>
      <c r="K117" s="112">
        <v>1.2386999999999999</v>
      </c>
      <c r="L117" s="60">
        <v>24.150000000000091</v>
      </c>
      <c r="M117" s="60">
        <f>_xlfn.XLOOKUP(A117,'[1]FRV Output'!$F:$F,'[1]FRV Output'!$BC:$BC)</f>
        <v>18.114129744699401</v>
      </c>
      <c r="N117" s="64"/>
      <c r="O117" s="64"/>
      <c r="R117" s="32"/>
      <c r="T117" s="60"/>
      <c r="U117" s="110"/>
      <c r="V117" s="112"/>
    </row>
    <row r="118" spans="1:22" x14ac:dyDescent="0.25">
      <c r="A118">
        <v>1295101673</v>
      </c>
      <c r="B118" s="37">
        <v>0.55883637634314665</v>
      </c>
      <c r="C118" s="64">
        <v>26162</v>
      </c>
      <c r="D118" s="64">
        <v>26162</v>
      </c>
      <c r="E118" s="32">
        <v>28604</v>
      </c>
      <c r="F118" s="64">
        <v>118</v>
      </c>
      <c r="G118" s="60">
        <v>34.5</v>
      </c>
      <c r="H118" s="64">
        <v>37766</v>
      </c>
      <c r="I118" s="60">
        <v>320.05084745762713</v>
      </c>
      <c r="J118" s="110">
        <v>24.38</v>
      </c>
      <c r="K118" s="112">
        <v>1.0298</v>
      </c>
      <c r="L118" s="60">
        <v>52</v>
      </c>
      <c r="M118" s="60">
        <f>_xlfn.XLOOKUP(A118,'[1]FRV Output'!$F:$F,'[1]FRV Output'!$BC:$BC)</f>
        <v>8.0170333654773405</v>
      </c>
      <c r="N118" s="64"/>
      <c r="O118" s="64"/>
      <c r="R118" s="32"/>
      <c r="T118" s="60"/>
      <c r="U118" s="110"/>
      <c r="V118" s="112"/>
    </row>
    <row r="119" spans="1:22" x14ac:dyDescent="0.25">
      <c r="A119">
        <v>1295279594</v>
      </c>
      <c r="B119" s="37">
        <v>0.6971092532237495</v>
      </c>
      <c r="C119" s="64">
        <v>34197</v>
      </c>
      <c r="D119" s="64">
        <v>34197</v>
      </c>
      <c r="E119" s="32">
        <v>28021</v>
      </c>
      <c r="F119" s="64">
        <v>107</v>
      </c>
      <c r="G119" s="60">
        <v>3.0899999999999181</v>
      </c>
      <c r="H119" s="64">
        <v>53253.53564547206</v>
      </c>
      <c r="I119" s="60">
        <v>497.69659481749591</v>
      </c>
      <c r="J119" s="110">
        <v>24.38</v>
      </c>
      <c r="K119" s="112">
        <v>1.5206</v>
      </c>
      <c r="L119" s="60">
        <v>3.0899999999999181</v>
      </c>
      <c r="M119" s="60">
        <f>_xlfn.XLOOKUP(A119,'[1]FRV Output'!$F:$F,'[1]FRV Output'!$BC:$BC)</f>
        <v>26.938581079892256</v>
      </c>
      <c r="N119" s="64"/>
      <c r="O119" s="64"/>
      <c r="R119" s="32"/>
      <c r="T119" s="60"/>
      <c r="U119" s="110"/>
      <c r="V119" s="112"/>
    </row>
    <row r="120" spans="1:22" x14ac:dyDescent="0.25">
      <c r="A120">
        <v>1295391795</v>
      </c>
      <c r="B120" s="37">
        <v>0.62772310539153842</v>
      </c>
      <c r="C120" s="64">
        <v>28145</v>
      </c>
      <c r="D120" s="64">
        <v>28145</v>
      </c>
      <c r="E120" s="32">
        <v>28791</v>
      </c>
      <c r="F120" s="64">
        <v>134</v>
      </c>
      <c r="G120" s="60">
        <v>32.440000000000055</v>
      </c>
      <c r="H120" s="64">
        <v>33703</v>
      </c>
      <c r="I120" s="60">
        <v>251.51492537313433</v>
      </c>
      <c r="J120" s="110">
        <v>24.38</v>
      </c>
      <c r="K120" s="112">
        <v>1.0757000000000001</v>
      </c>
      <c r="L120" s="60">
        <v>32.440000000000055</v>
      </c>
      <c r="M120" s="60">
        <f>_xlfn.XLOOKUP(A120,'[1]FRV Output'!$F:$F,'[1]FRV Output'!$BC:$BC)</f>
        <v>8.3394552930328043</v>
      </c>
      <c r="N120" s="64"/>
      <c r="O120" s="64"/>
      <c r="R120" s="32"/>
      <c r="T120" s="60"/>
      <c r="U120" s="110"/>
      <c r="V120" s="112"/>
    </row>
    <row r="121" spans="1:22" x14ac:dyDescent="0.25">
      <c r="A121">
        <v>1295704849</v>
      </c>
      <c r="B121" s="37">
        <v>0.65244789142026172</v>
      </c>
      <c r="C121" s="64">
        <v>33065</v>
      </c>
      <c r="D121" s="64">
        <v>33065</v>
      </c>
      <c r="E121" s="32">
        <v>28645</v>
      </c>
      <c r="F121" s="64">
        <v>120</v>
      </c>
      <c r="G121" s="60">
        <v>34.5</v>
      </c>
      <c r="H121" s="64">
        <v>30509</v>
      </c>
      <c r="I121" s="60">
        <v>254.24166666666667</v>
      </c>
      <c r="J121" s="110">
        <v>24.38</v>
      </c>
      <c r="K121" s="112">
        <v>1.4079999999999999</v>
      </c>
      <c r="L121" s="60">
        <v>35.769999999999982</v>
      </c>
      <c r="M121" s="60">
        <f>_xlfn.XLOOKUP(A121,'[1]FRV Output'!$F:$F,'[1]FRV Output'!$BC:$BC)</f>
        <v>8.0170333654773369</v>
      </c>
      <c r="N121" s="64"/>
      <c r="O121" s="64"/>
      <c r="R121" s="32"/>
      <c r="T121" s="60"/>
      <c r="U121" s="110"/>
      <c r="V121" s="112"/>
    </row>
    <row r="122" spans="1:22" x14ac:dyDescent="0.25">
      <c r="A122">
        <v>1295704997</v>
      </c>
      <c r="B122" s="37">
        <v>0.64898634671079847</v>
      </c>
      <c r="C122" s="64">
        <v>41765</v>
      </c>
      <c r="D122" s="64">
        <v>41765</v>
      </c>
      <c r="E122" s="32">
        <v>27407</v>
      </c>
      <c r="F122" s="64">
        <v>134</v>
      </c>
      <c r="G122" s="60">
        <v>12.339999999999918</v>
      </c>
      <c r="H122" s="64">
        <v>65763.756470807799</v>
      </c>
      <c r="I122" s="60">
        <v>490.77430202095371</v>
      </c>
      <c r="J122" s="110">
        <v>24.38</v>
      </c>
      <c r="K122" s="112">
        <v>1.2761</v>
      </c>
      <c r="L122" s="60">
        <v>12.339999999999918</v>
      </c>
      <c r="M122" s="60">
        <f>_xlfn.XLOOKUP(A122,'[1]FRV Output'!$F:$F,'[1]FRV Output'!$BC:$BC)</f>
        <v>23.092014344630034</v>
      </c>
      <c r="N122" s="64"/>
      <c r="O122" s="64"/>
      <c r="R122" s="32"/>
      <c r="T122" s="60"/>
      <c r="U122" s="110"/>
      <c r="V122" s="112"/>
    </row>
    <row r="123" spans="1:22" x14ac:dyDescent="0.25">
      <c r="A123">
        <v>1295723377</v>
      </c>
      <c r="B123" s="37">
        <v>0.52864157119476274</v>
      </c>
      <c r="C123" s="64">
        <v>21848</v>
      </c>
      <c r="D123" s="64">
        <v>21848</v>
      </c>
      <c r="E123" s="32">
        <v>27106</v>
      </c>
      <c r="F123" s="64">
        <v>85</v>
      </c>
      <c r="G123" s="60">
        <v>9</v>
      </c>
      <c r="H123" s="64">
        <v>0</v>
      </c>
      <c r="I123" s="60">
        <v>0</v>
      </c>
      <c r="J123" s="110">
        <v>0</v>
      </c>
      <c r="K123" s="112">
        <v>1.3048999999999999</v>
      </c>
      <c r="L123" s="60">
        <v>9</v>
      </c>
      <c r="M123" s="60">
        <f>_xlfn.XLOOKUP(A123,'[1]FRV Output'!$F:$F,'[1]FRV Output'!$BC:$BC)</f>
        <v>21.748698800626808</v>
      </c>
      <c r="N123" s="64"/>
      <c r="O123" s="64"/>
      <c r="R123" s="32"/>
      <c r="T123" s="60"/>
      <c r="U123" s="110"/>
      <c r="V123" s="112"/>
    </row>
    <row r="124" spans="1:22" x14ac:dyDescent="0.25">
      <c r="A124">
        <v>1295733517</v>
      </c>
      <c r="B124" s="37">
        <v>0.6353097541165178</v>
      </c>
      <c r="C124" s="64">
        <v>32216</v>
      </c>
      <c r="D124" s="64">
        <v>32216</v>
      </c>
      <c r="E124" s="32">
        <v>28779</v>
      </c>
      <c r="F124" s="64">
        <v>94</v>
      </c>
      <c r="G124" s="60">
        <v>13.6400000000001</v>
      </c>
      <c r="H124" s="64">
        <v>36249</v>
      </c>
      <c r="I124" s="60">
        <v>385.62765957446811</v>
      </c>
      <c r="J124" s="110">
        <v>24.38</v>
      </c>
      <c r="K124" s="112">
        <v>1.2492000000000001</v>
      </c>
      <c r="L124" s="60">
        <v>13.6400000000001</v>
      </c>
      <c r="M124" s="60">
        <f>_xlfn.XLOOKUP(A124,'[1]FRV Output'!$F:$F,'[1]FRV Output'!$BC:$BC)</f>
        <v>16.161222904618786</v>
      </c>
      <c r="N124" s="64"/>
      <c r="O124" s="64"/>
      <c r="R124" s="32"/>
      <c r="T124" s="60"/>
      <c r="U124" s="110"/>
      <c r="V124" s="112"/>
    </row>
    <row r="125" spans="1:22" x14ac:dyDescent="0.25">
      <c r="A125">
        <v>1306293170</v>
      </c>
      <c r="B125" s="37">
        <v>0.60847543474590571</v>
      </c>
      <c r="C125" s="64">
        <v>40165</v>
      </c>
      <c r="D125" s="64">
        <v>40165</v>
      </c>
      <c r="E125" s="32">
        <v>27889</v>
      </c>
      <c r="F125" s="64">
        <v>128</v>
      </c>
      <c r="G125" s="60">
        <v>34.5</v>
      </c>
      <c r="H125" s="64">
        <v>0</v>
      </c>
      <c r="I125" s="60">
        <v>0</v>
      </c>
      <c r="J125" s="110">
        <v>24.38</v>
      </c>
      <c r="K125" s="112">
        <v>1.2746</v>
      </c>
      <c r="L125" s="60">
        <v>41.789999999999964</v>
      </c>
      <c r="M125" s="60">
        <f>_xlfn.XLOOKUP(A125,'[1]FRV Output'!$F:$F,'[1]FRV Output'!$BC:$BC)</f>
        <v>7.8621580699614082</v>
      </c>
      <c r="N125" s="64"/>
      <c r="O125" s="64"/>
      <c r="R125" s="32"/>
      <c r="T125" s="60"/>
      <c r="U125" s="110"/>
      <c r="V125" s="112"/>
    </row>
    <row r="126" spans="1:22" x14ac:dyDescent="0.25">
      <c r="A126">
        <v>1306372230</v>
      </c>
      <c r="B126" s="37">
        <v>0.65</v>
      </c>
      <c r="C126" s="64">
        <v>43097</v>
      </c>
      <c r="D126" s="64">
        <v>43097</v>
      </c>
      <c r="E126" s="32">
        <v>27407</v>
      </c>
      <c r="F126" s="64">
        <v>135</v>
      </c>
      <c r="G126" s="60">
        <v>14</v>
      </c>
      <c r="H126" s="64">
        <v>66888</v>
      </c>
      <c r="I126" s="60">
        <v>495.46666666666664</v>
      </c>
      <c r="J126" s="110">
        <v>7.879999999999999</v>
      </c>
      <c r="K126" s="112">
        <v>1.3776999999999999</v>
      </c>
      <c r="L126" s="60">
        <v>14</v>
      </c>
      <c r="M126" s="60">
        <f>_xlfn.XLOOKUP(A126,'[1]FRV Output'!$F:$F,'[1]FRV Output'!$BC:$BC)</f>
        <v>21.915871899877022</v>
      </c>
      <c r="N126" s="64"/>
      <c r="O126" s="64"/>
      <c r="R126" s="32"/>
      <c r="T126" s="60"/>
      <c r="U126" s="110"/>
      <c r="V126" s="112"/>
    </row>
    <row r="127" spans="1:22" x14ac:dyDescent="0.25">
      <c r="A127">
        <v>1316351034</v>
      </c>
      <c r="B127" s="37">
        <v>0.50373387644263412</v>
      </c>
      <c r="C127" s="64">
        <v>27147</v>
      </c>
      <c r="D127" s="64">
        <v>27147</v>
      </c>
      <c r="E127" s="32">
        <v>27514</v>
      </c>
      <c r="F127" s="64">
        <v>108</v>
      </c>
      <c r="G127" s="60">
        <v>7.5699999999999363</v>
      </c>
      <c r="H127" s="64">
        <v>40046</v>
      </c>
      <c r="I127" s="60">
        <v>370.7962962962963</v>
      </c>
      <c r="J127" s="110">
        <v>24.38</v>
      </c>
      <c r="K127" s="112">
        <v>1.1657</v>
      </c>
      <c r="L127" s="60">
        <v>7.5699999999999363</v>
      </c>
      <c r="M127" s="60">
        <f>_xlfn.XLOOKUP(A127,'[1]FRV Output'!$F:$F,'[1]FRV Output'!$BC:$BC)</f>
        <v>21.906947662970151</v>
      </c>
      <c r="N127" s="64"/>
      <c r="O127" s="64"/>
      <c r="R127" s="32"/>
      <c r="T127" s="60"/>
      <c r="U127" s="110"/>
      <c r="V127" s="112"/>
    </row>
    <row r="128" spans="1:22" x14ac:dyDescent="0.25">
      <c r="A128">
        <v>1316512346</v>
      </c>
      <c r="B128" s="37">
        <v>0.62581145921535419</v>
      </c>
      <c r="C128" s="64">
        <v>26760</v>
      </c>
      <c r="D128" s="64">
        <v>26760</v>
      </c>
      <c r="E128" s="32">
        <v>28052</v>
      </c>
      <c r="F128" s="64">
        <v>80</v>
      </c>
      <c r="G128" s="60">
        <v>10.470000000000027</v>
      </c>
      <c r="H128" s="64">
        <v>36368</v>
      </c>
      <c r="I128" s="60">
        <v>454.6</v>
      </c>
      <c r="J128" s="110">
        <v>24.38</v>
      </c>
      <c r="K128" s="112">
        <v>1.1740999999999999</v>
      </c>
      <c r="L128" s="60">
        <v>10.470000000000027</v>
      </c>
      <c r="M128" s="60">
        <f>_xlfn.XLOOKUP(A128,'[1]FRV Output'!$F:$F,'[1]FRV Output'!$BC:$BC)</f>
        <v>20.869970498892361</v>
      </c>
      <c r="N128" s="64"/>
      <c r="O128" s="64"/>
      <c r="R128" s="32"/>
      <c r="T128" s="60"/>
      <c r="U128" s="110"/>
      <c r="V128" s="112"/>
    </row>
    <row r="129" spans="1:22" x14ac:dyDescent="0.25">
      <c r="A129">
        <v>1316921190</v>
      </c>
      <c r="B129" s="37">
        <v>0.59329857252756635</v>
      </c>
      <c r="C129" s="64">
        <v>45026</v>
      </c>
      <c r="D129" s="64">
        <v>45026</v>
      </c>
      <c r="E129" s="32">
        <v>28352</v>
      </c>
      <c r="F129" s="64">
        <v>149</v>
      </c>
      <c r="G129" s="60">
        <v>9.3299999999999272</v>
      </c>
      <c r="H129" s="64">
        <v>80005</v>
      </c>
      <c r="I129" s="60">
        <v>536.94630872483219</v>
      </c>
      <c r="J129" s="110">
        <v>7.879999999999999</v>
      </c>
      <c r="K129" s="112">
        <v>1.4402999999999999</v>
      </c>
      <c r="L129" s="60">
        <v>9.3299999999999272</v>
      </c>
      <c r="M129" s="60">
        <f>_xlfn.XLOOKUP(A129,'[1]FRV Output'!$F:$F,'[1]FRV Output'!$BC:$BC)</f>
        <v>26.633000288088986</v>
      </c>
      <c r="N129" s="64"/>
      <c r="O129" s="64"/>
      <c r="R129" s="32"/>
      <c r="T129" s="60"/>
      <c r="U129" s="110"/>
      <c r="V129" s="112"/>
    </row>
    <row r="130" spans="1:22" x14ac:dyDescent="0.25">
      <c r="A130">
        <v>1326074048</v>
      </c>
      <c r="B130" s="37">
        <v>0.61675591882750835</v>
      </c>
      <c r="C130" s="64">
        <v>43781</v>
      </c>
      <c r="D130" s="64">
        <v>43781</v>
      </c>
      <c r="E130" s="32">
        <v>27406</v>
      </c>
      <c r="F130" s="64">
        <v>210</v>
      </c>
      <c r="G130" s="60">
        <v>19.039999999999964</v>
      </c>
      <c r="H130" s="64">
        <v>64956.805985689876</v>
      </c>
      <c r="I130" s="60">
        <v>309.31812374138036</v>
      </c>
      <c r="J130" s="110">
        <v>7.879999999999999</v>
      </c>
      <c r="K130" s="112">
        <v>1.2154</v>
      </c>
      <c r="L130" s="60">
        <v>19.039999999999964</v>
      </c>
      <c r="M130" s="60">
        <f>_xlfn.XLOOKUP(A130,'[1]FRV Output'!$F:$F,'[1]FRV Output'!$BC:$BC)</f>
        <v>15.952790597878474</v>
      </c>
      <c r="N130" s="64"/>
      <c r="O130" s="64"/>
      <c r="R130" s="32"/>
      <c r="T130" s="60"/>
      <c r="U130" s="110"/>
      <c r="V130" s="112"/>
    </row>
    <row r="131" spans="1:22" x14ac:dyDescent="0.25">
      <c r="A131">
        <v>1326089616</v>
      </c>
      <c r="B131" s="37">
        <v>0.72347266881028938</v>
      </c>
      <c r="C131" s="64">
        <v>28121</v>
      </c>
      <c r="D131" s="64">
        <v>28121</v>
      </c>
      <c r="E131" s="32">
        <v>27215</v>
      </c>
      <c r="F131" s="64">
        <v>90</v>
      </c>
      <c r="G131" s="60">
        <v>10.450000000000045</v>
      </c>
      <c r="H131" s="64">
        <v>30653.852459016391</v>
      </c>
      <c r="I131" s="60">
        <v>340.59836065573768</v>
      </c>
      <c r="J131" s="110">
        <v>24.38</v>
      </c>
      <c r="K131" s="112">
        <v>1.1060000000000001</v>
      </c>
      <c r="L131" s="60">
        <v>10.450000000000045</v>
      </c>
      <c r="M131" s="60">
        <f>_xlfn.XLOOKUP(A131,'[1]FRV Output'!$F:$F,'[1]FRV Output'!$BC:$BC)</f>
        <v>19.230214359019943</v>
      </c>
      <c r="N131" s="64"/>
      <c r="O131" s="64"/>
      <c r="R131" s="32"/>
      <c r="T131" s="60"/>
      <c r="U131" s="110"/>
      <c r="V131" s="112"/>
    </row>
    <row r="132" spans="1:22" x14ac:dyDescent="0.25">
      <c r="A132">
        <v>1326143504</v>
      </c>
      <c r="B132" s="37">
        <v>0.62720763723150352</v>
      </c>
      <c r="C132" s="64">
        <v>30371</v>
      </c>
      <c r="D132" s="64">
        <v>30371</v>
      </c>
      <c r="E132" s="32">
        <v>27401</v>
      </c>
      <c r="F132" s="64">
        <v>107</v>
      </c>
      <c r="G132" s="60">
        <v>29.910000000000082</v>
      </c>
      <c r="H132" s="64">
        <v>40869.231125857914</v>
      </c>
      <c r="I132" s="60">
        <v>381.95543108278423</v>
      </c>
      <c r="J132" s="110">
        <v>24.38</v>
      </c>
      <c r="K132" s="112">
        <v>1.1794</v>
      </c>
      <c r="L132" s="60">
        <v>29.910000000000082</v>
      </c>
      <c r="M132" s="60">
        <f>_xlfn.XLOOKUP(A132,'[1]FRV Output'!$F:$F,'[1]FRV Output'!$BC:$BC)</f>
        <v>11.112546000590486</v>
      </c>
      <c r="N132" s="64"/>
      <c r="O132" s="64"/>
      <c r="R132" s="32"/>
      <c r="T132" s="60"/>
      <c r="U132" s="110"/>
      <c r="V132" s="112"/>
    </row>
    <row r="133" spans="1:22" x14ac:dyDescent="0.25">
      <c r="A133">
        <v>1326519844</v>
      </c>
      <c r="B133" s="37">
        <v>0.65</v>
      </c>
      <c r="C133" s="64">
        <v>31733</v>
      </c>
      <c r="D133" s="64">
        <v>31733</v>
      </c>
      <c r="E133" s="32">
        <v>28401</v>
      </c>
      <c r="F133" s="64">
        <v>110</v>
      </c>
      <c r="G133" s="60">
        <v>15.069999999999936</v>
      </c>
      <c r="H133" s="64">
        <v>60860</v>
      </c>
      <c r="I133" s="60">
        <v>553.27272727272725</v>
      </c>
      <c r="J133" s="110">
        <v>24.38</v>
      </c>
      <c r="K133" s="112">
        <v>1.3085</v>
      </c>
      <c r="L133" s="60">
        <v>15.069999999999936</v>
      </c>
      <c r="M133" s="60">
        <f>_xlfn.XLOOKUP(A133,'[1]FRV Output'!$F:$F,'[1]FRV Output'!$BC:$BC)</f>
        <v>23.515146279826457</v>
      </c>
      <c r="N133" s="64"/>
      <c r="O133" s="64"/>
      <c r="R133" s="32"/>
      <c r="T133" s="60"/>
      <c r="U133" s="110"/>
      <c r="V133" s="112"/>
    </row>
    <row r="134" spans="1:22" x14ac:dyDescent="0.25">
      <c r="A134">
        <v>1336118298</v>
      </c>
      <c r="B134" s="37">
        <v>0.64195675765923699</v>
      </c>
      <c r="C134" s="64">
        <v>32795</v>
      </c>
      <c r="D134" s="64">
        <v>32795</v>
      </c>
      <c r="E134" s="32">
        <v>27030</v>
      </c>
      <c r="F134" s="64">
        <v>120</v>
      </c>
      <c r="G134" s="60">
        <v>26.839999999999918</v>
      </c>
      <c r="H134" s="64">
        <v>39357</v>
      </c>
      <c r="I134" s="60">
        <v>327.97500000000002</v>
      </c>
      <c r="J134" s="110">
        <v>24.38</v>
      </c>
      <c r="K134" s="112">
        <v>1.3911</v>
      </c>
      <c r="L134" s="60">
        <v>26.839999999999918</v>
      </c>
      <c r="M134" s="60">
        <f>_xlfn.XLOOKUP(A134,'[1]FRV Output'!$F:$F,'[1]FRV Output'!$BC:$BC)</f>
        <v>11.157871464561275</v>
      </c>
      <c r="N134" s="64"/>
      <c r="O134" s="64"/>
      <c r="R134" s="32"/>
      <c r="T134" s="60"/>
      <c r="U134" s="110"/>
      <c r="V134" s="112"/>
    </row>
    <row r="135" spans="1:22" x14ac:dyDescent="0.25">
      <c r="A135">
        <v>1336142470</v>
      </c>
      <c r="B135" s="37">
        <v>0.60081079369101154</v>
      </c>
      <c r="C135" s="64">
        <v>39120</v>
      </c>
      <c r="D135" s="64">
        <v>39120</v>
      </c>
      <c r="E135" s="32">
        <v>27705</v>
      </c>
      <c r="F135" s="64">
        <v>120</v>
      </c>
      <c r="G135" s="60">
        <v>22.960000000000036</v>
      </c>
      <c r="H135" s="64">
        <v>67647.803936588723</v>
      </c>
      <c r="I135" s="60">
        <v>563.73169947157271</v>
      </c>
      <c r="J135" s="110">
        <v>24.38</v>
      </c>
      <c r="K135" s="112">
        <v>0.94550000000000001</v>
      </c>
      <c r="L135" s="60">
        <v>22.960000000000036</v>
      </c>
      <c r="M135" s="60">
        <f>_xlfn.XLOOKUP(A135,'[1]FRV Output'!$F:$F,'[1]FRV Output'!$BC:$BC)</f>
        <v>19.483496780098463</v>
      </c>
      <c r="N135" s="64"/>
      <c r="O135" s="64"/>
      <c r="R135" s="32"/>
      <c r="T135" s="60"/>
      <c r="U135" s="110"/>
      <c r="V135" s="112"/>
    </row>
    <row r="136" spans="1:22" x14ac:dyDescent="0.25">
      <c r="A136">
        <v>1336193754</v>
      </c>
      <c r="B136" s="37">
        <v>0.67215264572814903</v>
      </c>
      <c r="C136" s="64">
        <v>46813</v>
      </c>
      <c r="D136" s="64">
        <v>46813</v>
      </c>
      <c r="E136" s="32">
        <v>28105</v>
      </c>
      <c r="F136" s="64">
        <v>169</v>
      </c>
      <c r="G136" s="60">
        <v>8.2799999999999727</v>
      </c>
      <c r="H136" s="64">
        <v>98608.842767295588</v>
      </c>
      <c r="I136" s="60">
        <v>583.48427672955972</v>
      </c>
      <c r="J136" s="110">
        <v>7.879999999999999</v>
      </c>
      <c r="K136" s="112">
        <v>1.2665</v>
      </c>
      <c r="L136" s="60">
        <v>8.2799999999999727</v>
      </c>
      <c r="M136" s="60">
        <f>_xlfn.XLOOKUP(A136,'[1]FRV Output'!$F:$F,'[1]FRV Output'!$BC:$BC)</f>
        <v>30.261445686498806</v>
      </c>
      <c r="N136" s="64"/>
      <c r="O136" s="64"/>
      <c r="R136" s="32"/>
      <c r="T136" s="60"/>
      <c r="U136" s="110"/>
      <c r="V136" s="112"/>
    </row>
    <row r="137" spans="1:22" x14ac:dyDescent="0.25">
      <c r="A137">
        <v>1336196526</v>
      </c>
      <c r="B137" s="37">
        <v>0.60695915279878965</v>
      </c>
      <c r="C137" s="64">
        <v>19468</v>
      </c>
      <c r="D137" s="64">
        <v>19468</v>
      </c>
      <c r="E137" s="32">
        <v>28092</v>
      </c>
      <c r="F137" s="64">
        <v>63</v>
      </c>
      <c r="G137" s="60">
        <v>23.789999999999964</v>
      </c>
      <c r="H137" s="64">
        <v>25530</v>
      </c>
      <c r="I137" s="60">
        <v>405.23809523809524</v>
      </c>
      <c r="J137" s="110">
        <v>24.38</v>
      </c>
      <c r="K137" s="112">
        <v>1.1278999999999999</v>
      </c>
      <c r="L137" s="60">
        <v>23.789999999999964</v>
      </c>
      <c r="M137" s="60">
        <f>_xlfn.XLOOKUP(A137,'[1]FRV Output'!$F:$F,'[1]FRV Output'!$BC:$BC)</f>
        <v>14.336891497726933</v>
      </c>
      <c r="N137" s="64"/>
      <c r="O137" s="64"/>
      <c r="R137" s="32"/>
      <c r="T137" s="60"/>
      <c r="U137" s="110"/>
      <c r="V137" s="112"/>
    </row>
    <row r="138" spans="1:22" x14ac:dyDescent="0.25">
      <c r="A138">
        <v>1336565779</v>
      </c>
      <c r="B138" s="37">
        <v>0.6326396314880316</v>
      </c>
      <c r="C138" s="64">
        <v>37218</v>
      </c>
      <c r="D138" s="64">
        <v>37218</v>
      </c>
      <c r="E138" s="32">
        <v>28112</v>
      </c>
      <c r="F138" s="64">
        <v>147</v>
      </c>
      <c r="G138" s="60">
        <v>21.450000000000045</v>
      </c>
      <c r="H138" s="64">
        <v>53160.000000000007</v>
      </c>
      <c r="I138" s="60">
        <v>361.63265306122452</v>
      </c>
      <c r="J138" s="110">
        <v>24.38</v>
      </c>
      <c r="K138" s="112">
        <v>1.1113</v>
      </c>
      <c r="L138" s="60">
        <v>21.450000000000045</v>
      </c>
      <c r="M138" s="60">
        <f>_xlfn.XLOOKUP(A138,'[1]FRV Output'!$F:$F,'[1]FRV Output'!$BC:$BC)</f>
        <v>13.929697693466721</v>
      </c>
      <c r="N138" s="64"/>
      <c r="O138" s="64"/>
      <c r="R138" s="32"/>
      <c r="T138" s="60"/>
      <c r="U138" s="110"/>
      <c r="V138" s="112"/>
    </row>
    <row r="139" spans="1:22" x14ac:dyDescent="0.25">
      <c r="A139">
        <v>1336602358</v>
      </c>
      <c r="B139" s="37">
        <v>0.66980153516354324</v>
      </c>
      <c r="C139" s="64">
        <v>29086</v>
      </c>
      <c r="D139" s="64">
        <v>29086</v>
      </c>
      <c r="E139" s="32">
        <v>28207</v>
      </c>
      <c r="F139" s="64">
        <v>133</v>
      </c>
      <c r="G139" s="60">
        <v>10.069999999999936</v>
      </c>
      <c r="H139" s="64">
        <v>45018</v>
      </c>
      <c r="I139" s="60">
        <v>338.48120300751879</v>
      </c>
      <c r="J139" s="110">
        <v>24.38</v>
      </c>
      <c r="K139" s="112">
        <v>1.0822000000000001</v>
      </c>
      <c r="L139" s="60">
        <v>10.069999999999936</v>
      </c>
      <c r="M139" s="60">
        <f>_xlfn.XLOOKUP(A139,'[1]FRV Output'!$F:$F,'[1]FRV Output'!$BC:$BC)</f>
        <v>18.581689382835062</v>
      </c>
      <c r="N139" s="64"/>
      <c r="O139" s="64"/>
      <c r="R139" s="32"/>
      <c r="T139" s="60"/>
      <c r="U139" s="110"/>
      <c r="V139" s="112"/>
    </row>
    <row r="140" spans="1:22" x14ac:dyDescent="0.25">
      <c r="A140">
        <v>1336612530</v>
      </c>
      <c r="B140" s="37">
        <v>0.58847549909255903</v>
      </c>
      <c r="C140" s="64">
        <v>24301</v>
      </c>
      <c r="D140" s="64">
        <v>24301</v>
      </c>
      <c r="E140" s="32">
        <v>27278</v>
      </c>
      <c r="F140" s="64">
        <v>80</v>
      </c>
      <c r="G140" s="60">
        <v>10.200000000000045</v>
      </c>
      <c r="H140" s="64">
        <v>46711.386554621851</v>
      </c>
      <c r="I140" s="60">
        <v>583.89233193277312</v>
      </c>
      <c r="J140" s="110">
        <v>24.38</v>
      </c>
      <c r="K140" s="112">
        <v>1.3531</v>
      </c>
      <c r="L140" s="60">
        <v>10.200000000000045</v>
      </c>
      <c r="M140" s="60">
        <f>_xlfn.XLOOKUP(A140,'[1]FRV Output'!$F:$F,'[1]FRV Output'!$BC:$BC)</f>
        <v>28.482639897676556</v>
      </c>
      <c r="N140" s="64"/>
      <c r="O140" s="64"/>
      <c r="R140" s="32"/>
      <c r="T140" s="60"/>
      <c r="U140" s="110"/>
      <c r="V140" s="112"/>
    </row>
    <row r="141" spans="1:22" x14ac:dyDescent="0.25">
      <c r="A141">
        <v>1346226040</v>
      </c>
      <c r="B141" s="37">
        <v>0.6517898294668919</v>
      </c>
      <c r="C141" s="64">
        <v>30351</v>
      </c>
      <c r="D141" s="64">
        <v>30351</v>
      </c>
      <c r="E141" s="32">
        <v>28459</v>
      </c>
      <c r="F141" s="64">
        <v>100</v>
      </c>
      <c r="G141" s="60">
        <v>28.210000000000036</v>
      </c>
      <c r="H141" s="64">
        <v>42059.752066115703</v>
      </c>
      <c r="I141" s="60">
        <v>420.59752066115703</v>
      </c>
      <c r="J141" s="110">
        <v>24.38</v>
      </c>
      <c r="K141" s="112">
        <v>1.1827000000000001</v>
      </c>
      <c r="L141" s="60">
        <v>28.210000000000036</v>
      </c>
      <c r="M141" s="60">
        <f>_xlfn.XLOOKUP(A141,'[1]FRV Output'!$F:$F,'[1]FRV Output'!$BC:$BC)</f>
        <v>12.321993124822535</v>
      </c>
      <c r="N141" s="64"/>
      <c r="O141" s="64"/>
      <c r="R141" s="32"/>
      <c r="T141" s="60"/>
      <c r="U141" s="110"/>
      <c r="V141" s="112"/>
    </row>
    <row r="142" spans="1:22" x14ac:dyDescent="0.25">
      <c r="A142">
        <v>1346241627</v>
      </c>
      <c r="B142" s="37">
        <v>0.73720056364490372</v>
      </c>
      <c r="C142" s="64">
        <v>18876</v>
      </c>
      <c r="D142" s="64">
        <v>18876</v>
      </c>
      <c r="E142" s="32">
        <v>28352</v>
      </c>
      <c r="F142" s="64">
        <v>58</v>
      </c>
      <c r="G142" s="60">
        <v>6</v>
      </c>
      <c r="H142" s="64">
        <v>0</v>
      </c>
      <c r="I142" s="60">
        <v>0</v>
      </c>
      <c r="J142" s="110">
        <v>0</v>
      </c>
      <c r="K142" s="112">
        <v>1.1695</v>
      </c>
      <c r="L142" s="60">
        <v>6</v>
      </c>
      <c r="M142" s="60">
        <f>_xlfn.XLOOKUP(A142,'[1]FRV Output'!$F:$F,'[1]FRV Output'!$BC:$BC)</f>
        <v>22.068693931778448</v>
      </c>
      <c r="N142" s="64"/>
      <c r="O142" s="64"/>
      <c r="R142" s="32"/>
      <c r="T142" s="60"/>
      <c r="U142" s="110"/>
      <c r="V142" s="112"/>
    </row>
    <row r="143" spans="1:22" x14ac:dyDescent="0.25">
      <c r="A143">
        <v>1346806015</v>
      </c>
      <c r="B143" s="37">
        <v>0.58320387462304668</v>
      </c>
      <c r="C143" s="64">
        <v>19782</v>
      </c>
      <c r="D143" s="64">
        <v>19782</v>
      </c>
      <c r="E143" s="32">
        <v>27357</v>
      </c>
      <c r="F143" s="64">
        <v>60</v>
      </c>
      <c r="G143" s="60">
        <v>11.549999999999955</v>
      </c>
      <c r="H143" s="64">
        <v>36992.657505653158</v>
      </c>
      <c r="I143" s="60">
        <v>616.54429176088593</v>
      </c>
      <c r="J143" s="110">
        <v>24.38</v>
      </c>
      <c r="K143" s="112">
        <v>1.2635000000000001</v>
      </c>
      <c r="L143" s="60">
        <v>11.549999999999955</v>
      </c>
      <c r="M143" s="60">
        <f>_xlfn.XLOOKUP(A143,'[1]FRV Output'!$F:$F,'[1]FRV Output'!$BC:$BC)</f>
        <v>27.486131789180941</v>
      </c>
      <c r="N143" s="64"/>
      <c r="O143" s="64"/>
      <c r="R143" s="32"/>
      <c r="T143" s="60"/>
      <c r="U143" s="110"/>
      <c r="V143" s="112"/>
    </row>
    <row r="144" spans="1:22" x14ac:dyDescent="0.25">
      <c r="A144">
        <v>1346851052</v>
      </c>
      <c r="B144" s="37">
        <v>0.64148207813129277</v>
      </c>
      <c r="C144" s="64">
        <v>6824</v>
      </c>
      <c r="D144" s="64">
        <v>27147.652173913044</v>
      </c>
      <c r="E144" s="32">
        <v>28334</v>
      </c>
      <c r="F144" s="64">
        <v>100</v>
      </c>
      <c r="G144" s="60">
        <v>25.6400000000001</v>
      </c>
      <c r="H144" s="64">
        <v>37670.231480628012</v>
      </c>
      <c r="I144" s="60">
        <v>376.70231480628013</v>
      </c>
      <c r="J144" s="110">
        <v>24.38</v>
      </c>
      <c r="K144" s="112">
        <v>1.1946000000000001</v>
      </c>
      <c r="L144" s="60">
        <v>25.6400000000001</v>
      </c>
      <c r="M144" s="60">
        <f>_xlfn.XLOOKUP(A144,'[1]FRV Output'!$F:$F,'[1]FRV Output'!$BC:$BC)</f>
        <v>12.824993721939963</v>
      </c>
      <c r="N144" s="64"/>
      <c r="O144" s="64"/>
      <c r="R144" s="32"/>
      <c r="T144" s="60"/>
      <c r="U144" s="110"/>
      <c r="V144" s="112"/>
    </row>
    <row r="145" spans="1:22" x14ac:dyDescent="0.25">
      <c r="A145">
        <v>1356346191</v>
      </c>
      <c r="B145" s="37">
        <v>0.71884740597076957</v>
      </c>
      <c r="C145" s="64">
        <v>56513</v>
      </c>
      <c r="D145" s="64">
        <v>56513</v>
      </c>
      <c r="E145" s="32">
        <v>28411</v>
      </c>
      <c r="F145" s="64">
        <v>179</v>
      </c>
      <c r="G145" s="60">
        <v>1</v>
      </c>
      <c r="H145" s="64">
        <v>0</v>
      </c>
      <c r="I145" s="60">
        <v>0</v>
      </c>
      <c r="J145" s="110">
        <v>7.879999999999999</v>
      </c>
      <c r="K145" s="112">
        <v>0.85319999999999996</v>
      </c>
      <c r="L145" s="60">
        <v>1</v>
      </c>
      <c r="M145" s="60">
        <f>_xlfn.XLOOKUP(A145,'[1]FRV Output'!$F:$F,'[1]FRV Output'!$BC:$BC)</f>
        <v>23.345632818323708</v>
      </c>
      <c r="N145" s="64"/>
      <c r="O145" s="64"/>
      <c r="R145" s="32"/>
      <c r="T145" s="60"/>
      <c r="U145" s="110"/>
      <c r="V145" s="112"/>
    </row>
    <row r="146" spans="1:22" x14ac:dyDescent="0.25">
      <c r="A146">
        <v>1356372650</v>
      </c>
      <c r="B146" s="37">
        <v>0.56010953096016258</v>
      </c>
      <c r="C146" s="64">
        <v>25977</v>
      </c>
      <c r="D146" s="64">
        <v>25977</v>
      </c>
      <c r="E146" s="32">
        <v>28513</v>
      </c>
      <c r="F146" s="64">
        <v>82</v>
      </c>
      <c r="G146" s="60">
        <v>16.809999999999945</v>
      </c>
      <c r="H146" s="64">
        <v>38291</v>
      </c>
      <c r="I146" s="60">
        <v>466.96341463414632</v>
      </c>
      <c r="J146" s="110">
        <v>24.38</v>
      </c>
      <c r="K146" s="112">
        <v>1.2817000000000001</v>
      </c>
      <c r="L146" s="60">
        <v>16.809999999999945</v>
      </c>
      <c r="M146" s="60">
        <f>_xlfn.XLOOKUP(A146,'[1]FRV Output'!$F:$F,'[1]FRV Output'!$BC:$BC)</f>
        <v>18.342992572671722</v>
      </c>
      <c r="N146" s="64"/>
      <c r="O146" s="64"/>
      <c r="R146" s="32"/>
      <c r="T146" s="60"/>
      <c r="U146" s="110"/>
      <c r="V146" s="112"/>
    </row>
    <row r="147" spans="1:22" x14ac:dyDescent="0.25">
      <c r="A147">
        <v>1356387153</v>
      </c>
      <c r="B147" s="37">
        <v>0.63345081704581852</v>
      </c>
      <c r="C147" s="64">
        <v>34982</v>
      </c>
      <c r="D147" s="64">
        <v>34982</v>
      </c>
      <c r="E147" s="32">
        <v>27604</v>
      </c>
      <c r="F147" s="64">
        <v>180</v>
      </c>
      <c r="G147" s="60">
        <v>24.490000000000009</v>
      </c>
      <c r="H147" s="64">
        <v>62140.645161290326</v>
      </c>
      <c r="I147" s="60">
        <v>345.22580645161293</v>
      </c>
      <c r="J147" s="110">
        <v>24.38</v>
      </c>
      <c r="K147" s="112">
        <v>1.2375</v>
      </c>
      <c r="L147" s="60">
        <v>24.490000000000009</v>
      </c>
      <c r="M147" s="60">
        <f>_xlfn.XLOOKUP(A147,'[1]FRV Output'!$F:$F,'[1]FRV Output'!$BC:$BC)</f>
        <v>13.088264689006747</v>
      </c>
      <c r="N147" s="64"/>
      <c r="O147" s="64"/>
      <c r="R147" s="32"/>
      <c r="T147" s="60"/>
      <c r="U147" s="110"/>
      <c r="V147" s="112"/>
    </row>
    <row r="148" spans="1:22" x14ac:dyDescent="0.25">
      <c r="A148">
        <v>1356476311</v>
      </c>
      <c r="B148" s="37">
        <v>0.63715652979314596</v>
      </c>
      <c r="C148" s="64">
        <v>20701</v>
      </c>
      <c r="D148" s="64">
        <v>20701</v>
      </c>
      <c r="E148" s="32">
        <v>28782</v>
      </c>
      <c r="F148" s="64">
        <v>70</v>
      </c>
      <c r="G148" s="60">
        <v>1</v>
      </c>
      <c r="H148" s="64">
        <v>30189.811260396673</v>
      </c>
      <c r="I148" s="60">
        <v>431.28301800566675</v>
      </c>
      <c r="J148" s="110">
        <v>0</v>
      </c>
      <c r="K148" s="112">
        <v>1.0876999999999999</v>
      </c>
      <c r="L148" s="60">
        <v>1</v>
      </c>
      <c r="M148" s="60">
        <f>_xlfn.XLOOKUP(A148,'[1]FRV Output'!$F:$F,'[1]FRV Output'!$BC:$BC)</f>
        <v>24.663470148360791</v>
      </c>
      <c r="N148" s="64"/>
      <c r="O148" s="64"/>
      <c r="R148" s="32"/>
      <c r="T148" s="60"/>
      <c r="U148" s="110"/>
      <c r="V148" s="112"/>
    </row>
    <row r="149" spans="1:22" x14ac:dyDescent="0.25">
      <c r="A149">
        <v>1366487464</v>
      </c>
      <c r="B149" s="37">
        <v>0.6535192111526692</v>
      </c>
      <c r="C149" s="64">
        <v>21728</v>
      </c>
      <c r="D149" s="64">
        <v>21728</v>
      </c>
      <c r="E149" s="32">
        <v>28771</v>
      </c>
      <c r="F149" s="64">
        <v>80</v>
      </c>
      <c r="G149" s="60">
        <v>27.170000000000073</v>
      </c>
      <c r="H149" s="64">
        <v>27885.988148376171</v>
      </c>
      <c r="I149" s="60">
        <v>348.57485185470216</v>
      </c>
      <c r="J149" s="110">
        <v>24.38</v>
      </c>
      <c r="K149" s="112">
        <v>1.2477</v>
      </c>
      <c r="L149" s="60">
        <v>27.170000000000073</v>
      </c>
      <c r="M149" s="60">
        <f>_xlfn.XLOOKUP(A149,'[1]FRV Output'!$F:$F,'[1]FRV Output'!$BC:$BC)</f>
        <v>10.970344697926704</v>
      </c>
      <c r="N149" s="64"/>
      <c r="O149" s="64"/>
      <c r="R149" s="32"/>
      <c r="T149" s="60"/>
      <c r="U149" s="110"/>
      <c r="V149" s="112"/>
    </row>
    <row r="150" spans="1:22" x14ac:dyDescent="0.25">
      <c r="A150">
        <v>1366529406</v>
      </c>
      <c r="B150" s="37">
        <v>0.62899502385471706</v>
      </c>
      <c r="C150" s="64">
        <v>37546</v>
      </c>
      <c r="D150" s="64">
        <v>37546</v>
      </c>
      <c r="E150" s="32">
        <v>27608</v>
      </c>
      <c r="F150" s="64">
        <v>71</v>
      </c>
      <c r="G150" s="60">
        <v>31.779999999999973</v>
      </c>
      <c r="H150" s="64">
        <v>49014.517985611506</v>
      </c>
      <c r="I150" s="60">
        <v>690.34532374100718</v>
      </c>
      <c r="J150" s="110">
        <v>0</v>
      </c>
      <c r="K150" s="112">
        <v>1.1792108485224528</v>
      </c>
      <c r="L150" s="60">
        <v>31.779999999999973</v>
      </c>
      <c r="M150" s="60">
        <f>_xlfn.XLOOKUP(A150,'[1]FRV Output'!$F:$F,'[1]FRV Output'!$BC:$BC)</f>
        <v>10.648160521400648</v>
      </c>
      <c r="N150" s="64"/>
      <c r="O150" s="64"/>
      <c r="R150" s="32"/>
      <c r="T150" s="60"/>
      <c r="U150" s="110"/>
      <c r="V150" s="112"/>
    </row>
    <row r="151" spans="1:22" x14ac:dyDescent="0.25">
      <c r="A151">
        <v>1366552739</v>
      </c>
      <c r="B151" s="37">
        <v>0.65</v>
      </c>
      <c r="C151" s="64">
        <v>35609</v>
      </c>
      <c r="D151" s="64">
        <v>35609</v>
      </c>
      <c r="E151" s="32">
        <v>27282</v>
      </c>
      <c r="F151" s="64">
        <v>120</v>
      </c>
      <c r="G151" s="60">
        <v>20.6400000000001</v>
      </c>
      <c r="H151" s="64">
        <v>43375</v>
      </c>
      <c r="I151" s="60">
        <v>361.45833333333331</v>
      </c>
      <c r="J151" s="110">
        <v>24.38</v>
      </c>
      <c r="K151" s="112">
        <v>1.2453000000000001</v>
      </c>
      <c r="L151" s="60">
        <v>20.6400000000001</v>
      </c>
      <c r="M151" s="60">
        <f>_xlfn.XLOOKUP(A151,'[1]FRV Output'!$F:$F,'[1]FRV Output'!$BC:$BC)</f>
        <v>14.398233287126347</v>
      </c>
      <c r="N151" s="64"/>
      <c r="O151" s="64"/>
      <c r="R151" s="32"/>
      <c r="T151" s="60"/>
      <c r="U151" s="110"/>
      <c r="V151" s="112"/>
    </row>
    <row r="152" spans="1:22" x14ac:dyDescent="0.25">
      <c r="A152">
        <v>1366577355</v>
      </c>
      <c r="B152" s="37">
        <v>0.70072232706448878</v>
      </c>
      <c r="C152" s="64">
        <v>52756</v>
      </c>
      <c r="D152" s="64">
        <v>52756</v>
      </c>
      <c r="E152" s="32">
        <v>28211</v>
      </c>
      <c r="F152" s="64">
        <v>180</v>
      </c>
      <c r="G152" s="60">
        <v>16.579999999999927</v>
      </c>
      <c r="H152" s="64">
        <v>53460</v>
      </c>
      <c r="I152" s="60">
        <v>297</v>
      </c>
      <c r="J152" s="110">
        <v>0</v>
      </c>
      <c r="K152" s="112">
        <v>1.0629999999999999</v>
      </c>
      <c r="L152" s="60">
        <v>16.579999999999927</v>
      </c>
      <c r="M152" s="60">
        <f>_xlfn.XLOOKUP(A152,'[1]FRV Output'!$F:$F,'[1]FRV Output'!$BC:$BC)</f>
        <v>17.270908808100266</v>
      </c>
      <c r="N152" s="64"/>
      <c r="O152" s="64"/>
      <c r="R152" s="32"/>
      <c r="T152" s="60"/>
      <c r="U152" s="110"/>
      <c r="V152" s="112"/>
    </row>
    <row r="153" spans="1:22" x14ac:dyDescent="0.25">
      <c r="A153">
        <v>1376542878</v>
      </c>
      <c r="B153" s="37">
        <v>0.80819125277983705</v>
      </c>
      <c r="C153" s="64">
        <v>39881</v>
      </c>
      <c r="D153" s="64">
        <v>39881</v>
      </c>
      <c r="E153" s="32">
        <v>27607</v>
      </c>
      <c r="F153" s="64">
        <v>120</v>
      </c>
      <c r="G153" s="60">
        <v>9.5399999999999636</v>
      </c>
      <c r="H153" s="64">
        <v>0</v>
      </c>
      <c r="I153" s="60">
        <v>0</v>
      </c>
      <c r="J153" s="110">
        <v>24.38</v>
      </c>
      <c r="K153" s="112">
        <v>0.94159999999999999</v>
      </c>
      <c r="L153" s="60">
        <v>9.5399999999999636</v>
      </c>
      <c r="M153" s="60">
        <f>_xlfn.XLOOKUP(A153,'[1]FRV Output'!$F:$F,'[1]FRV Output'!$BC:$BC)</f>
        <v>19.627057150923992</v>
      </c>
      <c r="N153" s="64"/>
      <c r="O153" s="64"/>
      <c r="R153" s="32"/>
      <c r="T153" s="60"/>
      <c r="U153" s="110"/>
      <c r="V153" s="112"/>
    </row>
    <row r="154" spans="1:22" x14ac:dyDescent="0.25">
      <c r="A154">
        <v>1376570275</v>
      </c>
      <c r="B154" s="37">
        <v>0.61449150720275203</v>
      </c>
      <c r="C154" s="64">
        <v>47602</v>
      </c>
      <c r="D154" s="64">
        <v>47602</v>
      </c>
      <c r="E154" s="32">
        <v>27549</v>
      </c>
      <c r="F154" s="64">
        <v>166</v>
      </c>
      <c r="G154" s="60">
        <v>24.880000000000109</v>
      </c>
      <c r="H154" s="64">
        <v>51797.04055390702</v>
      </c>
      <c r="I154" s="60">
        <v>312.03036478257241</v>
      </c>
      <c r="J154" s="110">
        <v>7.879999999999999</v>
      </c>
      <c r="K154" s="112">
        <v>1.2110000000000001</v>
      </c>
      <c r="L154" s="60">
        <v>24.880000000000109</v>
      </c>
      <c r="M154" s="60">
        <f>_xlfn.XLOOKUP(A154,'[1]FRV Output'!$F:$F,'[1]FRV Output'!$BC:$BC)</f>
        <v>11.531846800385742</v>
      </c>
      <c r="N154" s="64"/>
      <c r="O154" s="64"/>
      <c r="R154" s="32"/>
      <c r="T154" s="60"/>
      <c r="U154" s="110"/>
      <c r="V154" s="112"/>
    </row>
    <row r="155" spans="1:22" x14ac:dyDescent="0.25">
      <c r="A155">
        <v>1376926519</v>
      </c>
      <c r="B155" s="37">
        <v>0.67281061980708623</v>
      </c>
      <c r="C155" s="64">
        <v>42195</v>
      </c>
      <c r="D155" s="64">
        <v>42195</v>
      </c>
      <c r="E155" s="32">
        <v>28630</v>
      </c>
      <c r="F155" s="64">
        <v>120</v>
      </c>
      <c r="G155" s="60">
        <v>12.240000000000009</v>
      </c>
      <c r="H155" s="64">
        <v>49800</v>
      </c>
      <c r="I155" s="60">
        <v>415</v>
      </c>
      <c r="J155" s="110">
        <v>7.879999999999999</v>
      </c>
      <c r="K155" s="112">
        <v>1.4034</v>
      </c>
      <c r="L155" s="60">
        <v>12.240000000000009</v>
      </c>
      <c r="M155" s="60">
        <f>_xlfn.XLOOKUP(A155,'[1]FRV Output'!$F:$F,'[1]FRV Output'!$BC:$BC)</f>
        <v>15.717208338172814</v>
      </c>
      <c r="N155" s="64"/>
      <c r="O155" s="64"/>
      <c r="R155" s="32"/>
      <c r="T155" s="60"/>
      <c r="U155" s="110"/>
      <c r="V155" s="112"/>
    </row>
    <row r="156" spans="1:22" x14ac:dyDescent="0.25">
      <c r="A156">
        <v>1376932889</v>
      </c>
      <c r="B156" s="37">
        <v>0.65</v>
      </c>
      <c r="C156" s="64">
        <v>27770</v>
      </c>
      <c r="D156" s="64">
        <v>27770</v>
      </c>
      <c r="E156" s="32">
        <v>28031</v>
      </c>
      <c r="F156" s="64">
        <v>102</v>
      </c>
      <c r="G156" s="60">
        <v>6.0099999999999909</v>
      </c>
      <c r="H156" s="64">
        <v>71500</v>
      </c>
      <c r="I156" s="60">
        <v>700.98039215686276</v>
      </c>
      <c r="J156" s="110">
        <v>24.38</v>
      </c>
      <c r="K156" s="112">
        <v>1.1092</v>
      </c>
      <c r="L156" s="60">
        <v>6.0099999999999909</v>
      </c>
      <c r="M156" s="60">
        <f>_xlfn.XLOOKUP(A156,'[1]FRV Output'!$F:$F,'[1]FRV Output'!$BC:$BC)</f>
        <v>36.507014768563231</v>
      </c>
      <c r="N156" s="64"/>
      <c r="O156" s="64"/>
      <c r="R156" s="32"/>
      <c r="T156" s="60"/>
      <c r="U156" s="110"/>
      <c r="V156" s="112"/>
    </row>
    <row r="157" spans="1:22" x14ac:dyDescent="0.25">
      <c r="A157">
        <v>1386187813</v>
      </c>
      <c r="B157" s="37">
        <v>0.62684290798169806</v>
      </c>
      <c r="C157" s="64">
        <v>30884</v>
      </c>
      <c r="D157" s="64">
        <v>30884</v>
      </c>
      <c r="E157" s="32">
        <v>27712</v>
      </c>
      <c r="F157" s="64">
        <v>132</v>
      </c>
      <c r="G157" s="60">
        <v>27.319999999999936</v>
      </c>
      <c r="H157" s="64">
        <v>50962</v>
      </c>
      <c r="I157" s="60">
        <v>386.07575757575756</v>
      </c>
      <c r="J157" s="110">
        <v>24.38</v>
      </c>
      <c r="K157" s="112">
        <v>1.1348</v>
      </c>
      <c r="L157" s="60">
        <v>27.319999999999936</v>
      </c>
      <c r="M157" s="60">
        <f>_xlfn.XLOOKUP(A157,'[1]FRV Output'!$F:$F,'[1]FRV Output'!$BC:$BC)</f>
        <v>12.117181370668558</v>
      </c>
      <c r="N157" s="64"/>
      <c r="O157" s="64"/>
      <c r="R157" s="32"/>
      <c r="T157" s="60"/>
      <c r="U157" s="110"/>
      <c r="V157" s="112"/>
    </row>
    <row r="158" spans="1:22" x14ac:dyDescent="0.25">
      <c r="A158">
        <v>1396161527</v>
      </c>
      <c r="B158" s="37">
        <v>0.57507246376811594</v>
      </c>
      <c r="C158" s="64">
        <v>37179</v>
      </c>
      <c r="D158" s="64">
        <v>37179</v>
      </c>
      <c r="E158" s="32">
        <v>27605</v>
      </c>
      <c r="F158" s="64">
        <v>157</v>
      </c>
      <c r="G158" s="60">
        <v>15.069999999999936</v>
      </c>
      <c r="H158" s="64">
        <v>68791</v>
      </c>
      <c r="I158" s="60">
        <v>438.15923566878979</v>
      </c>
      <c r="J158" s="110">
        <v>24.38</v>
      </c>
      <c r="K158" s="112">
        <v>1.2391000000000001</v>
      </c>
      <c r="L158" s="60">
        <v>15.069999999999936</v>
      </c>
      <c r="M158" s="60">
        <f>_xlfn.XLOOKUP(A158,'[1]FRV Output'!$F:$F,'[1]FRV Output'!$BC:$BC)</f>
        <v>18.418694129340853</v>
      </c>
      <c r="N158" s="64"/>
      <c r="O158" s="64"/>
      <c r="R158" s="32"/>
      <c r="T158" s="60"/>
      <c r="U158" s="110"/>
      <c r="V158" s="112"/>
    </row>
    <row r="159" spans="1:22" x14ac:dyDescent="0.25">
      <c r="A159">
        <v>1396202024</v>
      </c>
      <c r="B159" s="37">
        <v>0.6082074147469243</v>
      </c>
      <c r="C159" s="64">
        <v>33945</v>
      </c>
      <c r="D159" s="64">
        <v>33945</v>
      </c>
      <c r="E159" s="32">
        <v>28778</v>
      </c>
      <c r="F159" s="64">
        <v>106</v>
      </c>
      <c r="G159" s="60">
        <v>14.059999999999945</v>
      </c>
      <c r="H159" s="64">
        <v>34353</v>
      </c>
      <c r="I159" s="60">
        <v>324.08490566037733</v>
      </c>
      <c r="J159" s="110">
        <v>24.38</v>
      </c>
      <c r="K159" s="112">
        <v>0.98670000000000002</v>
      </c>
      <c r="L159" s="60">
        <v>14.059999999999945</v>
      </c>
      <c r="M159" s="60">
        <f>_xlfn.XLOOKUP(A159,'[1]FRV Output'!$F:$F,'[1]FRV Output'!$BC:$BC)</f>
        <v>17.396483067750736</v>
      </c>
      <c r="N159" s="64"/>
      <c r="O159" s="64"/>
      <c r="R159" s="32"/>
      <c r="T159" s="60"/>
      <c r="U159" s="110"/>
      <c r="V159" s="112"/>
    </row>
    <row r="160" spans="1:22" x14ac:dyDescent="0.25">
      <c r="A160">
        <v>1396747689</v>
      </c>
      <c r="B160" s="37">
        <v>0.56938200106682924</v>
      </c>
      <c r="C160" s="64">
        <v>32196</v>
      </c>
      <c r="D160" s="64">
        <v>32196</v>
      </c>
      <c r="E160" s="32">
        <v>28730</v>
      </c>
      <c r="F160" s="64">
        <v>106</v>
      </c>
      <c r="G160" s="60">
        <v>23.990000000000009</v>
      </c>
      <c r="H160" s="64">
        <v>34115.899843369116</v>
      </c>
      <c r="I160" s="60">
        <v>321.84811172989731</v>
      </c>
      <c r="J160" s="110">
        <v>24.38</v>
      </c>
      <c r="K160" s="112">
        <v>1.1281000000000001</v>
      </c>
      <c r="L160" s="60">
        <v>23.990000000000009</v>
      </c>
      <c r="M160" s="60">
        <f>_xlfn.XLOOKUP(A160,'[1]FRV Output'!$F:$F,'[1]FRV Output'!$BC:$BC)</f>
        <v>12.372514046528435</v>
      </c>
      <c r="N160" s="64"/>
      <c r="O160" s="64"/>
      <c r="R160" s="32"/>
      <c r="T160" s="60"/>
      <c r="U160" s="110"/>
      <c r="V160" s="112"/>
    </row>
    <row r="161" spans="1:22" x14ac:dyDescent="0.25">
      <c r="A161">
        <v>1396754875</v>
      </c>
      <c r="B161" s="37">
        <v>0.737248213125406</v>
      </c>
      <c r="C161" s="64">
        <v>20098</v>
      </c>
      <c r="D161" s="64">
        <v>20098</v>
      </c>
      <c r="E161" s="32">
        <v>27239</v>
      </c>
      <c r="F161" s="64">
        <v>60</v>
      </c>
      <c r="G161" s="60">
        <v>1.2400000000000091</v>
      </c>
      <c r="H161" s="64">
        <v>26461.653468674376</v>
      </c>
      <c r="I161" s="60">
        <v>441.0275578112396</v>
      </c>
      <c r="J161" s="110">
        <v>24.38</v>
      </c>
      <c r="K161" s="112">
        <v>1.1198999999999999</v>
      </c>
      <c r="L161" s="60">
        <v>1.2400000000000091</v>
      </c>
      <c r="M161" s="60">
        <f>_xlfn.XLOOKUP(A161,'[1]FRV Output'!$F:$F,'[1]FRV Output'!$BC:$BC)</f>
        <v>23.453755616835217</v>
      </c>
      <c r="N161" s="64"/>
      <c r="O161" s="64"/>
      <c r="R161" s="32"/>
      <c r="T161" s="60"/>
      <c r="U161" s="110"/>
      <c r="V161" s="112"/>
    </row>
    <row r="162" spans="1:22" x14ac:dyDescent="0.25">
      <c r="A162">
        <v>1396771515</v>
      </c>
      <c r="B162" s="37">
        <v>0.60597515433274907</v>
      </c>
      <c r="C162" s="64">
        <v>44557</v>
      </c>
      <c r="D162" s="64">
        <v>44557</v>
      </c>
      <c r="E162" s="32">
        <v>28405</v>
      </c>
      <c r="F162" s="64">
        <v>140</v>
      </c>
      <c r="G162" s="60">
        <v>6.8399999999999181</v>
      </c>
      <c r="H162" s="64">
        <v>93346</v>
      </c>
      <c r="I162" s="60">
        <v>666.75714285714287</v>
      </c>
      <c r="J162" s="110">
        <v>7.879999999999999</v>
      </c>
      <c r="K162" s="112">
        <v>1.1882999999999999</v>
      </c>
      <c r="L162" s="60">
        <v>6.8399999999999181</v>
      </c>
      <c r="M162" s="60">
        <f>_xlfn.XLOOKUP(A162,'[1]FRV Output'!$F:$F,'[1]FRV Output'!$BC:$BC)</f>
        <v>32.338402918410651</v>
      </c>
      <c r="N162" s="64"/>
      <c r="O162" s="64"/>
      <c r="R162" s="32"/>
      <c r="T162" s="60"/>
      <c r="U162" s="110"/>
      <c r="V162" s="112"/>
    </row>
    <row r="163" spans="1:22" x14ac:dyDescent="0.25">
      <c r="A163">
        <v>1396802260</v>
      </c>
      <c r="B163" s="37">
        <v>0.62998780983340108</v>
      </c>
      <c r="C163" s="64">
        <v>16052</v>
      </c>
      <c r="D163" s="64">
        <v>16052</v>
      </c>
      <c r="E163" s="32">
        <v>28360</v>
      </c>
      <c r="F163" s="64">
        <v>52</v>
      </c>
      <c r="G163" s="60">
        <v>6.2300000000000182</v>
      </c>
      <c r="H163" s="64">
        <v>35369.85482706043</v>
      </c>
      <c r="I163" s="60">
        <v>680.18951590500831</v>
      </c>
      <c r="J163" s="110">
        <v>24.38</v>
      </c>
      <c r="K163" s="112">
        <v>1.1633</v>
      </c>
      <c r="L163" s="60">
        <v>6.2300000000000182</v>
      </c>
      <c r="M163" s="60">
        <f>_xlfn.XLOOKUP(A163,'[1]FRV Output'!$F:$F,'[1]FRV Output'!$BC:$BC)</f>
        <v>34.827259038823847</v>
      </c>
      <c r="N163" s="64"/>
      <c r="O163" s="64"/>
      <c r="R163" s="32"/>
      <c r="T163" s="60"/>
      <c r="U163" s="110"/>
      <c r="V163" s="112"/>
    </row>
    <row r="164" spans="1:22" x14ac:dyDescent="0.25">
      <c r="A164">
        <v>1407325103</v>
      </c>
      <c r="B164" s="37">
        <v>0.67233530876921754</v>
      </c>
      <c r="C164" s="64">
        <v>22363</v>
      </c>
      <c r="D164" s="64">
        <v>22363</v>
      </c>
      <c r="E164" s="32">
        <v>28159</v>
      </c>
      <c r="F164" s="64">
        <v>70</v>
      </c>
      <c r="G164" s="60">
        <v>33.670000000000073</v>
      </c>
      <c r="H164" s="64">
        <v>36301</v>
      </c>
      <c r="I164" s="60">
        <v>518.58571428571429</v>
      </c>
      <c r="J164" s="110">
        <v>24.38</v>
      </c>
      <c r="K164" s="112">
        <v>1.2948</v>
      </c>
      <c r="L164" s="60">
        <v>33.670000000000073</v>
      </c>
      <c r="M164" s="60">
        <f>_xlfn.XLOOKUP(A164,'[1]FRV Output'!$F:$F,'[1]FRV Output'!$BC:$BC)</f>
        <v>12.558690435431112</v>
      </c>
      <c r="N164" s="64"/>
      <c r="O164" s="64"/>
      <c r="R164" s="32"/>
      <c r="T164" s="60"/>
      <c r="U164" s="110"/>
      <c r="V164" s="112"/>
    </row>
    <row r="165" spans="1:22" x14ac:dyDescent="0.25">
      <c r="A165">
        <v>1407800972</v>
      </c>
      <c r="B165" s="37">
        <v>0.68195962081192563</v>
      </c>
      <c r="C165" s="64">
        <v>28335</v>
      </c>
      <c r="D165" s="64">
        <v>28335</v>
      </c>
      <c r="E165" s="32">
        <v>28147</v>
      </c>
      <c r="F165" s="64">
        <v>90</v>
      </c>
      <c r="G165" s="60">
        <v>19.220000000000027</v>
      </c>
      <c r="H165" s="64">
        <v>41711</v>
      </c>
      <c r="I165" s="60">
        <v>463.45555555555558</v>
      </c>
      <c r="J165" s="110">
        <v>24.38</v>
      </c>
      <c r="K165" s="112">
        <v>1.119</v>
      </c>
      <c r="L165" s="60">
        <v>19.220000000000027</v>
      </c>
      <c r="M165" s="60">
        <f>_xlfn.XLOOKUP(A165,'[1]FRV Output'!$F:$F,'[1]FRV Output'!$BC:$BC)</f>
        <v>18.801983456371399</v>
      </c>
      <c r="N165" s="64"/>
      <c r="O165" s="64"/>
      <c r="R165" s="32"/>
      <c r="T165" s="60"/>
      <c r="U165" s="110"/>
      <c r="V165" s="112"/>
    </row>
    <row r="166" spans="1:22" x14ac:dyDescent="0.25">
      <c r="A166">
        <v>1407803679</v>
      </c>
      <c r="B166" s="37">
        <v>0.64137791696130919</v>
      </c>
      <c r="C166" s="64">
        <v>27966</v>
      </c>
      <c r="D166" s="64">
        <v>27966</v>
      </c>
      <c r="E166" s="32">
        <v>28904</v>
      </c>
      <c r="F166" s="64">
        <v>90</v>
      </c>
      <c r="G166" s="60">
        <v>21.220000000000027</v>
      </c>
      <c r="H166" s="64">
        <v>29135</v>
      </c>
      <c r="I166" s="60">
        <v>323.72222222222223</v>
      </c>
      <c r="J166" s="110">
        <v>24.38</v>
      </c>
      <c r="K166" s="112">
        <v>1.0680000000000001</v>
      </c>
      <c r="L166" s="60">
        <v>21.220000000000027</v>
      </c>
      <c r="M166" s="60">
        <f>_xlfn.XLOOKUP(A166,'[1]FRV Output'!$F:$F,'[1]FRV Output'!$BC:$BC)</f>
        <v>13.888823946480207</v>
      </c>
      <c r="N166" s="64"/>
      <c r="O166" s="64"/>
      <c r="R166" s="32"/>
      <c r="T166" s="60"/>
      <c r="U166" s="110"/>
      <c r="V166" s="112"/>
    </row>
    <row r="167" spans="1:22" x14ac:dyDescent="0.25">
      <c r="A167">
        <v>1407803828</v>
      </c>
      <c r="B167" s="37">
        <v>0.69589620905410376</v>
      </c>
      <c r="C167" s="64">
        <v>32167</v>
      </c>
      <c r="D167" s="64">
        <v>32167</v>
      </c>
      <c r="E167" s="32">
        <v>28804</v>
      </c>
      <c r="F167" s="64">
        <v>100</v>
      </c>
      <c r="G167" s="60">
        <v>23.710000000000036</v>
      </c>
      <c r="H167" s="64">
        <v>33368</v>
      </c>
      <c r="I167" s="60">
        <v>333.68</v>
      </c>
      <c r="J167" s="110">
        <v>24.38</v>
      </c>
      <c r="K167" s="112">
        <v>1.1999</v>
      </c>
      <c r="L167" s="60">
        <v>23.710000000000036</v>
      </c>
      <c r="M167" s="60">
        <f>_xlfn.XLOOKUP(A167,'[1]FRV Output'!$F:$F,'[1]FRV Output'!$BC:$BC)</f>
        <v>12.347134006707167</v>
      </c>
      <c r="N167" s="64"/>
      <c r="O167" s="64"/>
      <c r="R167" s="32"/>
      <c r="T167" s="60"/>
      <c r="U167" s="110"/>
      <c r="V167" s="112"/>
    </row>
    <row r="168" spans="1:22" x14ac:dyDescent="0.25">
      <c r="A168">
        <v>1407843097</v>
      </c>
      <c r="B168" s="37">
        <v>0.691929974380871</v>
      </c>
      <c r="C168" s="64">
        <v>32833</v>
      </c>
      <c r="D168" s="64">
        <v>32833</v>
      </c>
      <c r="E168" s="32">
        <v>28164</v>
      </c>
      <c r="F168" s="64">
        <v>106</v>
      </c>
      <c r="G168" s="60">
        <v>2.2100000000000364</v>
      </c>
      <c r="H168" s="64">
        <v>43170.902288046222</v>
      </c>
      <c r="I168" s="60">
        <v>407.27266309477568</v>
      </c>
      <c r="J168" s="110">
        <v>0</v>
      </c>
      <c r="K168" s="112">
        <v>1.2248000000000001</v>
      </c>
      <c r="L168" s="60">
        <v>2.2100000000000364</v>
      </c>
      <c r="M168" s="60">
        <f>_xlfn.XLOOKUP(A168,'[1]FRV Output'!$F:$F,'[1]FRV Output'!$BC:$BC)</f>
        <v>24.950034709498556</v>
      </c>
      <c r="N168" s="64"/>
      <c r="O168" s="64"/>
      <c r="R168" s="32"/>
      <c r="T168" s="60"/>
      <c r="U168" s="110"/>
      <c r="V168" s="112"/>
    </row>
    <row r="169" spans="1:22" x14ac:dyDescent="0.25">
      <c r="A169">
        <v>1407882830</v>
      </c>
      <c r="B169" s="37">
        <v>0.55437029686595551</v>
      </c>
      <c r="C169" s="64">
        <v>27903</v>
      </c>
      <c r="D169" s="64">
        <v>27903</v>
      </c>
      <c r="E169" s="32">
        <v>28529</v>
      </c>
      <c r="F169" s="64">
        <v>96</v>
      </c>
      <c r="G169" s="60">
        <v>28.579999999999927</v>
      </c>
      <c r="H169" s="64">
        <v>32027.053872053868</v>
      </c>
      <c r="I169" s="60">
        <v>333.61514450056114</v>
      </c>
      <c r="J169" s="110">
        <v>24.38</v>
      </c>
      <c r="K169" s="112">
        <v>1.1849000000000001</v>
      </c>
      <c r="L169" s="60">
        <v>28.579999999999927</v>
      </c>
      <c r="M169" s="60">
        <f>_xlfn.XLOOKUP(A169,'[1]FRV Output'!$F:$F,'[1]FRV Output'!$BC:$BC)</f>
        <v>10.424922734811986</v>
      </c>
      <c r="N169" s="64"/>
      <c r="O169" s="64"/>
      <c r="R169" s="32"/>
      <c r="T169" s="60"/>
      <c r="U169" s="110"/>
      <c r="V169" s="112"/>
    </row>
    <row r="170" spans="1:22" x14ac:dyDescent="0.25">
      <c r="A170">
        <v>1407966864</v>
      </c>
      <c r="B170" s="37">
        <v>0.73592596672909549</v>
      </c>
      <c r="C170" s="64">
        <v>26131</v>
      </c>
      <c r="D170" s="64">
        <v>26131</v>
      </c>
      <c r="E170" s="32">
        <v>27320</v>
      </c>
      <c r="F170" s="64">
        <v>82</v>
      </c>
      <c r="G170" s="60">
        <v>16.809999999999945</v>
      </c>
      <c r="H170" s="64">
        <v>0</v>
      </c>
      <c r="I170" s="60">
        <v>0</v>
      </c>
      <c r="J170" s="110">
        <v>24.38</v>
      </c>
      <c r="K170" s="112">
        <v>1.0404</v>
      </c>
      <c r="L170" s="60">
        <v>16.809999999999945</v>
      </c>
      <c r="M170" s="60">
        <f>_xlfn.XLOOKUP(A170,'[1]FRV Output'!$F:$F,'[1]FRV Output'!$BC:$BC)</f>
        <v>16.868203365274979</v>
      </c>
      <c r="N170" s="64"/>
      <c r="O170" s="64"/>
      <c r="R170" s="32"/>
      <c r="T170" s="60"/>
      <c r="U170" s="110"/>
      <c r="V170" s="112"/>
    </row>
    <row r="171" spans="1:22" x14ac:dyDescent="0.25">
      <c r="A171">
        <v>1417368143</v>
      </c>
      <c r="B171" s="37">
        <v>0.61009528714911143</v>
      </c>
      <c r="C171" s="64">
        <v>31554</v>
      </c>
      <c r="D171" s="64">
        <v>31554</v>
      </c>
      <c r="E171" s="32">
        <v>27803</v>
      </c>
      <c r="F171" s="64">
        <v>100</v>
      </c>
      <c r="G171" s="60">
        <v>3</v>
      </c>
      <c r="H171" s="64">
        <v>48753.034912619041</v>
      </c>
      <c r="I171" s="60">
        <v>487.5303491261904</v>
      </c>
      <c r="J171" s="110">
        <v>24.38</v>
      </c>
      <c r="K171" s="112">
        <v>1.4613</v>
      </c>
      <c r="L171" s="60">
        <v>3</v>
      </c>
      <c r="M171" s="60">
        <f>_xlfn.XLOOKUP(A171,'[1]FRV Output'!$F:$F,'[1]FRV Output'!$BC:$BC)</f>
        <v>26.726983016807395</v>
      </c>
      <c r="N171" s="64"/>
      <c r="O171" s="64"/>
      <c r="R171" s="32"/>
      <c r="T171" s="60"/>
      <c r="U171" s="110"/>
      <c r="V171" s="112"/>
    </row>
    <row r="172" spans="1:22" x14ac:dyDescent="0.25">
      <c r="A172">
        <v>1417696576</v>
      </c>
      <c r="B172" s="37">
        <v>0.68181818181818177</v>
      </c>
      <c r="C172" s="64">
        <v>39698</v>
      </c>
      <c r="D172" s="64">
        <v>39698</v>
      </c>
      <c r="E172" s="32">
        <v>28787</v>
      </c>
      <c r="F172" s="64">
        <v>122</v>
      </c>
      <c r="G172" s="60">
        <v>20.940000000000055</v>
      </c>
      <c r="H172" s="64">
        <v>43084.97794140206</v>
      </c>
      <c r="I172" s="60">
        <v>353.15555689673818</v>
      </c>
      <c r="J172" s="110">
        <v>24.38</v>
      </c>
      <c r="K172" s="112">
        <v>1.2644</v>
      </c>
      <c r="L172" s="60">
        <v>20.940000000000055</v>
      </c>
      <c r="M172" s="60">
        <f>_xlfn.XLOOKUP(A172,'[1]FRV Output'!$F:$F,'[1]FRV Output'!$BC:$BC)</f>
        <v>14.532237585006779</v>
      </c>
      <c r="N172" s="64"/>
      <c r="O172" s="64"/>
      <c r="R172" s="32"/>
      <c r="T172" s="60"/>
      <c r="U172" s="110"/>
      <c r="V172" s="112"/>
    </row>
    <row r="173" spans="1:22" x14ac:dyDescent="0.25">
      <c r="A173">
        <v>1417951492</v>
      </c>
      <c r="B173" s="37">
        <v>0.61055604738417435</v>
      </c>
      <c r="C173" s="64">
        <v>25254</v>
      </c>
      <c r="D173" s="64">
        <v>25254</v>
      </c>
      <c r="E173" s="32">
        <v>27410</v>
      </c>
      <c r="F173" s="64">
        <v>69</v>
      </c>
      <c r="G173" s="60">
        <v>17</v>
      </c>
      <c r="H173" s="64">
        <v>0</v>
      </c>
      <c r="I173" s="60">
        <v>0</v>
      </c>
      <c r="J173" s="110">
        <v>0</v>
      </c>
      <c r="K173" s="112">
        <v>0.95140000000000002</v>
      </c>
      <c r="L173" s="60">
        <v>17</v>
      </c>
      <c r="M173" s="60">
        <f>_xlfn.XLOOKUP(A173,'[1]FRV Output'!$F:$F,'[1]FRV Output'!$BC:$BC)</f>
        <v>14.61869713114754</v>
      </c>
      <c r="N173" s="64"/>
      <c r="O173" s="64"/>
      <c r="R173" s="32"/>
      <c r="T173" s="60"/>
      <c r="U173" s="110"/>
      <c r="V173" s="112"/>
    </row>
    <row r="174" spans="1:22" x14ac:dyDescent="0.25">
      <c r="A174">
        <v>1427003110</v>
      </c>
      <c r="B174" s="37">
        <v>0.65177195685670264</v>
      </c>
      <c r="C174" s="64">
        <v>38232</v>
      </c>
      <c r="D174" s="64">
        <v>38232</v>
      </c>
      <c r="E174" s="32">
        <v>27529</v>
      </c>
      <c r="F174" s="64">
        <v>120</v>
      </c>
      <c r="G174" s="60">
        <v>14.079999999999927</v>
      </c>
      <c r="H174" s="64">
        <v>0</v>
      </c>
      <c r="I174" s="60">
        <v>0</v>
      </c>
      <c r="J174" s="110">
        <v>24.38</v>
      </c>
      <c r="K174" s="112">
        <v>1.1797</v>
      </c>
      <c r="L174" s="60">
        <v>14.079999999999927</v>
      </c>
      <c r="M174" s="60">
        <f>_xlfn.XLOOKUP(A174,'[1]FRV Output'!$F:$F,'[1]FRV Output'!$BC:$BC)</f>
        <v>17.506439841807932</v>
      </c>
      <c r="N174" s="64"/>
      <c r="O174" s="64"/>
      <c r="R174" s="32"/>
      <c r="T174" s="60"/>
      <c r="U174" s="110"/>
      <c r="V174" s="112"/>
    </row>
    <row r="175" spans="1:22" x14ac:dyDescent="0.25">
      <c r="A175">
        <v>1427052067</v>
      </c>
      <c r="B175" s="37">
        <v>0.73793414524131706</v>
      </c>
      <c r="C175" s="64">
        <v>34761</v>
      </c>
      <c r="D175" s="64">
        <v>34761</v>
      </c>
      <c r="E175" s="32">
        <v>28601</v>
      </c>
      <c r="F175" s="64">
        <v>104</v>
      </c>
      <c r="G175" s="60">
        <v>2.4100000000000819</v>
      </c>
      <c r="H175" s="64">
        <v>48981.286775235152</v>
      </c>
      <c r="I175" s="60">
        <v>470.97391130033799</v>
      </c>
      <c r="J175" s="110">
        <v>24.38</v>
      </c>
      <c r="K175" s="112">
        <v>1.2642</v>
      </c>
      <c r="L175" s="60">
        <v>2.4100000000000819</v>
      </c>
      <c r="M175" s="60">
        <f>_xlfn.XLOOKUP(A175,'[1]FRV Output'!$F:$F,'[1]FRV Output'!$BC:$BC)</f>
        <v>24.725243145039329</v>
      </c>
      <c r="N175" s="64"/>
      <c r="O175" s="64"/>
      <c r="R175" s="32"/>
      <c r="T175" s="60"/>
      <c r="U175" s="110"/>
      <c r="V175" s="112"/>
    </row>
    <row r="176" spans="1:22" x14ac:dyDescent="0.25">
      <c r="A176">
        <v>1427248905</v>
      </c>
      <c r="B176" s="37">
        <v>0.64461788115292484</v>
      </c>
      <c r="C176" s="64">
        <v>42327</v>
      </c>
      <c r="D176" s="64">
        <v>42327</v>
      </c>
      <c r="E176" s="32">
        <v>28204</v>
      </c>
      <c r="F176" s="64">
        <v>142</v>
      </c>
      <c r="G176" s="60">
        <v>12</v>
      </c>
      <c r="H176" s="64">
        <v>70849</v>
      </c>
      <c r="I176" s="60">
        <v>498.93661971830988</v>
      </c>
      <c r="J176" s="110">
        <v>7.879999999999999</v>
      </c>
      <c r="K176" s="112">
        <v>1.2266999999999999</v>
      </c>
      <c r="L176" s="60">
        <v>12</v>
      </c>
      <c r="M176" s="60">
        <f>_xlfn.XLOOKUP(A176,'[1]FRV Output'!$F:$F,'[1]FRV Output'!$BC:$BC)</f>
        <v>24.184355798058121</v>
      </c>
      <c r="N176" s="64"/>
      <c r="O176" s="64"/>
      <c r="R176" s="32"/>
      <c r="T176" s="60"/>
      <c r="U176" s="110"/>
      <c r="V176" s="112"/>
    </row>
    <row r="177" spans="1:22" x14ac:dyDescent="0.25">
      <c r="A177">
        <v>1427608959</v>
      </c>
      <c r="B177" s="37">
        <v>0.71267368421052624</v>
      </c>
      <c r="C177" s="64">
        <v>27096</v>
      </c>
      <c r="D177" s="64">
        <v>27096</v>
      </c>
      <c r="E177" s="32">
        <v>28315</v>
      </c>
      <c r="F177" s="64">
        <v>100</v>
      </c>
      <c r="G177" s="60">
        <v>16.759999999999991</v>
      </c>
      <c r="H177" s="64">
        <v>36251.873494053521</v>
      </c>
      <c r="I177" s="60">
        <v>362.51873494053524</v>
      </c>
      <c r="J177" s="110">
        <v>24.38</v>
      </c>
      <c r="K177" s="112">
        <v>1.1191</v>
      </c>
      <c r="L177" s="60">
        <v>16.759999999999991</v>
      </c>
      <c r="M177" s="60">
        <f>_xlfn.XLOOKUP(A177,'[1]FRV Output'!$F:$F,'[1]FRV Output'!$BC:$BC)</f>
        <v>15.919009537126337</v>
      </c>
      <c r="N177" s="64"/>
      <c r="O177" s="64"/>
      <c r="R177" s="32"/>
      <c r="T177" s="60"/>
      <c r="U177" s="110"/>
      <c r="V177" s="112"/>
    </row>
    <row r="178" spans="1:22" x14ac:dyDescent="0.25">
      <c r="A178">
        <v>1437103850</v>
      </c>
      <c r="B178" s="37">
        <v>0.62903928229248318</v>
      </c>
      <c r="C178" s="64">
        <v>11691</v>
      </c>
      <c r="D178" s="64">
        <v>11691</v>
      </c>
      <c r="E178" s="32">
        <v>27885</v>
      </c>
      <c r="F178" s="64">
        <v>80</v>
      </c>
      <c r="G178" s="60">
        <v>29.5</v>
      </c>
      <c r="H178" s="64">
        <v>0</v>
      </c>
      <c r="I178" s="60">
        <v>0</v>
      </c>
      <c r="J178" s="110">
        <v>24.38</v>
      </c>
      <c r="K178" s="112">
        <v>1.1792108485224528</v>
      </c>
      <c r="L178" s="60">
        <v>29.5</v>
      </c>
      <c r="M178" s="60">
        <f>_xlfn.XLOOKUP(A178,'[1]FRV Output'!$F:$F,'[1]FRV Output'!$BC:$BC)</f>
        <v>10.320569889103181</v>
      </c>
      <c r="N178" s="64"/>
      <c r="O178" s="64"/>
      <c r="R178" s="32"/>
      <c r="T178" s="60"/>
      <c r="U178" s="110"/>
      <c r="V178" s="112"/>
    </row>
    <row r="179" spans="1:22" x14ac:dyDescent="0.25">
      <c r="A179">
        <v>1437484672</v>
      </c>
      <c r="B179" s="37">
        <v>0.65</v>
      </c>
      <c r="C179" s="64">
        <v>25963</v>
      </c>
      <c r="D179" s="64">
        <v>25963</v>
      </c>
      <c r="E179" s="32">
        <v>28422</v>
      </c>
      <c r="F179" s="64">
        <v>90</v>
      </c>
      <c r="G179" s="60">
        <v>8.2000000000000455</v>
      </c>
      <c r="H179" s="64">
        <v>39346</v>
      </c>
      <c r="I179" s="60">
        <v>437.17777777777781</v>
      </c>
      <c r="J179" s="110">
        <v>24.38</v>
      </c>
      <c r="K179" s="112">
        <v>1.3564000000000001</v>
      </c>
      <c r="L179" s="60">
        <v>8.2000000000000455</v>
      </c>
      <c r="M179" s="60">
        <f>_xlfn.XLOOKUP(A179,'[1]FRV Output'!$F:$F,'[1]FRV Output'!$BC:$BC)</f>
        <v>21.79994416194323</v>
      </c>
      <c r="N179" s="64"/>
      <c r="O179" s="64"/>
      <c r="R179" s="32"/>
      <c r="T179" s="60"/>
      <c r="U179" s="110"/>
      <c r="V179" s="112"/>
    </row>
    <row r="180" spans="1:22" x14ac:dyDescent="0.25">
      <c r="A180">
        <v>1437564739</v>
      </c>
      <c r="B180" s="37">
        <v>0.60178871867528561</v>
      </c>
      <c r="C180" s="64">
        <v>33718</v>
      </c>
      <c r="D180" s="64">
        <v>33718</v>
      </c>
      <c r="E180" s="32">
        <v>28501</v>
      </c>
      <c r="F180" s="64">
        <v>106</v>
      </c>
      <c r="G180" s="60">
        <v>4.4200000000000728</v>
      </c>
      <c r="H180" s="64">
        <v>37434</v>
      </c>
      <c r="I180" s="60">
        <v>353.15094339622641</v>
      </c>
      <c r="J180" s="110">
        <v>24.38</v>
      </c>
      <c r="K180" s="112">
        <v>1.2623</v>
      </c>
      <c r="L180" s="60">
        <v>4.4200000000000728</v>
      </c>
      <c r="M180" s="60">
        <f>_xlfn.XLOOKUP(A180,'[1]FRV Output'!$F:$F,'[1]FRV Output'!$BC:$BC)</f>
        <v>22.057250269836555</v>
      </c>
      <c r="N180" s="64"/>
      <c r="O180" s="64"/>
      <c r="R180" s="32"/>
      <c r="T180" s="60"/>
      <c r="U180" s="110"/>
      <c r="V180" s="112"/>
    </row>
    <row r="181" spans="1:22" x14ac:dyDescent="0.25">
      <c r="A181">
        <v>1437609732</v>
      </c>
      <c r="B181" s="37">
        <v>0.6080713280150164</v>
      </c>
      <c r="C181" s="64">
        <v>41404</v>
      </c>
      <c r="D181" s="64">
        <v>41404</v>
      </c>
      <c r="E181" s="32">
        <v>28358</v>
      </c>
      <c r="F181" s="64">
        <v>122</v>
      </c>
      <c r="G181" s="60">
        <v>20.599999999999909</v>
      </c>
      <c r="H181" s="64">
        <v>38471</v>
      </c>
      <c r="I181" s="60">
        <v>315.3360655737705</v>
      </c>
      <c r="J181" s="110">
        <v>24.38</v>
      </c>
      <c r="K181" s="112">
        <v>1.2005999999999999</v>
      </c>
      <c r="L181" s="60">
        <v>20.599999999999909</v>
      </c>
      <c r="M181" s="60">
        <f>_xlfn.XLOOKUP(A181,'[1]FRV Output'!$F:$F,'[1]FRV Output'!$BC:$BC)</f>
        <v>14.371994811612442</v>
      </c>
      <c r="N181" s="64"/>
      <c r="O181" s="64"/>
      <c r="R181" s="32"/>
      <c r="T181" s="60"/>
      <c r="U181" s="110"/>
      <c r="V181" s="112"/>
    </row>
    <row r="182" spans="1:22" x14ac:dyDescent="0.25">
      <c r="A182">
        <v>1437627593</v>
      </c>
      <c r="B182" s="37">
        <v>0.65807653496856333</v>
      </c>
      <c r="C182" s="64">
        <v>21355</v>
      </c>
      <c r="D182" s="64">
        <v>21355</v>
      </c>
      <c r="E182" s="32">
        <v>28205</v>
      </c>
      <c r="F182" s="64">
        <v>100</v>
      </c>
      <c r="G182" s="60">
        <v>16.200000000000045</v>
      </c>
      <c r="H182" s="64">
        <v>28976</v>
      </c>
      <c r="I182" s="60">
        <v>289.76</v>
      </c>
      <c r="J182" s="110">
        <v>24.38</v>
      </c>
      <c r="K182" s="112">
        <v>1.1606000000000001</v>
      </c>
      <c r="L182" s="60">
        <v>16.200000000000045</v>
      </c>
      <c r="M182" s="60">
        <f>_xlfn.XLOOKUP(A182,'[1]FRV Output'!$F:$F,'[1]FRV Output'!$BC:$BC)</f>
        <v>17.736580854387697</v>
      </c>
      <c r="N182" s="64"/>
      <c r="O182" s="64"/>
      <c r="R182" s="32"/>
      <c r="T182" s="60"/>
      <c r="U182" s="110"/>
      <c r="V182" s="112"/>
    </row>
    <row r="183" spans="1:22" x14ac:dyDescent="0.25">
      <c r="A183">
        <v>1447254149</v>
      </c>
      <c r="B183" s="37">
        <v>0.67657485683119711</v>
      </c>
      <c r="C183" s="64">
        <v>36670</v>
      </c>
      <c r="D183" s="64">
        <v>36670</v>
      </c>
      <c r="E183" s="32">
        <v>28145</v>
      </c>
      <c r="F183" s="64">
        <v>115</v>
      </c>
      <c r="G183" s="60">
        <v>1</v>
      </c>
      <c r="H183" s="64">
        <v>58613.329361741897</v>
      </c>
      <c r="I183" s="60">
        <v>509.68112488471212</v>
      </c>
      <c r="J183" s="110">
        <v>0</v>
      </c>
      <c r="K183" s="112">
        <v>1.3192999999999999</v>
      </c>
      <c r="L183" s="60">
        <v>1</v>
      </c>
      <c r="M183" s="60">
        <f>_xlfn.XLOOKUP(A183,'[1]FRV Output'!$F:$F,'[1]FRV Output'!$BC:$BC)</f>
        <v>29.311760996968058</v>
      </c>
      <c r="N183" s="64"/>
      <c r="O183" s="64"/>
      <c r="R183" s="32"/>
      <c r="T183" s="60"/>
      <c r="U183" s="110"/>
      <c r="V183" s="112"/>
    </row>
    <row r="184" spans="1:22" x14ac:dyDescent="0.25">
      <c r="A184">
        <v>1447435722</v>
      </c>
      <c r="B184" s="37">
        <v>0.69359430604982208</v>
      </c>
      <c r="C184" s="64">
        <v>42571</v>
      </c>
      <c r="D184" s="64">
        <v>42571</v>
      </c>
      <c r="E184" s="32">
        <v>27705</v>
      </c>
      <c r="F184" s="64">
        <v>125</v>
      </c>
      <c r="G184" s="60">
        <v>3.8199999999999363</v>
      </c>
      <c r="H184" s="64">
        <v>55784</v>
      </c>
      <c r="I184" s="60">
        <v>446.27199999999999</v>
      </c>
      <c r="J184" s="110">
        <v>7.879999999999999</v>
      </c>
      <c r="K184" s="112">
        <v>1.1281000000000001</v>
      </c>
      <c r="L184" s="60">
        <v>3.8199999999999363</v>
      </c>
      <c r="M184" s="60">
        <f>_xlfn.XLOOKUP(A184,'[1]FRV Output'!$F:$F,'[1]FRV Output'!$BC:$BC)</f>
        <v>23.085445295803776</v>
      </c>
      <c r="N184" s="64"/>
      <c r="O184" s="64"/>
      <c r="R184" s="32"/>
      <c r="T184" s="60"/>
      <c r="U184" s="110"/>
      <c r="V184" s="112"/>
    </row>
    <row r="185" spans="1:22" x14ac:dyDescent="0.25">
      <c r="A185">
        <v>1447736087</v>
      </c>
      <c r="B185" s="37">
        <v>0.53794353794353789</v>
      </c>
      <c r="C185" s="64">
        <v>20993</v>
      </c>
      <c r="D185" s="64">
        <v>20993</v>
      </c>
      <c r="E185" s="32">
        <v>28170</v>
      </c>
      <c r="F185" s="64">
        <v>66</v>
      </c>
      <c r="G185" s="60">
        <v>34.5</v>
      </c>
      <c r="H185" s="64">
        <v>24000</v>
      </c>
      <c r="I185" s="60">
        <v>363.63636363636363</v>
      </c>
      <c r="J185" s="110">
        <v>24.38</v>
      </c>
      <c r="K185" s="112">
        <v>1.2502</v>
      </c>
      <c r="L185" s="60">
        <v>86.130000000000109</v>
      </c>
      <c r="M185" s="60">
        <f>_xlfn.XLOOKUP(A185,'[1]FRV Output'!$F:$F,'[1]FRV Output'!$BC:$BC)</f>
        <v>8.9754806268756262</v>
      </c>
      <c r="N185" s="64"/>
      <c r="O185" s="64"/>
      <c r="R185" s="32"/>
      <c r="T185" s="60"/>
      <c r="U185" s="110"/>
      <c r="V185" s="112"/>
    </row>
    <row r="186" spans="1:22" x14ac:dyDescent="0.25">
      <c r="A186">
        <v>1457397952</v>
      </c>
      <c r="B186" s="37">
        <v>0.59755467539176854</v>
      </c>
      <c r="C186" s="64">
        <v>27482</v>
      </c>
      <c r="D186" s="64">
        <v>27482</v>
      </c>
      <c r="E186" s="32">
        <v>28734</v>
      </c>
      <c r="F186" s="64">
        <v>200</v>
      </c>
      <c r="G186" s="60">
        <v>28.509999999999991</v>
      </c>
      <c r="H186" s="64">
        <v>65952</v>
      </c>
      <c r="I186" s="60">
        <v>329.76</v>
      </c>
      <c r="J186" s="110">
        <v>24.38</v>
      </c>
      <c r="K186" s="112">
        <v>1.2403999999999999</v>
      </c>
      <c r="L186" s="60">
        <v>28.509999999999991</v>
      </c>
      <c r="M186" s="60">
        <f>_xlfn.XLOOKUP(A186,'[1]FRV Output'!$F:$F,'[1]FRV Output'!$BC:$BC)</f>
        <v>10.684003256750245</v>
      </c>
      <c r="N186" s="64"/>
      <c r="O186" s="64"/>
      <c r="R186" s="32"/>
      <c r="T186" s="60"/>
      <c r="U186" s="110"/>
      <c r="V186" s="112"/>
    </row>
    <row r="187" spans="1:22" x14ac:dyDescent="0.25">
      <c r="A187">
        <v>1467007856</v>
      </c>
      <c r="B187" s="37">
        <v>0.60218607015760039</v>
      </c>
      <c r="C187" s="64">
        <v>20090</v>
      </c>
      <c r="D187" s="64">
        <v>30259.012345679013</v>
      </c>
      <c r="E187" s="32">
        <v>28374</v>
      </c>
      <c r="F187" s="64">
        <v>144</v>
      </c>
      <c r="G187" s="60">
        <v>28.740000000000009</v>
      </c>
      <c r="H187" s="64">
        <v>47984</v>
      </c>
      <c r="I187" s="60">
        <v>333.22222222222223</v>
      </c>
      <c r="J187" s="110">
        <v>24.38</v>
      </c>
      <c r="K187" s="112">
        <v>1.1302000000000001</v>
      </c>
      <c r="L187" s="60">
        <v>28.740000000000009</v>
      </c>
      <c r="M187" s="60">
        <f>_xlfn.XLOOKUP(A187,'[1]FRV Output'!$F:$F,'[1]FRV Output'!$BC:$BC)</f>
        <v>10.831704416586305</v>
      </c>
      <c r="N187" s="64"/>
      <c r="O187" s="64"/>
      <c r="R187" s="32"/>
      <c r="T187" s="60"/>
      <c r="U187" s="110"/>
      <c r="V187" s="112"/>
    </row>
    <row r="188" spans="1:22" x14ac:dyDescent="0.25">
      <c r="A188">
        <v>1467016105</v>
      </c>
      <c r="B188" s="37">
        <v>0.62765957446808518</v>
      </c>
      <c r="C188" s="64">
        <v>29733</v>
      </c>
      <c r="D188" s="64">
        <v>29733</v>
      </c>
      <c r="E188" s="32">
        <v>27203</v>
      </c>
      <c r="F188" s="64">
        <v>100</v>
      </c>
      <c r="G188" s="60">
        <v>19.369999999999891</v>
      </c>
      <c r="H188" s="64">
        <v>35814</v>
      </c>
      <c r="I188" s="60">
        <v>358.14</v>
      </c>
      <c r="J188" s="110">
        <v>24.38</v>
      </c>
      <c r="K188" s="112">
        <v>1.1329</v>
      </c>
      <c r="L188" s="60">
        <v>19.369999999999891</v>
      </c>
      <c r="M188" s="60">
        <f>_xlfn.XLOOKUP(A188,'[1]FRV Output'!$F:$F,'[1]FRV Output'!$BC:$BC)</f>
        <v>16.19770328833177</v>
      </c>
      <c r="N188" s="64"/>
      <c r="O188" s="64"/>
      <c r="R188" s="32"/>
      <c r="T188" s="60"/>
      <c r="U188" s="110"/>
      <c r="V188" s="112"/>
    </row>
    <row r="189" spans="1:22" x14ac:dyDescent="0.25">
      <c r="A189">
        <v>1467407775</v>
      </c>
      <c r="B189" s="37">
        <v>0.64460784313725483</v>
      </c>
      <c r="C189" s="64">
        <v>18565</v>
      </c>
      <c r="D189" s="64">
        <v>18565</v>
      </c>
      <c r="E189" s="32">
        <v>28805</v>
      </c>
      <c r="F189" s="64">
        <v>60</v>
      </c>
      <c r="G189" s="60">
        <v>2.75</v>
      </c>
      <c r="H189" s="64">
        <v>0</v>
      </c>
      <c r="I189" s="60">
        <v>0</v>
      </c>
      <c r="J189" s="110">
        <v>24.38</v>
      </c>
      <c r="K189" s="112">
        <v>1.2267999999999999</v>
      </c>
      <c r="L189" s="60">
        <v>2.75</v>
      </c>
      <c r="M189" s="60">
        <f>_xlfn.XLOOKUP(A189,'[1]FRV Output'!$F:$F,'[1]FRV Output'!$BC:$BC)</f>
        <v>23.728450015790695</v>
      </c>
      <c r="N189" s="64"/>
      <c r="O189" s="64"/>
      <c r="R189" s="32"/>
      <c r="T189" s="60"/>
      <c r="U189" s="110"/>
      <c r="V189" s="112"/>
    </row>
    <row r="190" spans="1:22" x14ac:dyDescent="0.25">
      <c r="A190">
        <v>1467421024</v>
      </c>
      <c r="B190" s="37">
        <v>0.57742018317213051</v>
      </c>
      <c r="C190" s="64">
        <v>27264</v>
      </c>
      <c r="D190" s="64">
        <v>27264</v>
      </c>
      <c r="E190" s="32">
        <v>27615</v>
      </c>
      <c r="F190" s="64">
        <v>90</v>
      </c>
      <c r="G190" s="60">
        <v>16.8900000000001</v>
      </c>
      <c r="H190" s="64">
        <v>33560</v>
      </c>
      <c r="I190" s="60">
        <v>372.88888888888891</v>
      </c>
      <c r="J190" s="110">
        <v>24.38</v>
      </c>
      <c r="K190" s="112">
        <v>1.3916999999999999</v>
      </c>
      <c r="L190" s="60">
        <v>16.8900000000001</v>
      </c>
      <c r="M190" s="60">
        <f>_xlfn.XLOOKUP(A190,'[1]FRV Output'!$F:$F,'[1]FRV Output'!$BC:$BC)</f>
        <v>17.059448725168714</v>
      </c>
      <c r="N190" s="64"/>
      <c r="O190" s="64"/>
      <c r="R190" s="32"/>
      <c r="T190" s="60"/>
      <c r="U190" s="110"/>
      <c r="V190" s="112"/>
    </row>
    <row r="191" spans="1:22" x14ac:dyDescent="0.25">
      <c r="A191">
        <v>1477137628</v>
      </c>
      <c r="B191" s="37">
        <v>0.65</v>
      </c>
      <c r="C191" s="64">
        <v>29401</v>
      </c>
      <c r="D191" s="64">
        <v>29401</v>
      </c>
      <c r="E191" s="32">
        <v>28078</v>
      </c>
      <c r="F191" s="64">
        <v>90</v>
      </c>
      <c r="G191" s="60">
        <v>4.1400000000001</v>
      </c>
      <c r="H191" s="64">
        <v>55597</v>
      </c>
      <c r="I191" s="60">
        <v>617.74444444444441</v>
      </c>
      <c r="J191" s="110">
        <v>24.38</v>
      </c>
      <c r="K191" s="112">
        <v>1.2118</v>
      </c>
      <c r="L191" s="60">
        <v>4.1400000000001</v>
      </c>
      <c r="M191" s="60">
        <f>_xlfn.XLOOKUP(A191,'[1]FRV Output'!$F:$F,'[1]FRV Output'!$BC:$BC)</f>
        <v>32.226380471243438</v>
      </c>
      <c r="N191" s="64"/>
      <c r="O191" s="64"/>
      <c r="R191" s="32"/>
      <c r="T191" s="60"/>
      <c r="U191" s="110"/>
      <c r="V191" s="112"/>
    </row>
    <row r="192" spans="1:22" x14ac:dyDescent="0.25">
      <c r="A192">
        <v>1477146959</v>
      </c>
      <c r="B192" s="37">
        <v>0.62016766178155713</v>
      </c>
      <c r="C192" s="64">
        <v>46210</v>
      </c>
      <c r="D192" s="64">
        <v>46210</v>
      </c>
      <c r="E192" s="32">
        <v>27105</v>
      </c>
      <c r="F192" s="64">
        <v>152</v>
      </c>
      <c r="G192" s="60">
        <v>18.509999999999991</v>
      </c>
      <c r="H192" s="64">
        <v>56072.799999999996</v>
      </c>
      <c r="I192" s="60">
        <v>368.9</v>
      </c>
      <c r="J192" s="110">
        <v>7.879999999999999</v>
      </c>
      <c r="K192" s="112">
        <v>1.4263999999999999</v>
      </c>
      <c r="L192" s="60">
        <v>18.509999999999991</v>
      </c>
      <c r="M192" s="60">
        <f>_xlfn.XLOOKUP(A192,'[1]FRV Output'!$F:$F,'[1]FRV Output'!$BC:$BC)</f>
        <v>14.581581906943144</v>
      </c>
      <c r="N192" s="64"/>
      <c r="O192" s="64"/>
      <c r="R192" s="32"/>
      <c r="T192" s="60"/>
      <c r="U192" s="110"/>
      <c r="V192" s="112"/>
    </row>
    <row r="193" spans="1:22" x14ac:dyDescent="0.25">
      <c r="A193">
        <v>1477511079</v>
      </c>
      <c r="B193" s="37">
        <v>0.6402313093762908</v>
      </c>
      <c r="C193" s="64">
        <v>26689</v>
      </c>
      <c r="D193" s="64">
        <v>26689</v>
      </c>
      <c r="E193" s="32">
        <v>28607</v>
      </c>
      <c r="F193" s="64">
        <v>134</v>
      </c>
      <c r="G193" s="60">
        <v>19.559999999999945</v>
      </c>
      <c r="H193" s="64">
        <v>0</v>
      </c>
      <c r="I193" s="60">
        <v>0</v>
      </c>
      <c r="J193" s="110">
        <v>24.38</v>
      </c>
      <c r="K193" s="112">
        <v>1.036</v>
      </c>
      <c r="L193" s="60">
        <v>19.559999999999945</v>
      </c>
      <c r="M193" s="60">
        <f>_xlfn.XLOOKUP(A193,'[1]FRV Output'!$F:$F,'[1]FRV Output'!$BC:$BC)</f>
        <v>15.943906761812947</v>
      </c>
      <c r="N193" s="64"/>
      <c r="O193" s="64"/>
      <c r="R193" s="32"/>
      <c r="T193" s="60"/>
      <c r="U193" s="110"/>
      <c r="V193" s="112"/>
    </row>
    <row r="194" spans="1:22" x14ac:dyDescent="0.25">
      <c r="A194">
        <v>1477641694</v>
      </c>
      <c r="B194" s="37">
        <v>0.65353595947477172</v>
      </c>
      <c r="C194" s="64">
        <v>41246</v>
      </c>
      <c r="D194" s="64">
        <v>41246</v>
      </c>
      <c r="E194" s="32">
        <v>27260</v>
      </c>
      <c r="F194" s="64">
        <v>125</v>
      </c>
      <c r="G194" s="60">
        <v>11.420000000000073</v>
      </c>
      <c r="H194" s="64">
        <v>0</v>
      </c>
      <c r="I194" s="60">
        <v>0</v>
      </c>
      <c r="J194" s="110">
        <v>0</v>
      </c>
      <c r="K194" s="112">
        <v>0.91220000000000001</v>
      </c>
      <c r="L194" s="60">
        <v>11.420000000000073</v>
      </c>
      <c r="M194" s="60">
        <f>_xlfn.XLOOKUP(A194,'[1]FRV Output'!$F:$F,'[1]FRV Output'!$BC:$BC)</f>
        <v>18.436533203219678</v>
      </c>
      <c r="N194" s="64"/>
      <c r="O194" s="64"/>
      <c r="R194" s="32"/>
      <c r="T194" s="60"/>
      <c r="U194" s="110"/>
      <c r="V194" s="112"/>
    </row>
    <row r="195" spans="1:22" x14ac:dyDescent="0.25">
      <c r="A195">
        <v>1487060893</v>
      </c>
      <c r="B195" s="37">
        <v>0.8077793493635077</v>
      </c>
      <c r="C195" s="64">
        <v>30896</v>
      </c>
      <c r="D195" s="64">
        <v>30896</v>
      </c>
      <c r="E195" s="32">
        <v>28170</v>
      </c>
      <c r="F195" s="64">
        <v>95</v>
      </c>
      <c r="G195" s="60">
        <v>18.839999999999918</v>
      </c>
      <c r="H195" s="64">
        <v>38518</v>
      </c>
      <c r="I195" s="60">
        <v>405.45263157894738</v>
      </c>
      <c r="J195" s="110">
        <v>24.38</v>
      </c>
      <c r="K195" s="112">
        <v>1.4046000000000001</v>
      </c>
      <c r="L195" s="60">
        <v>18.839999999999918</v>
      </c>
      <c r="M195" s="60">
        <f>_xlfn.XLOOKUP(A195,'[1]FRV Output'!$F:$F,'[1]FRV Output'!$BC:$BC)</f>
        <v>15.195095653875821</v>
      </c>
      <c r="N195" s="64"/>
      <c r="O195" s="64"/>
      <c r="R195" s="32"/>
      <c r="T195" s="60"/>
      <c r="U195" s="110"/>
      <c r="V195" s="112"/>
    </row>
    <row r="196" spans="1:22" x14ac:dyDescent="0.25">
      <c r="A196">
        <v>1497058416</v>
      </c>
      <c r="B196" s="37">
        <v>0.63147569570587803</v>
      </c>
      <c r="C196" s="64">
        <v>32111</v>
      </c>
      <c r="D196" s="64">
        <v>32111</v>
      </c>
      <c r="E196" s="32">
        <v>28754</v>
      </c>
      <c r="F196" s="64">
        <v>100</v>
      </c>
      <c r="G196" s="60">
        <v>20.769999999999982</v>
      </c>
      <c r="H196" s="64">
        <v>30000</v>
      </c>
      <c r="I196" s="60">
        <v>300</v>
      </c>
      <c r="J196" s="110">
        <v>24.38</v>
      </c>
      <c r="K196" s="112">
        <v>1.4991000000000001</v>
      </c>
      <c r="L196" s="60">
        <v>20.769999999999982</v>
      </c>
      <c r="M196" s="60">
        <f>_xlfn.XLOOKUP(A196,'[1]FRV Output'!$F:$F,'[1]FRV Output'!$BC:$BC)</f>
        <v>12.406472996987047</v>
      </c>
      <c r="N196" s="64"/>
      <c r="O196" s="64"/>
      <c r="R196" s="32"/>
      <c r="T196" s="60"/>
      <c r="U196" s="110"/>
      <c r="V196" s="112"/>
    </row>
    <row r="197" spans="1:22" x14ac:dyDescent="0.25">
      <c r="A197">
        <v>1497283899</v>
      </c>
      <c r="B197" s="37">
        <v>0.64867384119989835</v>
      </c>
      <c r="C197" s="64">
        <v>23909</v>
      </c>
      <c r="D197" s="64">
        <v>23909</v>
      </c>
      <c r="E197" s="32">
        <v>28337</v>
      </c>
      <c r="F197" s="64">
        <v>90</v>
      </c>
      <c r="G197" s="60">
        <v>30.630000000000109</v>
      </c>
      <c r="H197" s="64">
        <v>0</v>
      </c>
      <c r="I197" s="60">
        <v>0</v>
      </c>
      <c r="J197" s="110">
        <v>24.38</v>
      </c>
      <c r="K197" s="112">
        <v>1.0264</v>
      </c>
      <c r="L197" s="60">
        <v>30.630000000000109</v>
      </c>
      <c r="M197" s="60">
        <f>_xlfn.XLOOKUP(A197,'[1]FRV Output'!$F:$F,'[1]FRV Output'!$BC:$BC)</f>
        <v>10.123134622709697</v>
      </c>
      <c r="N197" s="64"/>
      <c r="O197" s="64"/>
      <c r="R197" s="32"/>
      <c r="T197" s="60"/>
      <c r="U197" s="110"/>
      <c r="V197" s="112"/>
    </row>
    <row r="198" spans="1:22" x14ac:dyDescent="0.25">
      <c r="A198">
        <v>1497996920</v>
      </c>
      <c r="B198" s="37">
        <v>0.6782113517550411</v>
      </c>
      <c r="C198" s="64">
        <v>44334</v>
      </c>
      <c r="D198" s="64">
        <v>44334</v>
      </c>
      <c r="E198" s="32">
        <v>27565</v>
      </c>
      <c r="F198" s="64">
        <v>160</v>
      </c>
      <c r="G198" s="60">
        <v>28.8599999999999</v>
      </c>
      <c r="H198" s="64">
        <v>39569.291316453717</v>
      </c>
      <c r="I198" s="60">
        <v>247.30807072783574</v>
      </c>
      <c r="J198" s="110">
        <v>7.879999999999999</v>
      </c>
      <c r="K198" s="112">
        <v>1.3619000000000001</v>
      </c>
      <c r="L198" s="60">
        <v>28.8599999999999</v>
      </c>
      <c r="M198" s="60">
        <f>_xlfn.XLOOKUP(A198,'[1]FRV Output'!$F:$F,'[1]FRV Output'!$BC:$BC)</f>
        <v>10.671116285438805</v>
      </c>
      <c r="N198" s="64"/>
      <c r="O198" s="64"/>
      <c r="R198" s="32"/>
      <c r="T198" s="60"/>
      <c r="U198" s="110"/>
      <c r="V198" s="112"/>
    </row>
    <row r="199" spans="1:22" x14ac:dyDescent="0.25">
      <c r="A199">
        <v>1508505660</v>
      </c>
      <c r="B199" s="37">
        <v>0.65658362989323849</v>
      </c>
      <c r="C199" s="64">
        <v>34952</v>
      </c>
      <c r="D199" s="64">
        <v>34952</v>
      </c>
      <c r="E199" s="32">
        <v>28777</v>
      </c>
      <c r="F199" s="64">
        <v>127</v>
      </c>
      <c r="G199" s="60">
        <v>31.950000000000045</v>
      </c>
      <c r="H199" s="64">
        <v>36079</v>
      </c>
      <c r="I199" s="60">
        <v>284.08661417322833</v>
      </c>
      <c r="J199" s="110">
        <v>24.38</v>
      </c>
      <c r="K199" s="112">
        <v>1.2188000000000001</v>
      </c>
      <c r="L199" s="60">
        <v>31.950000000000045</v>
      </c>
      <c r="M199" s="60">
        <f>_xlfn.XLOOKUP(A199,'[1]FRV Output'!$F:$F,'[1]FRV Output'!$BC:$BC)</f>
        <v>8.8072711782786737</v>
      </c>
      <c r="N199" s="64"/>
      <c r="O199" s="64"/>
      <c r="R199" s="32"/>
      <c r="T199" s="60"/>
      <c r="U199" s="110"/>
      <c r="V199" s="112"/>
    </row>
    <row r="200" spans="1:22" x14ac:dyDescent="0.25">
      <c r="A200">
        <v>1508802497</v>
      </c>
      <c r="B200" s="37">
        <v>0.60246821241585646</v>
      </c>
      <c r="C200" s="64">
        <v>57896</v>
      </c>
      <c r="D200" s="64">
        <v>57896</v>
      </c>
      <c r="E200" s="32">
        <v>27530</v>
      </c>
      <c r="F200" s="64">
        <v>200</v>
      </c>
      <c r="G200" s="60">
        <v>30.589999999999918</v>
      </c>
      <c r="H200" s="64">
        <v>65670</v>
      </c>
      <c r="I200" s="60">
        <v>328.35</v>
      </c>
      <c r="J200" s="110">
        <v>7.879999999999999</v>
      </c>
      <c r="K200" s="112">
        <v>1.2574000000000001</v>
      </c>
      <c r="L200" s="60">
        <v>30.589999999999918</v>
      </c>
      <c r="M200" s="60">
        <f>_xlfn.XLOOKUP(A200,'[1]FRV Output'!$F:$F,'[1]FRV Output'!$BC:$BC)</f>
        <v>10.029278444551622</v>
      </c>
      <c r="N200" s="64"/>
      <c r="O200" s="64"/>
      <c r="R200" s="32"/>
      <c r="T200" s="60"/>
      <c r="U200" s="110"/>
      <c r="V200" s="112"/>
    </row>
    <row r="201" spans="1:22" x14ac:dyDescent="0.25">
      <c r="A201">
        <v>1508842295</v>
      </c>
      <c r="B201" s="37">
        <v>0.61915501428356645</v>
      </c>
      <c r="C201" s="64">
        <v>30106</v>
      </c>
      <c r="D201" s="64">
        <v>30106</v>
      </c>
      <c r="E201" s="32">
        <v>28145</v>
      </c>
      <c r="F201" s="64">
        <v>97</v>
      </c>
      <c r="G201" s="60">
        <v>10.6400000000001</v>
      </c>
      <c r="H201" s="64">
        <v>56620.522264980762</v>
      </c>
      <c r="I201" s="60">
        <v>583.71672438124494</v>
      </c>
      <c r="J201" s="110">
        <v>24.38</v>
      </c>
      <c r="K201" s="112">
        <v>1.204</v>
      </c>
      <c r="L201" s="60">
        <v>10.6400000000001</v>
      </c>
      <c r="M201" s="60">
        <f>_xlfn.XLOOKUP(A201,'[1]FRV Output'!$F:$F,'[1]FRV Output'!$BC:$BC)</f>
        <v>28.323055266820756</v>
      </c>
      <c r="N201" s="64"/>
      <c r="O201" s="64"/>
      <c r="R201" s="32"/>
      <c r="T201" s="60"/>
      <c r="U201" s="110"/>
      <c r="V201" s="112"/>
    </row>
    <row r="202" spans="1:22" x14ac:dyDescent="0.25">
      <c r="A202">
        <v>1508864323</v>
      </c>
      <c r="B202" s="37">
        <v>0.68209901968860698</v>
      </c>
      <c r="C202" s="64">
        <v>40547</v>
      </c>
      <c r="D202" s="64">
        <v>40547</v>
      </c>
      <c r="E202" s="32">
        <v>28601</v>
      </c>
      <c r="F202" s="64">
        <v>120</v>
      </c>
      <c r="G202" s="60">
        <v>9.6500000000000909</v>
      </c>
      <c r="H202" s="64">
        <v>91244</v>
      </c>
      <c r="I202" s="60">
        <v>760.36666666666667</v>
      </c>
      <c r="J202" s="110">
        <v>24.38</v>
      </c>
      <c r="K202" s="112">
        <v>1.2061999999999999</v>
      </c>
      <c r="L202" s="60">
        <v>9.6500000000000909</v>
      </c>
      <c r="M202" s="60">
        <f>_xlfn.XLOOKUP(A202,'[1]FRV Output'!$F:$F,'[1]FRV Output'!$BC:$BC)</f>
        <v>31.121694212642058</v>
      </c>
      <c r="N202" s="64"/>
      <c r="O202" s="64"/>
      <c r="R202" s="32"/>
      <c r="T202" s="60"/>
      <c r="U202" s="110"/>
      <c r="V202" s="112"/>
    </row>
    <row r="203" spans="1:22" x14ac:dyDescent="0.25">
      <c r="A203">
        <v>1518088830</v>
      </c>
      <c r="B203" s="37">
        <v>0.68806250618138665</v>
      </c>
      <c r="C203" s="64">
        <v>43001</v>
      </c>
      <c r="D203" s="64">
        <v>43001</v>
      </c>
      <c r="E203" s="32">
        <v>27379</v>
      </c>
      <c r="F203" s="64">
        <v>157</v>
      </c>
      <c r="G203" s="60">
        <v>21.230000000000018</v>
      </c>
      <c r="H203" s="64">
        <v>49715.999999999993</v>
      </c>
      <c r="I203" s="60">
        <v>316.66242038216558</v>
      </c>
      <c r="J203" s="110">
        <v>7.879999999999999</v>
      </c>
      <c r="K203" s="112">
        <v>1.1393</v>
      </c>
      <c r="L203" s="60">
        <v>21.230000000000018</v>
      </c>
      <c r="M203" s="60">
        <f>_xlfn.XLOOKUP(A203,'[1]FRV Output'!$F:$F,'[1]FRV Output'!$BC:$BC)</f>
        <v>13.52932026277724</v>
      </c>
      <c r="N203" s="64"/>
      <c r="O203" s="64"/>
      <c r="R203" s="32"/>
      <c r="T203" s="60"/>
      <c r="U203" s="110"/>
      <c r="V203" s="112"/>
    </row>
    <row r="204" spans="1:22" x14ac:dyDescent="0.25">
      <c r="A204">
        <v>1518112036</v>
      </c>
      <c r="B204" s="37">
        <v>0.65</v>
      </c>
      <c r="C204" s="64">
        <v>40466</v>
      </c>
      <c r="D204" s="64">
        <v>40466</v>
      </c>
      <c r="E204" s="32">
        <v>27705</v>
      </c>
      <c r="F204" s="64">
        <v>138</v>
      </c>
      <c r="G204" s="60">
        <v>5.9400000000000546</v>
      </c>
      <c r="H204" s="64">
        <v>45517.328571428574</v>
      </c>
      <c r="I204" s="60">
        <v>329.83571428571429</v>
      </c>
      <c r="J204" s="110">
        <v>24.38</v>
      </c>
      <c r="K204" s="112">
        <v>1.0775999999999999</v>
      </c>
      <c r="L204" s="60">
        <v>5.9400000000000546</v>
      </c>
      <c r="M204" s="60">
        <f>_xlfn.XLOOKUP(A204,'[1]FRV Output'!$F:$F,'[1]FRV Output'!$BC:$BC)</f>
        <v>23.118833529893919</v>
      </c>
      <c r="N204" s="64"/>
      <c r="O204" s="64"/>
      <c r="R204" s="32"/>
      <c r="T204" s="60"/>
      <c r="U204" s="110"/>
      <c r="V204" s="112"/>
    </row>
    <row r="205" spans="1:22" x14ac:dyDescent="0.25">
      <c r="A205">
        <v>1518435650</v>
      </c>
      <c r="B205" s="37">
        <v>0.69462681409813409</v>
      </c>
      <c r="C205" s="64">
        <v>29561</v>
      </c>
      <c r="D205" s="64">
        <v>29561</v>
      </c>
      <c r="E205" s="32">
        <v>28212</v>
      </c>
      <c r="F205" s="64">
        <v>120</v>
      </c>
      <c r="G205" s="60">
        <v>6.0499999999999545</v>
      </c>
      <c r="H205" s="64">
        <v>83990</v>
      </c>
      <c r="I205" s="60">
        <v>699.91666666666663</v>
      </c>
      <c r="J205" s="110">
        <v>24.38</v>
      </c>
      <c r="K205" s="112">
        <v>1.1422000000000001</v>
      </c>
      <c r="L205" s="60">
        <v>6.0499999999999545</v>
      </c>
      <c r="M205" s="60">
        <f>_xlfn.XLOOKUP(A205,'[1]FRV Output'!$F:$F,'[1]FRV Output'!$BC:$BC)</f>
        <v>34.10360267356441</v>
      </c>
      <c r="N205" s="64"/>
      <c r="O205" s="64"/>
      <c r="R205" s="32"/>
      <c r="T205" s="60"/>
      <c r="U205" s="110"/>
      <c r="V205" s="112"/>
    </row>
    <row r="206" spans="1:22" x14ac:dyDescent="0.25">
      <c r="A206">
        <v>1518606664</v>
      </c>
      <c r="B206" s="37">
        <v>0.67282274126380592</v>
      </c>
      <c r="C206" s="64">
        <v>39593</v>
      </c>
      <c r="D206" s="64">
        <v>39593</v>
      </c>
      <c r="E206" s="32">
        <v>28093</v>
      </c>
      <c r="F206" s="64">
        <v>117</v>
      </c>
      <c r="G206" s="60">
        <v>18.170000000000073</v>
      </c>
      <c r="H206" s="64">
        <v>47048.744777536624</v>
      </c>
      <c r="I206" s="60">
        <v>402.12602373962926</v>
      </c>
      <c r="J206" s="110">
        <v>24.38</v>
      </c>
      <c r="K206" s="112">
        <v>1.3242</v>
      </c>
      <c r="L206" s="60">
        <v>18.170000000000073</v>
      </c>
      <c r="M206" s="60">
        <f>_xlfn.XLOOKUP(A206,'[1]FRV Output'!$F:$F,'[1]FRV Output'!$BC:$BC)</f>
        <v>15.43139415121964</v>
      </c>
      <c r="N206" s="64"/>
      <c r="O206" s="64"/>
      <c r="R206" s="32"/>
      <c r="T206" s="60"/>
      <c r="U206" s="110"/>
      <c r="V206" s="112"/>
    </row>
    <row r="207" spans="1:22" x14ac:dyDescent="0.25">
      <c r="A207">
        <v>1518968890</v>
      </c>
      <c r="B207" s="37">
        <v>0.69987522794893942</v>
      </c>
      <c r="C207" s="64">
        <v>18524</v>
      </c>
      <c r="D207" s="64">
        <v>18524</v>
      </c>
      <c r="E207" s="32">
        <v>27235</v>
      </c>
      <c r="F207" s="64">
        <v>60</v>
      </c>
      <c r="G207" s="60">
        <v>12.950000000000045</v>
      </c>
      <c r="H207" s="64">
        <v>0</v>
      </c>
      <c r="I207" s="60">
        <v>0</v>
      </c>
      <c r="J207" s="110">
        <v>0</v>
      </c>
      <c r="K207" s="112">
        <v>0.99880000000000002</v>
      </c>
      <c r="L207" s="60">
        <v>12.950000000000045</v>
      </c>
      <c r="M207" s="60">
        <f>_xlfn.XLOOKUP(A207,'[1]FRV Output'!$F:$F,'[1]FRV Output'!$BC:$BC)</f>
        <v>18.908633413693323</v>
      </c>
      <c r="N207" s="64"/>
      <c r="O207" s="64"/>
      <c r="R207" s="32"/>
      <c r="T207" s="60"/>
      <c r="U207" s="110"/>
      <c r="V207" s="112"/>
    </row>
    <row r="208" spans="1:22" x14ac:dyDescent="0.25">
      <c r="A208">
        <v>1528040888</v>
      </c>
      <c r="B208" s="37">
        <v>0.39681728344578482</v>
      </c>
      <c r="C208" s="64">
        <v>35907</v>
      </c>
      <c r="D208" s="64">
        <v>35907</v>
      </c>
      <c r="E208" s="32">
        <v>28359</v>
      </c>
      <c r="F208" s="64">
        <v>115</v>
      </c>
      <c r="G208" s="60">
        <v>9</v>
      </c>
      <c r="H208" s="64">
        <v>0</v>
      </c>
      <c r="I208" s="60">
        <v>0</v>
      </c>
      <c r="J208" s="110">
        <v>24.38</v>
      </c>
      <c r="K208" s="112">
        <v>1.1861999999999999</v>
      </c>
      <c r="L208" s="60">
        <v>9</v>
      </c>
      <c r="M208" s="60">
        <f>_xlfn.XLOOKUP(A208,'[1]FRV Output'!$F:$F,'[1]FRV Output'!$BC:$BC)</f>
        <v>21.669655572468464</v>
      </c>
      <c r="N208" s="64"/>
      <c r="O208" s="64"/>
      <c r="R208" s="32"/>
      <c r="T208" s="60"/>
      <c r="U208" s="110"/>
      <c r="V208" s="112"/>
    </row>
    <row r="209" spans="1:22" x14ac:dyDescent="0.25">
      <c r="A209">
        <v>1528044294</v>
      </c>
      <c r="B209" s="37">
        <v>0.67093191694833409</v>
      </c>
      <c r="C209" s="64">
        <v>27542</v>
      </c>
      <c r="D209" s="64">
        <v>27542</v>
      </c>
      <c r="E209" s="32">
        <v>28786</v>
      </c>
      <c r="F209" s="64">
        <v>90</v>
      </c>
      <c r="G209" s="60">
        <v>19.099999999999909</v>
      </c>
      <c r="H209" s="64">
        <v>42841.028416779431</v>
      </c>
      <c r="I209" s="60">
        <v>476.01142685310481</v>
      </c>
      <c r="J209" s="110">
        <v>24.38</v>
      </c>
      <c r="K209" s="112">
        <v>1.27</v>
      </c>
      <c r="L209" s="60">
        <v>19.099999999999909</v>
      </c>
      <c r="M209" s="60">
        <f>_xlfn.XLOOKUP(A209,'[1]FRV Output'!$F:$F,'[1]FRV Output'!$BC:$BC)</f>
        <v>18.73037488005987</v>
      </c>
      <c r="N209" s="64"/>
      <c r="O209" s="64"/>
      <c r="R209" s="32"/>
      <c r="T209" s="60"/>
      <c r="U209" s="110"/>
      <c r="V209" s="112"/>
    </row>
    <row r="210" spans="1:22" x14ac:dyDescent="0.25">
      <c r="A210">
        <v>1528505757</v>
      </c>
      <c r="B210" s="37">
        <v>0.60266691533010075</v>
      </c>
      <c r="C210" s="64">
        <v>15844</v>
      </c>
      <c r="D210" s="64">
        <v>15844</v>
      </c>
      <c r="E210" s="32">
        <v>27874</v>
      </c>
      <c r="F210" s="64">
        <v>62</v>
      </c>
      <c r="G210" s="60">
        <v>18.029999999999973</v>
      </c>
      <c r="H210" s="64">
        <v>16419</v>
      </c>
      <c r="I210" s="60">
        <v>264.82258064516128</v>
      </c>
      <c r="J210" s="110">
        <v>24.38</v>
      </c>
      <c r="K210" s="112">
        <v>1.1302000000000001</v>
      </c>
      <c r="L210" s="60">
        <v>18.029999999999973</v>
      </c>
      <c r="M210" s="60">
        <f>_xlfn.XLOOKUP(A210,'[1]FRV Output'!$F:$F,'[1]FRV Output'!$BC:$BC)</f>
        <v>16.402763762777251</v>
      </c>
      <c r="N210" s="64"/>
      <c r="O210" s="64"/>
      <c r="R210" s="32"/>
      <c r="T210" s="60"/>
      <c r="U210" s="110"/>
      <c r="V210" s="112"/>
    </row>
    <row r="211" spans="1:22" x14ac:dyDescent="0.25">
      <c r="A211">
        <v>1528544145</v>
      </c>
      <c r="B211" s="37">
        <v>0.59949904992226632</v>
      </c>
      <c r="C211" s="64">
        <v>33827</v>
      </c>
      <c r="D211" s="64">
        <v>33827</v>
      </c>
      <c r="E211" s="32">
        <v>28374</v>
      </c>
      <c r="F211" s="64">
        <v>120</v>
      </c>
      <c r="G211" s="60">
        <v>19.710000000000036</v>
      </c>
      <c r="H211" s="64">
        <v>0</v>
      </c>
      <c r="I211" s="60">
        <v>0</v>
      </c>
      <c r="J211" s="110">
        <v>24.38</v>
      </c>
      <c r="K211" s="112">
        <v>1.4198999999999999</v>
      </c>
      <c r="L211" s="60">
        <v>19.710000000000036</v>
      </c>
      <c r="M211" s="60">
        <f>_xlfn.XLOOKUP(A211,'[1]FRV Output'!$F:$F,'[1]FRV Output'!$BC:$BC)</f>
        <v>16.05413378013499</v>
      </c>
      <c r="N211" s="64"/>
      <c r="O211" s="64"/>
      <c r="R211" s="32"/>
      <c r="T211" s="60"/>
      <c r="U211" s="110"/>
      <c r="V211" s="112"/>
    </row>
    <row r="212" spans="1:22" x14ac:dyDescent="0.25">
      <c r="A212">
        <v>1528606225</v>
      </c>
      <c r="B212" s="37">
        <v>0.56608584785380367</v>
      </c>
      <c r="C212" s="64">
        <v>44728</v>
      </c>
      <c r="D212" s="64">
        <v>35743.336244541482</v>
      </c>
      <c r="E212" s="32">
        <v>28659</v>
      </c>
      <c r="F212" s="64">
        <v>111</v>
      </c>
      <c r="G212" s="60">
        <v>4.9800000000000182</v>
      </c>
      <c r="H212" s="64">
        <v>54034.8</v>
      </c>
      <c r="I212" s="60">
        <v>486.8</v>
      </c>
      <c r="J212" s="110">
        <v>24.38</v>
      </c>
      <c r="K212" s="112">
        <v>1.4137999999999999</v>
      </c>
      <c r="L212" s="60">
        <v>4.9800000000000182</v>
      </c>
      <c r="M212" s="60">
        <f>_xlfn.XLOOKUP(A212,'[1]FRV Output'!$F:$F,'[1]FRV Output'!$BC:$BC)</f>
        <v>24.70391113893762</v>
      </c>
      <c r="N212" s="64"/>
      <c r="O212" s="64"/>
      <c r="R212" s="32"/>
      <c r="T212" s="60"/>
      <c r="U212" s="110"/>
      <c r="V212" s="112"/>
    </row>
    <row r="213" spans="1:22" x14ac:dyDescent="0.25">
      <c r="A213">
        <v>1538113014</v>
      </c>
      <c r="B213" s="37">
        <v>0.66956746510425635</v>
      </c>
      <c r="C213" s="64">
        <v>33222</v>
      </c>
      <c r="D213" s="64">
        <v>33222</v>
      </c>
      <c r="E213" s="32">
        <v>28472</v>
      </c>
      <c r="F213" s="64">
        <v>107</v>
      </c>
      <c r="G213" s="60">
        <v>15.650000000000091</v>
      </c>
      <c r="H213" s="64">
        <v>55077.152477253607</v>
      </c>
      <c r="I213" s="60">
        <v>514.7397427780711</v>
      </c>
      <c r="J213" s="110">
        <v>24.38</v>
      </c>
      <c r="K213" s="112">
        <v>1.0662</v>
      </c>
      <c r="L213" s="60">
        <v>15.650000000000091</v>
      </c>
      <c r="M213" s="60">
        <f>_xlfn.XLOOKUP(A213,'[1]FRV Output'!$F:$F,'[1]FRV Output'!$BC:$BC)</f>
        <v>21.133211128293411</v>
      </c>
      <c r="N213" s="64"/>
      <c r="O213" s="64"/>
      <c r="R213" s="32"/>
      <c r="T213" s="60"/>
      <c r="U213" s="110"/>
      <c r="V213" s="112"/>
    </row>
    <row r="214" spans="1:22" x14ac:dyDescent="0.25">
      <c r="A214">
        <v>1538137468</v>
      </c>
      <c r="B214" s="37">
        <v>0.25893180347290018</v>
      </c>
      <c r="C214" s="64">
        <v>11875</v>
      </c>
      <c r="D214" s="64">
        <v>11875</v>
      </c>
      <c r="E214" s="32">
        <v>28425</v>
      </c>
      <c r="F214" s="64">
        <v>43</v>
      </c>
      <c r="G214" s="60">
        <v>26.480000000000018</v>
      </c>
      <c r="H214" s="64">
        <v>0</v>
      </c>
      <c r="I214" s="60">
        <v>0</v>
      </c>
      <c r="J214" s="110">
        <v>24.38</v>
      </c>
      <c r="K214" s="112">
        <v>0.94769999999999999</v>
      </c>
      <c r="L214" s="60">
        <v>26.480000000000018</v>
      </c>
      <c r="M214" s="60">
        <f>_xlfn.XLOOKUP(A214,'[1]FRV Output'!$F:$F,'[1]FRV Output'!$BC:$BC)</f>
        <v>11.304343352941167</v>
      </c>
      <c r="N214" s="64"/>
      <c r="O214" s="64"/>
      <c r="R214" s="32"/>
      <c r="T214" s="60"/>
      <c r="U214" s="110"/>
      <c r="V214" s="112"/>
    </row>
    <row r="215" spans="1:22" x14ac:dyDescent="0.25">
      <c r="A215">
        <v>1538808340</v>
      </c>
      <c r="B215" s="37">
        <v>0.66233555302907265</v>
      </c>
      <c r="C215" s="64">
        <v>30395</v>
      </c>
      <c r="D215" s="64">
        <v>30395</v>
      </c>
      <c r="E215" s="32">
        <v>28025</v>
      </c>
      <c r="F215" s="64">
        <v>90</v>
      </c>
      <c r="G215" s="60">
        <v>22.279999999999973</v>
      </c>
      <c r="H215" s="64">
        <v>35257</v>
      </c>
      <c r="I215" s="60">
        <v>391.74444444444447</v>
      </c>
      <c r="J215" s="110">
        <v>24.38</v>
      </c>
      <c r="K215" s="112">
        <v>1.3851</v>
      </c>
      <c r="L215" s="60">
        <v>22.279999999999973</v>
      </c>
      <c r="M215" s="60">
        <f>_xlfn.XLOOKUP(A215,'[1]FRV Output'!$F:$F,'[1]FRV Output'!$BC:$BC)</f>
        <v>13.528042134931248</v>
      </c>
      <c r="N215" s="64"/>
      <c r="O215" s="64"/>
      <c r="R215" s="32"/>
      <c r="T215" s="60"/>
      <c r="U215" s="110"/>
      <c r="V215" s="112"/>
    </row>
    <row r="216" spans="1:22" x14ac:dyDescent="0.25">
      <c r="A216">
        <v>1548206907</v>
      </c>
      <c r="B216" s="37">
        <v>0.60215479679949302</v>
      </c>
      <c r="C216" s="64">
        <v>33857</v>
      </c>
      <c r="D216" s="64">
        <v>33857</v>
      </c>
      <c r="E216" s="32">
        <v>28709</v>
      </c>
      <c r="F216" s="64">
        <v>120</v>
      </c>
      <c r="G216" s="60">
        <v>1.8800000000001091</v>
      </c>
      <c r="H216" s="64">
        <v>50892</v>
      </c>
      <c r="I216" s="60">
        <v>424.1</v>
      </c>
      <c r="J216" s="110">
        <v>24.38</v>
      </c>
      <c r="K216" s="112">
        <v>1.1869000000000001</v>
      </c>
      <c r="L216" s="60">
        <v>1.8800000000001091</v>
      </c>
      <c r="M216" s="60">
        <f>_xlfn.XLOOKUP(A216,'[1]FRV Output'!$F:$F,'[1]FRV Output'!$BC:$BC)</f>
        <v>23.318167424903603</v>
      </c>
      <c r="N216" s="64"/>
      <c r="O216" s="64"/>
      <c r="R216" s="32"/>
      <c r="T216" s="60"/>
      <c r="U216" s="110"/>
      <c r="V216" s="112"/>
    </row>
    <row r="217" spans="1:22" x14ac:dyDescent="0.25">
      <c r="A217">
        <v>1548230188</v>
      </c>
      <c r="B217" s="37">
        <v>0.7354962721342031</v>
      </c>
      <c r="C217" s="64">
        <v>28495</v>
      </c>
      <c r="D217" s="64">
        <v>28495</v>
      </c>
      <c r="E217" s="32">
        <v>27407</v>
      </c>
      <c r="F217" s="64">
        <v>88</v>
      </c>
      <c r="G217" s="60">
        <v>23</v>
      </c>
      <c r="H217" s="64">
        <v>0</v>
      </c>
      <c r="I217" s="60">
        <v>0</v>
      </c>
      <c r="J217" s="110">
        <v>0</v>
      </c>
      <c r="K217" s="112">
        <v>0.87509999999999999</v>
      </c>
      <c r="L217" s="60">
        <v>23</v>
      </c>
      <c r="M217" s="60">
        <f>_xlfn.XLOOKUP(A217,'[1]FRV Output'!$F:$F,'[1]FRV Output'!$BC:$BC)</f>
        <v>13.281780676434462</v>
      </c>
      <c r="N217" s="64"/>
      <c r="O217" s="64"/>
      <c r="R217" s="32"/>
      <c r="T217" s="60"/>
      <c r="U217" s="110"/>
      <c r="V217" s="112"/>
    </row>
    <row r="218" spans="1:22" x14ac:dyDescent="0.25">
      <c r="A218">
        <v>1548293988</v>
      </c>
      <c r="B218" s="37">
        <v>0.53781512605042014</v>
      </c>
      <c r="C218" s="64">
        <v>15056</v>
      </c>
      <c r="D218" s="64">
        <v>15056</v>
      </c>
      <c r="E218" s="32">
        <v>28732</v>
      </c>
      <c r="F218" s="64">
        <v>50</v>
      </c>
      <c r="G218" s="60">
        <v>7.4200000000000728</v>
      </c>
      <c r="H218" s="64">
        <v>34781</v>
      </c>
      <c r="I218" s="60">
        <v>695.62</v>
      </c>
      <c r="J218" s="110">
        <v>24.38</v>
      </c>
      <c r="K218" s="112">
        <v>1.5302</v>
      </c>
      <c r="L218" s="60">
        <v>7.4200000000000728</v>
      </c>
      <c r="M218" s="60">
        <f>_xlfn.XLOOKUP(A218,'[1]FRV Output'!$F:$F,'[1]FRV Output'!$BC:$BC)</f>
        <v>34.479711926422802</v>
      </c>
      <c r="N218" s="64"/>
      <c r="O218" s="64"/>
      <c r="R218" s="32"/>
      <c r="T218" s="60"/>
      <c r="U218" s="110"/>
      <c r="V218" s="112"/>
    </row>
    <row r="219" spans="1:22" x14ac:dyDescent="0.25">
      <c r="A219">
        <v>1548696834</v>
      </c>
      <c r="B219" s="37">
        <v>0.6325340903330462</v>
      </c>
      <c r="C219" s="64">
        <v>16628</v>
      </c>
      <c r="D219" s="64">
        <v>16628</v>
      </c>
      <c r="E219" s="32">
        <v>28374</v>
      </c>
      <c r="F219" s="64">
        <v>60</v>
      </c>
      <c r="G219" s="60">
        <v>19.339999999999918</v>
      </c>
      <c r="H219" s="64">
        <v>34857.427555781251</v>
      </c>
      <c r="I219" s="60">
        <v>580.95712592968755</v>
      </c>
      <c r="J219" s="110">
        <v>0</v>
      </c>
      <c r="K219" s="112">
        <v>1.1353</v>
      </c>
      <c r="L219" s="60">
        <v>19.339999999999918</v>
      </c>
      <c r="M219" s="60">
        <f>_xlfn.XLOOKUP(A219,'[1]FRV Output'!$F:$F,'[1]FRV Output'!$BC:$BC)</f>
        <v>22.922299111485032</v>
      </c>
      <c r="N219" s="64"/>
      <c r="O219" s="64"/>
      <c r="R219" s="32"/>
      <c r="T219" s="60"/>
      <c r="U219" s="110"/>
      <c r="V219" s="112"/>
    </row>
    <row r="220" spans="1:22" x14ac:dyDescent="0.25">
      <c r="A220">
        <v>1548770423</v>
      </c>
      <c r="B220" s="37">
        <v>0.55437946546705474</v>
      </c>
      <c r="C220" s="64">
        <v>27352</v>
      </c>
      <c r="D220" s="64">
        <v>27352</v>
      </c>
      <c r="E220" s="32">
        <v>28461</v>
      </c>
      <c r="F220" s="64">
        <v>99</v>
      </c>
      <c r="G220" s="60">
        <v>23.099999999999909</v>
      </c>
      <c r="H220" s="64">
        <v>38820.450025726779</v>
      </c>
      <c r="I220" s="60">
        <v>392.12575783562403</v>
      </c>
      <c r="J220" s="110">
        <v>24.38</v>
      </c>
      <c r="K220" s="112">
        <v>1.0585</v>
      </c>
      <c r="L220" s="60">
        <v>23.099999999999909</v>
      </c>
      <c r="M220" s="60">
        <f>_xlfn.XLOOKUP(A220,'[1]FRV Output'!$F:$F,'[1]FRV Output'!$BC:$BC)</f>
        <v>13.894594069707637</v>
      </c>
      <c r="N220" s="64"/>
      <c r="O220" s="64"/>
      <c r="R220" s="32"/>
      <c r="T220" s="60"/>
      <c r="U220" s="110"/>
      <c r="V220" s="112"/>
    </row>
    <row r="221" spans="1:22" x14ac:dyDescent="0.25">
      <c r="A221">
        <v>1558029488</v>
      </c>
      <c r="B221" s="37">
        <v>0.6858688431242288</v>
      </c>
      <c r="C221" s="64">
        <v>32262</v>
      </c>
      <c r="D221" s="64">
        <v>32262</v>
      </c>
      <c r="E221" s="32">
        <v>28714</v>
      </c>
      <c r="F221" s="64">
        <v>140</v>
      </c>
      <c r="G221" s="60">
        <v>34.5</v>
      </c>
      <c r="H221" s="64">
        <v>0</v>
      </c>
      <c r="I221" s="60">
        <v>0</v>
      </c>
      <c r="J221" s="110">
        <v>24.38</v>
      </c>
      <c r="K221" s="112">
        <v>1.2189000000000001</v>
      </c>
      <c r="L221" s="60">
        <v>44.369999999999891</v>
      </c>
      <c r="M221" s="60">
        <f>_xlfn.XLOOKUP(A221,'[1]FRV Output'!$F:$F,'[1]FRV Output'!$BC:$BC)</f>
        <v>7.9301163934426215</v>
      </c>
      <c r="N221" s="64"/>
      <c r="O221" s="64"/>
      <c r="R221" s="32"/>
      <c r="T221" s="60"/>
      <c r="U221" s="110"/>
      <c r="V221" s="112"/>
    </row>
    <row r="222" spans="1:22" x14ac:dyDescent="0.25">
      <c r="A222">
        <v>1558391250</v>
      </c>
      <c r="B222" s="37">
        <v>0.57334132693844919</v>
      </c>
      <c r="C222" s="64">
        <v>17480</v>
      </c>
      <c r="D222" s="64">
        <v>17480</v>
      </c>
      <c r="E222" s="32">
        <v>27874</v>
      </c>
      <c r="F222" s="64">
        <v>60</v>
      </c>
      <c r="G222" s="60">
        <v>27.950000000000045</v>
      </c>
      <c r="H222" s="64">
        <v>30440.402732527589</v>
      </c>
      <c r="I222" s="60">
        <v>507.34004554212646</v>
      </c>
      <c r="J222" s="110">
        <v>24.38</v>
      </c>
      <c r="K222" s="112">
        <v>1.2323999999999999</v>
      </c>
      <c r="L222" s="60">
        <v>27.950000000000045</v>
      </c>
      <c r="M222" s="60">
        <f>_xlfn.XLOOKUP(A222,'[1]FRV Output'!$F:$F,'[1]FRV Output'!$BC:$BC)</f>
        <v>14.981553541695146</v>
      </c>
      <c r="N222" s="64"/>
      <c r="O222" s="64"/>
      <c r="R222" s="32"/>
      <c r="T222" s="60"/>
      <c r="U222" s="110"/>
      <c r="V222" s="112"/>
    </row>
    <row r="223" spans="1:22" x14ac:dyDescent="0.25">
      <c r="A223">
        <v>1558393835</v>
      </c>
      <c r="B223" s="37">
        <v>0.59681908548707752</v>
      </c>
      <c r="C223" s="64">
        <v>32729</v>
      </c>
      <c r="D223" s="64">
        <v>32729</v>
      </c>
      <c r="E223" s="32">
        <v>28540</v>
      </c>
      <c r="F223" s="64">
        <v>120</v>
      </c>
      <c r="G223" s="60">
        <v>23.869999999999891</v>
      </c>
      <c r="H223" s="64">
        <v>43828</v>
      </c>
      <c r="I223" s="60">
        <v>365.23333333333335</v>
      </c>
      <c r="J223" s="110">
        <v>24.38</v>
      </c>
      <c r="K223" s="112">
        <v>1.2364999999999999</v>
      </c>
      <c r="L223" s="60">
        <v>23.869999999999891</v>
      </c>
      <c r="M223" s="60">
        <f>_xlfn.XLOOKUP(A223,'[1]FRV Output'!$F:$F,'[1]FRV Output'!$BC:$BC)</f>
        <v>12.673367943587257</v>
      </c>
      <c r="N223" s="64"/>
      <c r="O223" s="64"/>
      <c r="R223" s="32"/>
      <c r="T223" s="60"/>
      <c r="U223" s="110"/>
      <c r="V223" s="112"/>
    </row>
    <row r="224" spans="1:22" x14ac:dyDescent="0.25">
      <c r="A224">
        <v>1558872333</v>
      </c>
      <c r="B224" s="37">
        <v>0.65</v>
      </c>
      <c r="C224" s="64">
        <v>29713</v>
      </c>
      <c r="D224" s="64">
        <v>29713</v>
      </c>
      <c r="E224" s="32">
        <v>28420</v>
      </c>
      <c r="F224" s="64">
        <v>100</v>
      </c>
      <c r="G224" s="60">
        <v>3.7599999999999909</v>
      </c>
      <c r="H224" s="64">
        <v>64400</v>
      </c>
      <c r="I224" s="60">
        <v>644</v>
      </c>
      <c r="J224" s="110">
        <v>24.38</v>
      </c>
      <c r="K224" s="112">
        <v>1.0624</v>
      </c>
      <c r="L224" s="60">
        <v>3.7599999999999909</v>
      </c>
      <c r="M224" s="60">
        <f>_xlfn.XLOOKUP(A224,'[1]FRV Output'!$F:$F,'[1]FRV Output'!$BC:$BC)</f>
        <v>34.261715024648026</v>
      </c>
      <c r="N224" s="64"/>
      <c r="O224" s="64"/>
      <c r="R224" s="32"/>
      <c r="T224" s="60"/>
      <c r="U224" s="110"/>
      <c r="V224" s="112"/>
    </row>
    <row r="225" spans="1:22" x14ac:dyDescent="0.25">
      <c r="A225">
        <v>1568127488</v>
      </c>
      <c r="B225" s="37">
        <v>0.66011773362766746</v>
      </c>
      <c r="C225" s="64">
        <v>44382</v>
      </c>
      <c r="D225" s="64">
        <v>44382</v>
      </c>
      <c r="E225" s="32">
        <v>28027</v>
      </c>
      <c r="F225" s="64">
        <v>160</v>
      </c>
      <c r="G225" s="60">
        <v>34.5</v>
      </c>
      <c r="H225" s="64">
        <v>0</v>
      </c>
      <c r="I225" s="60">
        <v>0</v>
      </c>
      <c r="J225" s="110">
        <v>7.879999999999999</v>
      </c>
      <c r="K225" s="112">
        <v>1.3033999999999999</v>
      </c>
      <c r="L225" s="60">
        <v>34.8900000000001</v>
      </c>
      <c r="M225" s="60">
        <f>_xlfn.XLOOKUP(A225,'[1]FRV Output'!$F:$F,'[1]FRV Output'!$BC:$BC)</f>
        <v>8.103950337512055</v>
      </c>
      <c r="N225" s="64"/>
      <c r="O225" s="64"/>
      <c r="R225" s="32"/>
      <c r="T225" s="60"/>
      <c r="U225" s="110"/>
      <c r="V225" s="112"/>
    </row>
    <row r="226" spans="1:22" x14ac:dyDescent="0.25">
      <c r="A226">
        <v>1568454262</v>
      </c>
      <c r="B226" s="37">
        <v>0.58735689397710311</v>
      </c>
      <c r="C226" s="64">
        <v>33449</v>
      </c>
      <c r="D226" s="64">
        <v>33449</v>
      </c>
      <c r="E226" s="32">
        <v>27106</v>
      </c>
      <c r="F226" s="64">
        <v>100</v>
      </c>
      <c r="G226" s="60">
        <v>5.1900000000000546</v>
      </c>
      <c r="H226" s="64">
        <v>0</v>
      </c>
      <c r="I226" s="60">
        <v>0</v>
      </c>
      <c r="J226" s="110">
        <v>0</v>
      </c>
      <c r="K226" s="112">
        <v>1.0239</v>
      </c>
      <c r="L226" s="60">
        <v>5.1900000000000546</v>
      </c>
      <c r="M226" s="60">
        <f>_xlfn.XLOOKUP(A226,'[1]FRV Output'!$F:$F,'[1]FRV Output'!$BC:$BC)</f>
        <v>21.662935953242261</v>
      </c>
      <c r="N226" s="64"/>
      <c r="O226" s="64"/>
      <c r="R226" s="32"/>
      <c r="T226" s="60"/>
      <c r="U226" s="110"/>
      <c r="V226" s="112"/>
    </row>
    <row r="227" spans="1:22" x14ac:dyDescent="0.25">
      <c r="A227">
        <v>1578013876</v>
      </c>
      <c r="B227" s="37">
        <v>0.62302144797227688</v>
      </c>
      <c r="C227" s="64">
        <v>27680</v>
      </c>
      <c r="D227" s="64">
        <v>27680</v>
      </c>
      <c r="E227" s="32">
        <v>28739</v>
      </c>
      <c r="F227" s="64">
        <v>150</v>
      </c>
      <c r="G227" s="60">
        <v>34.5</v>
      </c>
      <c r="H227" s="64">
        <v>38870</v>
      </c>
      <c r="I227" s="60">
        <v>259.13333333333333</v>
      </c>
      <c r="J227" s="110">
        <v>24.38</v>
      </c>
      <c r="K227" s="112">
        <v>1.0764</v>
      </c>
      <c r="L227" s="60">
        <v>35.420000000000073</v>
      </c>
      <c r="M227" s="60">
        <f>_xlfn.XLOOKUP(A227,'[1]FRV Output'!$F:$F,'[1]FRV Output'!$BC:$BC)</f>
        <v>7.9301163934426206</v>
      </c>
      <c r="N227" s="64"/>
      <c r="O227" s="64"/>
      <c r="R227" s="32"/>
      <c r="T227" s="60"/>
      <c r="U227" s="110"/>
      <c r="V227" s="112"/>
    </row>
    <row r="228" spans="1:22" x14ac:dyDescent="0.25">
      <c r="A228">
        <v>1578059085</v>
      </c>
      <c r="B228" s="37">
        <v>0.61728946897908099</v>
      </c>
      <c r="C228" s="64">
        <v>21713</v>
      </c>
      <c r="D228" s="64">
        <v>21713</v>
      </c>
      <c r="E228" s="32">
        <v>28804</v>
      </c>
      <c r="F228" s="64">
        <v>77</v>
      </c>
      <c r="G228" s="60">
        <v>25.819999999999936</v>
      </c>
      <c r="H228" s="64">
        <v>30026</v>
      </c>
      <c r="I228" s="60">
        <v>389.94805194805195</v>
      </c>
      <c r="J228" s="110">
        <v>24.38</v>
      </c>
      <c r="K228" s="112">
        <v>0.99829999999999997</v>
      </c>
      <c r="L228" s="60">
        <v>25.819999999999936</v>
      </c>
      <c r="M228" s="60">
        <f>_xlfn.XLOOKUP(A228,'[1]FRV Output'!$F:$F,'[1]FRV Output'!$BC:$BC)</f>
        <v>12.418335558294515</v>
      </c>
      <c r="N228" s="64"/>
      <c r="O228" s="64"/>
      <c r="R228" s="32"/>
      <c r="T228" s="60"/>
      <c r="U228" s="110"/>
      <c r="V228" s="112"/>
    </row>
    <row r="229" spans="1:22" x14ac:dyDescent="0.25">
      <c r="A229">
        <v>1578683439</v>
      </c>
      <c r="B229" s="37">
        <v>0.66529898943849242</v>
      </c>
      <c r="C229" s="64">
        <v>0</v>
      </c>
      <c r="D229" s="64">
        <v>0</v>
      </c>
      <c r="E229" s="32">
        <v>27713</v>
      </c>
      <c r="F229" s="64">
        <v>140</v>
      </c>
      <c r="G229" s="60">
        <v>8.3499999999999091</v>
      </c>
      <c r="H229" s="64">
        <v>60484</v>
      </c>
      <c r="I229" s="60">
        <v>432.02857142857141</v>
      </c>
      <c r="J229" s="110">
        <v>24.38</v>
      </c>
      <c r="K229" s="112">
        <v>1.2793000000000001</v>
      </c>
      <c r="L229" s="60">
        <v>8.3499999999999091</v>
      </c>
      <c r="M229" s="60">
        <f>_xlfn.XLOOKUP(A229,'[1]FRV Output'!$F:$F,'[1]FRV Output'!$BC:$BC)</f>
        <v>22.613854604765162</v>
      </c>
      <c r="N229" s="64"/>
      <c r="O229" s="64"/>
      <c r="R229" s="32"/>
      <c r="T229" s="60"/>
      <c r="U229" s="110"/>
      <c r="V229" s="112"/>
    </row>
    <row r="230" spans="1:22" x14ac:dyDescent="0.25">
      <c r="A230">
        <v>1578715504</v>
      </c>
      <c r="B230" s="37">
        <v>0.74766251113089932</v>
      </c>
      <c r="C230" s="64">
        <v>35232</v>
      </c>
      <c r="D230" s="64">
        <v>35232</v>
      </c>
      <c r="E230" s="32">
        <v>28731</v>
      </c>
      <c r="F230" s="64">
        <v>130</v>
      </c>
      <c r="G230" s="60">
        <v>12.829999999999927</v>
      </c>
      <c r="H230" s="64">
        <v>50470</v>
      </c>
      <c r="I230" s="60">
        <v>388.23076923076923</v>
      </c>
      <c r="J230" s="110">
        <v>24.38</v>
      </c>
      <c r="K230" s="112">
        <v>1.5350999999999999</v>
      </c>
      <c r="L230" s="60">
        <v>12.829999999999927</v>
      </c>
      <c r="M230" s="60">
        <f>_xlfn.XLOOKUP(A230,'[1]FRV Output'!$F:$F,'[1]FRV Output'!$BC:$BC)</f>
        <v>18.014823685631587</v>
      </c>
      <c r="N230" s="64"/>
      <c r="O230" s="64"/>
      <c r="R230" s="32"/>
      <c r="T230" s="60"/>
      <c r="U230" s="110"/>
      <c r="V230" s="112"/>
    </row>
    <row r="231" spans="1:22" x14ac:dyDescent="0.25">
      <c r="A231">
        <v>1588219828</v>
      </c>
      <c r="B231" s="37">
        <v>0.64852477800057295</v>
      </c>
      <c r="C231" s="64">
        <v>27353</v>
      </c>
      <c r="D231" s="64">
        <v>27353</v>
      </c>
      <c r="E231" s="32">
        <v>28337</v>
      </c>
      <c r="F231" s="64">
        <v>94</v>
      </c>
      <c r="G231" s="60">
        <v>34.5</v>
      </c>
      <c r="H231" s="64">
        <v>52816</v>
      </c>
      <c r="I231" s="60">
        <v>561.87234042553189</v>
      </c>
      <c r="J231" s="110">
        <v>24.38</v>
      </c>
      <c r="K231" s="112">
        <v>1.1687000000000001</v>
      </c>
      <c r="L231" s="60">
        <v>38.829999999999927</v>
      </c>
      <c r="M231" s="60">
        <f>_xlfn.XLOOKUP(A231,'[1]FRV Output'!$F:$F,'[1]FRV Output'!$BC:$BC)</f>
        <v>9.8932265783240787</v>
      </c>
      <c r="N231" s="64"/>
      <c r="O231" s="64"/>
      <c r="R231" s="32"/>
      <c r="T231" s="60"/>
      <c r="U231" s="110"/>
      <c r="V231" s="112"/>
    </row>
    <row r="232" spans="1:22" x14ac:dyDescent="0.25">
      <c r="A232">
        <v>1588618045</v>
      </c>
      <c r="B232" s="37">
        <v>0.59930915371329874</v>
      </c>
      <c r="C232" s="64">
        <v>16821</v>
      </c>
      <c r="D232" s="64">
        <v>16821</v>
      </c>
      <c r="E232" s="32">
        <v>28342</v>
      </c>
      <c r="F232" s="64">
        <v>58</v>
      </c>
      <c r="G232" s="60">
        <v>34.5</v>
      </c>
      <c r="H232" s="64">
        <v>17305</v>
      </c>
      <c r="I232" s="60">
        <v>298.36206896551727</v>
      </c>
      <c r="J232" s="110">
        <v>24.38</v>
      </c>
      <c r="K232" s="112">
        <v>1.1657999999999999</v>
      </c>
      <c r="L232" s="60">
        <v>46.079999999999927</v>
      </c>
      <c r="M232" s="60">
        <f>_xlfn.XLOOKUP(A232,'[1]FRV Output'!$F:$F,'[1]FRV Output'!$BC:$BC)</f>
        <v>8.103950337512055</v>
      </c>
      <c r="N232" s="64"/>
      <c r="O232" s="64"/>
      <c r="R232" s="32"/>
      <c r="T232" s="60"/>
      <c r="U232" s="110"/>
      <c r="V232" s="112"/>
    </row>
    <row r="233" spans="1:22" x14ac:dyDescent="0.25">
      <c r="A233">
        <v>1588642102</v>
      </c>
      <c r="B233" s="37">
        <v>0.67825719120135364</v>
      </c>
      <c r="C233" s="64">
        <v>35451</v>
      </c>
      <c r="D233" s="64">
        <v>35451</v>
      </c>
      <c r="E233" s="32">
        <v>27370</v>
      </c>
      <c r="F233" s="64">
        <v>128</v>
      </c>
      <c r="G233" s="60">
        <v>11.6400000000001</v>
      </c>
      <c r="H233" s="64">
        <v>0</v>
      </c>
      <c r="I233" s="60">
        <v>0</v>
      </c>
      <c r="J233" s="110">
        <v>24.38</v>
      </c>
      <c r="K233" s="112">
        <v>1.2859</v>
      </c>
      <c r="L233" s="60">
        <v>11.6400000000001</v>
      </c>
      <c r="M233" s="60">
        <f>_xlfn.XLOOKUP(A233,'[1]FRV Output'!$F:$F,'[1]FRV Output'!$BC:$BC)</f>
        <v>19.24222138862099</v>
      </c>
      <c r="N233" s="64"/>
      <c r="O233" s="64"/>
      <c r="R233" s="32"/>
      <c r="T233" s="60"/>
      <c r="U233" s="110"/>
      <c r="V233" s="112"/>
    </row>
    <row r="234" spans="1:22" x14ac:dyDescent="0.25">
      <c r="A234">
        <v>1588805014</v>
      </c>
      <c r="B234" s="37">
        <v>0.65</v>
      </c>
      <c r="C234" s="64">
        <v>31399</v>
      </c>
      <c r="D234" s="64">
        <v>31399</v>
      </c>
      <c r="E234" s="32">
        <v>27526</v>
      </c>
      <c r="F234" s="64">
        <v>100</v>
      </c>
      <c r="G234" s="60">
        <v>7</v>
      </c>
      <c r="H234" s="64">
        <v>54066</v>
      </c>
      <c r="I234" s="60">
        <v>540.66</v>
      </c>
      <c r="J234" s="110">
        <v>24.38</v>
      </c>
      <c r="K234" s="112">
        <v>1.4059999999999999</v>
      </c>
      <c r="L234" s="60">
        <v>7</v>
      </c>
      <c r="M234" s="60">
        <f>_xlfn.XLOOKUP(A234,'[1]FRV Output'!$F:$F,'[1]FRV Output'!$BC:$BC)</f>
        <v>27.71467532855824</v>
      </c>
      <c r="N234" s="64"/>
      <c r="O234" s="64"/>
      <c r="R234" s="32"/>
      <c r="T234" s="60"/>
      <c r="U234" s="110"/>
      <c r="V234" s="112"/>
    </row>
    <row r="235" spans="1:22" x14ac:dyDescent="0.25">
      <c r="A235">
        <v>1598127276</v>
      </c>
      <c r="B235" s="37">
        <v>0.50628739918480614</v>
      </c>
      <c r="C235" s="64">
        <v>19030</v>
      </c>
      <c r="D235" s="64">
        <v>19030</v>
      </c>
      <c r="E235" s="32">
        <v>27869</v>
      </c>
      <c r="F235" s="64">
        <v>69</v>
      </c>
      <c r="G235" s="60">
        <v>13</v>
      </c>
      <c r="H235" s="64">
        <v>28496</v>
      </c>
      <c r="I235" s="60">
        <v>412.98550724637681</v>
      </c>
      <c r="J235" s="110">
        <v>24.38</v>
      </c>
      <c r="K235" s="112">
        <v>1.2661</v>
      </c>
      <c r="L235" s="60">
        <v>13</v>
      </c>
      <c r="M235" s="60">
        <f>_xlfn.XLOOKUP(A235,'[1]FRV Output'!$F:$F,'[1]FRV Output'!$BC:$BC)</f>
        <v>19.028367734294857</v>
      </c>
      <c r="N235" s="64"/>
      <c r="O235" s="64"/>
      <c r="R235" s="32"/>
      <c r="T235" s="60"/>
      <c r="U235" s="110"/>
      <c r="V235" s="112"/>
    </row>
    <row r="236" spans="1:22" x14ac:dyDescent="0.25">
      <c r="A236">
        <v>1598233645</v>
      </c>
      <c r="B236" s="37">
        <v>0.64997066588442354</v>
      </c>
      <c r="C236" s="64">
        <v>17394</v>
      </c>
      <c r="D236" s="64">
        <v>17394</v>
      </c>
      <c r="E236" s="32">
        <v>28112</v>
      </c>
      <c r="F236" s="64">
        <v>60</v>
      </c>
      <c r="G236" s="60">
        <v>14.019999999999982</v>
      </c>
      <c r="H236" s="64">
        <v>33543.132337747724</v>
      </c>
      <c r="I236" s="60">
        <v>559.05220562912871</v>
      </c>
      <c r="J236" s="110">
        <v>24.38</v>
      </c>
      <c r="K236" s="112">
        <v>1.1344000000000001</v>
      </c>
      <c r="L236" s="60">
        <v>14.019999999999982</v>
      </c>
      <c r="M236" s="60">
        <f>_xlfn.XLOOKUP(A236,'[1]FRV Output'!$F:$F,'[1]FRV Output'!$BC:$BC)</f>
        <v>25.71190357651642</v>
      </c>
      <c r="N236" s="64"/>
      <c r="O236" s="64"/>
      <c r="R236" s="32"/>
      <c r="T236" s="60"/>
      <c r="U236" s="110"/>
      <c r="V236" s="112"/>
    </row>
    <row r="237" spans="1:22" x14ac:dyDescent="0.25">
      <c r="A237">
        <v>1598262198</v>
      </c>
      <c r="B237" s="37">
        <v>0.68658676736168123</v>
      </c>
      <c r="C237" s="64">
        <v>31853</v>
      </c>
      <c r="D237" s="64">
        <v>31853</v>
      </c>
      <c r="E237" s="32">
        <v>27292</v>
      </c>
      <c r="F237" s="64">
        <v>106</v>
      </c>
      <c r="G237" s="60">
        <v>13.029999999999973</v>
      </c>
      <c r="H237" s="64">
        <v>51368</v>
      </c>
      <c r="I237" s="60">
        <v>484.60377358490564</v>
      </c>
      <c r="J237" s="110">
        <v>24.38</v>
      </c>
      <c r="K237" s="112">
        <v>1.2108000000000001</v>
      </c>
      <c r="L237" s="60">
        <v>13.029999999999973</v>
      </c>
      <c r="M237" s="60">
        <f>_xlfn.XLOOKUP(A237,'[1]FRV Output'!$F:$F,'[1]FRV Output'!$BC:$BC)</f>
        <v>22.518560634939337</v>
      </c>
      <c r="N237" s="64"/>
      <c r="O237" s="64"/>
      <c r="R237" s="32"/>
      <c r="T237" s="60"/>
      <c r="U237" s="110"/>
      <c r="V237" s="112"/>
    </row>
    <row r="238" spans="1:22" x14ac:dyDescent="0.25">
      <c r="A238">
        <v>1598704504</v>
      </c>
      <c r="B238" s="37">
        <v>0.66164439044147427</v>
      </c>
      <c r="C238" s="64">
        <v>25990</v>
      </c>
      <c r="D238" s="64">
        <v>25990</v>
      </c>
      <c r="E238" s="32">
        <v>28712</v>
      </c>
      <c r="F238" s="64">
        <v>110</v>
      </c>
      <c r="G238" s="60">
        <v>7.4900000000000091</v>
      </c>
      <c r="H238" s="64">
        <v>37828</v>
      </c>
      <c r="I238" s="60">
        <v>343.89090909090908</v>
      </c>
      <c r="J238" s="110">
        <v>24.38</v>
      </c>
      <c r="K238" s="112">
        <v>1.0948</v>
      </c>
      <c r="L238" s="60">
        <v>7.4900000000000091</v>
      </c>
      <c r="M238" s="60">
        <f>_xlfn.XLOOKUP(A238,'[1]FRV Output'!$F:$F,'[1]FRV Output'!$BC:$BC)</f>
        <v>21.611566435149467</v>
      </c>
      <c r="N238" s="64"/>
      <c r="O238" s="64"/>
      <c r="R238" s="32"/>
      <c r="T238" s="60"/>
      <c r="U238" s="110"/>
      <c r="V238" s="112"/>
    </row>
    <row r="239" spans="1:22" x14ac:dyDescent="0.25">
      <c r="A239">
        <v>1598710949</v>
      </c>
      <c r="B239" s="37">
        <v>0.60585183984438318</v>
      </c>
      <c r="C239" s="64">
        <v>29413</v>
      </c>
      <c r="D239" s="64">
        <v>29413</v>
      </c>
      <c r="E239" s="32">
        <v>28803</v>
      </c>
      <c r="F239" s="64">
        <v>98</v>
      </c>
      <c r="G239" s="60">
        <v>14.660000000000082</v>
      </c>
      <c r="H239" s="64">
        <v>0</v>
      </c>
      <c r="I239" s="60">
        <v>0</v>
      </c>
      <c r="J239" s="110">
        <v>24.38</v>
      </c>
      <c r="K239" s="112">
        <v>1.2361</v>
      </c>
      <c r="L239" s="60">
        <v>14.660000000000082</v>
      </c>
      <c r="M239" s="60">
        <f>_xlfn.XLOOKUP(A239,'[1]FRV Output'!$F:$F,'[1]FRV Output'!$BC:$BC)</f>
        <v>17.576674065573751</v>
      </c>
      <c r="N239" s="64"/>
      <c r="O239" s="64"/>
      <c r="R239" s="32"/>
      <c r="T239" s="60"/>
      <c r="U239" s="110"/>
      <c r="V239" s="112"/>
    </row>
    <row r="240" spans="1:22" x14ac:dyDescent="0.25">
      <c r="A240">
        <v>1609124155</v>
      </c>
      <c r="B240" s="37">
        <v>0.58407576852074805</v>
      </c>
      <c r="C240" s="64">
        <v>30809</v>
      </c>
      <c r="D240" s="64">
        <v>30809</v>
      </c>
      <c r="E240" s="32">
        <v>27546</v>
      </c>
      <c r="F240" s="64">
        <v>96</v>
      </c>
      <c r="G240" s="60">
        <v>3.5399999999999636</v>
      </c>
      <c r="H240" s="64">
        <v>53500</v>
      </c>
      <c r="I240" s="60">
        <v>557.29166666666663</v>
      </c>
      <c r="J240" s="110">
        <v>24.38</v>
      </c>
      <c r="K240" s="112">
        <v>1.151</v>
      </c>
      <c r="L240" s="60">
        <v>3.5399999999999636</v>
      </c>
      <c r="M240" s="60">
        <f>_xlfn.XLOOKUP(A240,'[1]FRV Output'!$F:$F,'[1]FRV Output'!$BC:$BC)</f>
        <v>26.972596724398681</v>
      </c>
      <c r="N240" s="64"/>
      <c r="O240" s="64"/>
      <c r="R240" s="32"/>
      <c r="T240" s="60"/>
      <c r="U240" s="110"/>
      <c r="V240" s="112"/>
    </row>
    <row r="241" spans="1:22" x14ac:dyDescent="0.25">
      <c r="A241">
        <v>1609852375</v>
      </c>
      <c r="B241" s="37">
        <v>0.62216174183514772</v>
      </c>
      <c r="C241" s="64">
        <v>33634</v>
      </c>
      <c r="D241" s="64">
        <v>33634</v>
      </c>
      <c r="E241" s="32">
        <v>28752</v>
      </c>
      <c r="F241" s="64">
        <v>110</v>
      </c>
      <c r="G241" s="60">
        <v>32.769999999999982</v>
      </c>
      <c r="H241" s="64">
        <v>37900.498753117208</v>
      </c>
      <c r="I241" s="60">
        <v>344.54998866470191</v>
      </c>
      <c r="J241" s="110">
        <v>24.38</v>
      </c>
      <c r="K241" s="112">
        <v>1.1155999999999999</v>
      </c>
      <c r="L241" s="60">
        <v>32.769999999999982</v>
      </c>
      <c r="M241" s="60">
        <f>_xlfn.XLOOKUP(A241,'[1]FRV Output'!$F:$F,'[1]FRV Output'!$BC:$BC)</f>
        <v>8.7768252278684091</v>
      </c>
      <c r="N241" s="64"/>
      <c r="O241" s="64"/>
      <c r="R241" s="32"/>
      <c r="T241" s="60"/>
      <c r="U241" s="110"/>
      <c r="V241" s="112"/>
    </row>
    <row r="242" spans="1:22" x14ac:dyDescent="0.25">
      <c r="A242">
        <v>1609976901</v>
      </c>
      <c r="B242" s="37">
        <v>0.54747783942350614</v>
      </c>
      <c r="C242" s="64">
        <v>22233</v>
      </c>
      <c r="D242" s="64">
        <v>22233</v>
      </c>
      <c r="E242" s="32">
        <v>28021</v>
      </c>
      <c r="F242" s="64">
        <v>54</v>
      </c>
      <c r="G242" s="60">
        <v>7.4000000000000909</v>
      </c>
      <c r="H242" s="64">
        <v>31499.509494745678</v>
      </c>
      <c r="I242" s="60">
        <v>583.32424990269772</v>
      </c>
      <c r="J242" s="110">
        <v>24.38</v>
      </c>
      <c r="K242" s="112">
        <v>1.194</v>
      </c>
      <c r="L242" s="60">
        <v>7.4000000000000909</v>
      </c>
      <c r="M242" s="60">
        <f>_xlfn.XLOOKUP(A242,'[1]FRV Output'!$F:$F,'[1]FRV Output'!$BC:$BC)</f>
        <v>22.76278207760944</v>
      </c>
      <c r="N242" s="64"/>
      <c r="O242" s="64"/>
      <c r="R242" s="32"/>
      <c r="T242" s="60"/>
      <c r="U242" s="110"/>
      <c r="V242" s="112"/>
    </row>
    <row r="243" spans="1:22" x14ac:dyDescent="0.25">
      <c r="A243">
        <v>1609996552</v>
      </c>
      <c r="B243" s="37">
        <v>0.53858827610128346</v>
      </c>
      <c r="C243" s="64">
        <v>15095</v>
      </c>
      <c r="D243" s="64">
        <v>15095</v>
      </c>
      <c r="E243" s="32">
        <v>28466</v>
      </c>
      <c r="F243" s="64">
        <v>80</v>
      </c>
      <c r="G243" s="60">
        <v>3</v>
      </c>
      <c r="H243" s="64">
        <v>26759</v>
      </c>
      <c r="I243" s="60">
        <v>334.48750000000001</v>
      </c>
      <c r="J243" s="110">
        <v>24.38</v>
      </c>
      <c r="K243" s="112">
        <v>1.1948000000000001</v>
      </c>
      <c r="L243" s="60">
        <v>3</v>
      </c>
      <c r="M243" s="60">
        <f>_xlfn.XLOOKUP(A243,'[1]FRV Output'!$F:$F,'[1]FRV Output'!$BC:$BC)</f>
        <v>23.635833377531334</v>
      </c>
      <c r="N243" s="64"/>
      <c r="O243" s="64"/>
      <c r="R243" s="32"/>
      <c r="T243" s="60"/>
      <c r="U243" s="110"/>
      <c r="V243" s="112"/>
    </row>
    <row r="244" spans="1:22" x14ac:dyDescent="0.25">
      <c r="A244">
        <v>1619908977</v>
      </c>
      <c r="B244" s="37">
        <v>0.62493340436867351</v>
      </c>
      <c r="C244" s="64">
        <v>31262</v>
      </c>
      <c r="D244" s="64">
        <v>31262</v>
      </c>
      <c r="E244" s="32">
        <v>27406</v>
      </c>
      <c r="F244" s="64">
        <v>120</v>
      </c>
      <c r="G244" s="60">
        <v>32.230000000000018</v>
      </c>
      <c r="H244" s="64">
        <v>33081</v>
      </c>
      <c r="I244" s="60">
        <v>275.67500000000001</v>
      </c>
      <c r="J244" s="110">
        <v>24.38</v>
      </c>
      <c r="K244" s="112">
        <v>1.2458</v>
      </c>
      <c r="L244" s="60">
        <v>32.230000000000018</v>
      </c>
      <c r="M244" s="60">
        <f>_xlfn.XLOOKUP(A244,'[1]FRV Output'!$F:$F,'[1]FRV Output'!$BC:$BC)</f>
        <v>8.901231881026991</v>
      </c>
      <c r="N244" s="64"/>
      <c r="O244" s="64"/>
      <c r="R244" s="32"/>
      <c r="T244" s="60"/>
      <c r="U244" s="110"/>
      <c r="V244" s="112"/>
    </row>
    <row r="245" spans="1:22" x14ac:dyDescent="0.25">
      <c r="A245">
        <v>1629016340</v>
      </c>
      <c r="B245" s="37">
        <v>0.67950236966824651</v>
      </c>
      <c r="C245" s="64">
        <v>24069</v>
      </c>
      <c r="D245" s="64">
        <v>24069</v>
      </c>
      <c r="E245" s="32">
        <v>27055</v>
      </c>
      <c r="F245" s="64">
        <v>76</v>
      </c>
      <c r="G245" s="60">
        <v>25.599999999999909</v>
      </c>
      <c r="H245" s="64">
        <v>27199</v>
      </c>
      <c r="I245" s="60">
        <v>357.88157894736844</v>
      </c>
      <c r="J245" s="110">
        <v>24.38</v>
      </c>
      <c r="K245" s="112">
        <v>1.1428</v>
      </c>
      <c r="L245" s="60">
        <v>25.599999999999909</v>
      </c>
      <c r="M245" s="60">
        <f>_xlfn.XLOOKUP(A245,'[1]FRV Output'!$F:$F,'[1]FRV Output'!$BC:$BC)</f>
        <v>12.561937415866918</v>
      </c>
      <c r="N245" s="64"/>
      <c r="O245" s="64"/>
      <c r="R245" s="32"/>
      <c r="T245" s="60"/>
      <c r="U245" s="110"/>
      <c r="V245" s="112"/>
    </row>
    <row r="246" spans="1:22" x14ac:dyDescent="0.25">
      <c r="A246">
        <v>1629047279</v>
      </c>
      <c r="B246" s="37">
        <v>0.62633125229526265</v>
      </c>
      <c r="C246" s="64">
        <v>32107</v>
      </c>
      <c r="D246" s="64">
        <v>32107</v>
      </c>
      <c r="E246" s="32">
        <v>27021</v>
      </c>
      <c r="F246" s="64">
        <v>96</v>
      </c>
      <c r="G246" s="60">
        <v>25.420000000000073</v>
      </c>
      <c r="H246" s="64">
        <v>25874.399999999998</v>
      </c>
      <c r="I246" s="60">
        <v>269.52499999999998</v>
      </c>
      <c r="J246" s="110">
        <v>24.38</v>
      </c>
      <c r="K246" s="112">
        <v>1.3829</v>
      </c>
      <c r="L246" s="60">
        <v>25.420000000000073</v>
      </c>
      <c r="M246" s="60">
        <f>_xlfn.XLOOKUP(A246,'[1]FRV Output'!$F:$F,'[1]FRV Output'!$BC:$BC)</f>
        <v>11.961959476749593</v>
      </c>
      <c r="N246" s="64"/>
      <c r="O246" s="64"/>
      <c r="R246" s="32"/>
      <c r="T246" s="60"/>
      <c r="U246" s="110"/>
      <c r="V246" s="112"/>
    </row>
    <row r="247" spans="1:22" x14ac:dyDescent="0.25">
      <c r="A247">
        <v>1629425491</v>
      </c>
      <c r="B247" s="37">
        <v>0.73464027764750028</v>
      </c>
      <c r="C247" s="64">
        <v>38877</v>
      </c>
      <c r="D247" s="64">
        <v>38877</v>
      </c>
      <c r="E247" s="32">
        <v>28139</v>
      </c>
      <c r="F247" s="64">
        <v>136</v>
      </c>
      <c r="G247" s="60">
        <v>33.980000000000018</v>
      </c>
      <c r="H247" s="64">
        <v>0</v>
      </c>
      <c r="I247" s="60">
        <v>0</v>
      </c>
      <c r="J247" s="110">
        <v>24.38</v>
      </c>
      <c r="K247" s="112">
        <v>1.2983</v>
      </c>
      <c r="L247" s="60">
        <v>33.980000000000018</v>
      </c>
      <c r="M247" s="60">
        <f>_xlfn.XLOOKUP(A247,'[1]FRV Output'!$F:$F,'[1]FRV Output'!$BC:$BC)</f>
        <v>8.4641878654773315</v>
      </c>
      <c r="N247" s="64"/>
      <c r="O247" s="64"/>
      <c r="R247" s="32"/>
      <c r="T247" s="60"/>
      <c r="U247" s="110"/>
      <c r="V247" s="112"/>
    </row>
    <row r="248" spans="1:22" x14ac:dyDescent="0.25">
      <c r="A248">
        <v>1629494059</v>
      </c>
      <c r="B248" s="37">
        <v>0.58331977217249797</v>
      </c>
      <c r="C248" s="64">
        <v>32569</v>
      </c>
      <c r="D248" s="64">
        <v>32569</v>
      </c>
      <c r="E248" s="32">
        <v>28092</v>
      </c>
      <c r="F248" s="64">
        <v>120</v>
      </c>
      <c r="G248" s="60">
        <v>26.480000000000018</v>
      </c>
      <c r="H248" s="64">
        <v>34287</v>
      </c>
      <c r="I248" s="60">
        <v>285.72500000000002</v>
      </c>
      <c r="J248" s="110">
        <v>24.38</v>
      </c>
      <c r="K248" s="112">
        <v>1.365</v>
      </c>
      <c r="L248" s="60">
        <v>26.480000000000018</v>
      </c>
      <c r="M248" s="60">
        <f>_xlfn.XLOOKUP(A248,'[1]FRV Output'!$F:$F,'[1]FRV Output'!$BC:$BC)</f>
        <v>11.397810442381862</v>
      </c>
      <c r="N248" s="64"/>
      <c r="O248" s="64"/>
      <c r="R248" s="32"/>
      <c r="T248" s="60"/>
      <c r="U248" s="110"/>
      <c r="V248" s="112"/>
    </row>
    <row r="249" spans="1:22" x14ac:dyDescent="0.25">
      <c r="A249">
        <v>1629511597</v>
      </c>
      <c r="B249" s="37">
        <v>0.57242339832869082</v>
      </c>
      <c r="C249" s="64">
        <v>13494</v>
      </c>
      <c r="D249" s="64">
        <v>13494</v>
      </c>
      <c r="E249" s="32">
        <v>27016</v>
      </c>
      <c r="F249" s="64">
        <v>40</v>
      </c>
      <c r="G249" s="60">
        <v>34.5</v>
      </c>
      <c r="H249" s="64">
        <v>25352</v>
      </c>
      <c r="I249" s="60">
        <v>633.79999999999995</v>
      </c>
      <c r="J249" s="110">
        <v>24.38</v>
      </c>
      <c r="K249" s="112">
        <v>0.90129999999999999</v>
      </c>
      <c r="L249" s="60">
        <v>42.829999999999927</v>
      </c>
      <c r="M249" s="60">
        <f>_xlfn.XLOOKUP(A249,'[1]FRV Output'!$F:$F,'[1]FRV Output'!$BC:$BC)</f>
        <v>9.8495570958105105</v>
      </c>
      <c r="N249" s="64"/>
      <c r="O249" s="64"/>
      <c r="R249" s="32"/>
      <c r="T249" s="60"/>
      <c r="U249" s="110"/>
      <c r="V249" s="112"/>
    </row>
    <row r="250" spans="1:22" x14ac:dyDescent="0.25">
      <c r="A250">
        <v>1629515499</v>
      </c>
      <c r="B250" s="37">
        <v>0.65237088492902451</v>
      </c>
      <c r="C250" s="64">
        <v>29231</v>
      </c>
      <c r="D250" s="64">
        <v>29231</v>
      </c>
      <c r="E250" s="32">
        <v>27021</v>
      </c>
      <c r="F250" s="64">
        <v>96</v>
      </c>
      <c r="G250" s="60">
        <v>26.1400000000001</v>
      </c>
      <c r="H250" s="64">
        <v>50218.114602587797</v>
      </c>
      <c r="I250" s="60">
        <v>523.10536044362289</v>
      </c>
      <c r="J250" s="110">
        <v>24.38</v>
      </c>
      <c r="K250" s="112">
        <v>1.2202</v>
      </c>
      <c r="L250" s="60">
        <v>26.1400000000001</v>
      </c>
      <c r="M250" s="60">
        <f>_xlfn.XLOOKUP(A250,'[1]FRV Output'!$F:$F,'[1]FRV Output'!$BC:$BC)</f>
        <v>17.112220661584178</v>
      </c>
      <c r="N250" s="64"/>
      <c r="O250" s="64"/>
      <c r="R250" s="32"/>
      <c r="T250" s="60"/>
      <c r="U250" s="110"/>
      <c r="V250" s="112"/>
    </row>
    <row r="251" spans="1:22" x14ac:dyDescent="0.25">
      <c r="A251">
        <v>1629535455</v>
      </c>
      <c r="B251" s="37">
        <v>0.6417322834645669</v>
      </c>
      <c r="C251" s="64">
        <v>27139</v>
      </c>
      <c r="D251" s="64">
        <v>27139</v>
      </c>
      <c r="E251" s="32">
        <v>28605</v>
      </c>
      <c r="F251" s="64">
        <v>92</v>
      </c>
      <c r="G251" s="60">
        <v>4.5499999999999545</v>
      </c>
      <c r="H251" s="64">
        <v>64259.722815478242</v>
      </c>
      <c r="I251" s="60">
        <v>698.4752479943287</v>
      </c>
      <c r="J251" s="110">
        <v>24.38</v>
      </c>
      <c r="K251" s="112">
        <v>1.2067000000000001</v>
      </c>
      <c r="L251" s="60">
        <v>4.5499999999999545</v>
      </c>
      <c r="M251" s="60">
        <f>_xlfn.XLOOKUP(A251,'[1]FRV Output'!$F:$F,'[1]FRV Output'!$BC:$BC)</f>
        <v>37.287804642285288</v>
      </c>
      <c r="N251" s="64"/>
      <c r="O251" s="64"/>
      <c r="R251" s="32"/>
      <c r="T251" s="60"/>
      <c r="U251" s="110"/>
      <c r="V251" s="112"/>
    </row>
    <row r="252" spans="1:22" x14ac:dyDescent="0.25">
      <c r="A252">
        <v>1639122328</v>
      </c>
      <c r="B252" s="37">
        <v>0.56047224224945924</v>
      </c>
      <c r="C252" s="64">
        <v>26395</v>
      </c>
      <c r="D252" s="64">
        <v>26395</v>
      </c>
      <c r="E252" s="32">
        <v>28675</v>
      </c>
      <c r="F252" s="64">
        <v>90</v>
      </c>
      <c r="G252" s="60">
        <v>33.6099999999999</v>
      </c>
      <c r="H252" s="64">
        <v>30165</v>
      </c>
      <c r="I252" s="60">
        <v>335.16666666666669</v>
      </c>
      <c r="J252" s="110">
        <v>24.38</v>
      </c>
      <c r="K252" s="112">
        <v>1.0190999999999999</v>
      </c>
      <c r="L252" s="60">
        <v>33.6099999999999</v>
      </c>
      <c r="M252" s="60">
        <f>_xlfn.XLOOKUP(A252,'[1]FRV Output'!$F:$F,'[1]FRV Output'!$BC:$BC)</f>
        <v>8.5632613161331133</v>
      </c>
      <c r="N252" s="64"/>
      <c r="O252" s="64"/>
      <c r="R252" s="32"/>
      <c r="T252" s="60"/>
      <c r="U252" s="110"/>
      <c r="V252" s="112"/>
    </row>
    <row r="253" spans="1:22" x14ac:dyDescent="0.25">
      <c r="A253">
        <v>1639153919</v>
      </c>
      <c r="B253" s="37">
        <v>0.51255504906126859</v>
      </c>
      <c r="C253" s="64">
        <v>19399</v>
      </c>
      <c r="D253" s="64">
        <v>19399</v>
      </c>
      <c r="E253" s="32">
        <v>28358</v>
      </c>
      <c r="F253" s="64">
        <v>62</v>
      </c>
      <c r="G253" s="60">
        <v>7.2400000000000091</v>
      </c>
      <c r="H253" s="64">
        <v>0</v>
      </c>
      <c r="I253" s="60">
        <v>0</v>
      </c>
      <c r="J253" s="110">
        <v>0</v>
      </c>
      <c r="K253" s="112">
        <v>1.0276000000000001</v>
      </c>
      <c r="L253" s="60">
        <v>7.2400000000000091</v>
      </c>
      <c r="M253" s="60">
        <f>_xlfn.XLOOKUP(A253,'[1]FRV Output'!$F:$F,'[1]FRV Output'!$BC:$BC)</f>
        <v>22.152118826634126</v>
      </c>
      <c r="N253" s="64"/>
      <c r="O253" s="64"/>
      <c r="R253" s="32"/>
      <c r="T253" s="60"/>
      <c r="U253" s="110"/>
      <c r="V253" s="112"/>
    </row>
    <row r="254" spans="1:22" x14ac:dyDescent="0.25">
      <c r="A254">
        <v>1639155302</v>
      </c>
      <c r="B254" s="37">
        <v>0.64059420948916168</v>
      </c>
      <c r="C254" s="64">
        <v>26400</v>
      </c>
      <c r="D254" s="64">
        <v>26400</v>
      </c>
      <c r="E254" s="32">
        <v>28773</v>
      </c>
      <c r="F254" s="64">
        <v>99</v>
      </c>
      <c r="G254" s="60">
        <v>33.720000000000027</v>
      </c>
      <c r="H254" s="64">
        <v>38120</v>
      </c>
      <c r="I254" s="60">
        <v>385.05050505050502</v>
      </c>
      <c r="J254" s="110">
        <v>24.38</v>
      </c>
      <c r="K254" s="112">
        <v>1.3425</v>
      </c>
      <c r="L254" s="60">
        <v>33.720000000000027</v>
      </c>
      <c r="M254" s="60">
        <f>_xlfn.XLOOKUP(A254,'[1]FRV Output'!$F:$F,'[1]FRV Output'!$BC:$BC)</f>
        <v>9.4388626498660901</v>
      </c>
      <c r="N254" s="64"/>
      <c r="O254" s="64"/>
      <c r="R254" s="32"/>
      <c r="T254" s="60"/>
      <c r="U254" s="110"/>
      <c r="V254" s="112"/>
    </row>
    <row r="255" spans="1:22" x14ac:dyDescent="0.25">
      <c r="A255">
        <v>1639299571</v>
      </c>
      <c r="B255" s="37">
        <v>0.63697809719370302</v>
      </c>
      <c r="C255" s="64">
        <v>31381</v>
      </c>
      <c r="D255" s="64">
        <v>31381</v>
      </c>
      <c r="E255" s="32">
        <v>27895</v>
      </c>
      <c r="F255" s="64">
        <v>99</v>
      </c>
      <c r="G255" s="60">
        <v>20.230000000000018</v>
      </c>
      <c r="H255" s="64">
        <v>34879</v>
      </c>
      <c r="I255" s="60">
        <v>352.31313131313129</v>
      </c>
      <c r="J255" s="110">
        <v>24.38</v>
      </c>
      <c r="K255" s="112">
        <v>1.1781999999999999</v>
      </c>
      <c r="L255" s="60">
        <v>20.230000000000018</v>
      </c>
      <c r="M255" s="60">
        <f>_xlfn.XLOOKUP(A255,'[1]FRV Output'!$F:$F,'[1]FRV Output'!$BC:$BC)</f>
        <v>15.206002784149636</v>
      </c>
      <c r="N255" s="64"/>
      <c r="O255" s="64"/>
      <c r="R255" s="32"/>
      <c r="T255" s="60"/>
      <c r="U255" s="110"/>
      <c r="V255" s="112"/>
    </row>
    <row r="256" spans="1:22" x14ac:dyDescent="0.25">
      <c r="A256">
        <v>1639556806</v>
      </c>
      <c r="B256" s="37">
        <v>0.59406319332874302</v>
      </c>
      <c r="C256" s="64">
        <v>35613</v>
      </c>
      <c r="D256" s="64">
        <v>35613</v>
      </c>
      <c r="E256" s="32">
        <v>27612</v>
      </c>
      <c r="F256" s="64">
        <v>134</v>
      </c>
      <c r="G256" s="60">
        <v>11.970000000000027</v>
      </c>
      <c r="H256" s="64">
        <v>50666</v>
      </c>
      <c r="I256" s="60">
        <v>378.1044776119403</v>
      </c>
      <c r="J256" s="110">
        <v>24.38</v>
      </c>
      <c r="K256" s="112">
        <v>1.0004</v>
      </c>
      <c r="L256" s="60">
        <v>11.970000000000027</v>
      </c>
      <c r="M256" s="60">
        <f>_xlfn.XLOOKUP(A256,'[1]FRV Output'!$F:$F,'[1]FRV Output'!$BC:$BC)</f>
        <v>19.115054140790729</v>
      </c>
      <c r="N256" s="64"/>
      <c r="O256" s="64"/>
      <c r="R256" s="32"/>
      <c r="T256" s="60"/>
      <c r="U256" s="110"/>
      <c r="V256" s="112"/>
    </row>
    <row r="257" spans="1:22" x14ac:dyDescent="0.25">
      <c r="A257">
        <v>1639630452</v>
      </c>
      <c r="B257" s="37">
        <v>0.65648441030275639</v>
      </c>
      <c r="C257" s="64">
        <v>19854</v>
      </c>
      <c r="D257" s="64">
        <v>19854</v>
      </c>
      <c r="E257" s="32">
        <v>27917</v>
      </c>
      <c r="F257" s="64">
        <v>100</v>
      </c>
      <c r="G257" s="60">
        <v>2</v>
      </c>
      <c r="H257" s="64">
        <v>33600</v>
      </c>
      <c r="I257" s="60">
        <v>336</v>
      </c>
      <c r="J257" s="110">
        <v>24.38</v>
      </c>
      <c r="K257" s="112">
        <v>1.1688000000000001</v>
      </c>
      <c r="L257" s="60">
        <v>2</v>
      </c>
      <c r="M257" s="60">
        <f>_xlfn.XLOOKUP(A257,'[1]FRV Output'!$F:$F,'[1]FRV Output'!$BC:$BC)</f>
        <v>24.870296739392476</v>
      </c>
      <c r="N257" s="64"/>
      <c r="O257" s="64"/>
      <c r="R257" s="32"/>
      <c r="T257" s="60"/>
      <c r="U257" s="110"/>
      <c r="V257" s="112"/>
    </row>
    <row r="258" spans="1:22" x14ac:dyDescent="0.25">
      <c r="A258">
        <v>1649224056</v>
      </c>
      <c r="B258" s="37">
        <v>0.61205817201194257</v>
      </c>
      <c r="C258" s="64">
        <v>36894</v>
      </c>
      <c r="D258" s="64">
        <v>36894</v>
      </c>
      <c r="E258" s="32">
        <v>28365</v>
      </c>
      <c r="F258" s="64">
        <v>150</v>
      </c>
      <c r="G258" s="60">
        <v>34.5</v>
      </c>
      <c r="H258" s="64">
        <v>43407</v>
      </c>
      <c r="I258" s="60">
        <v>289.38</v>
      </c>
      <c r="J258" s="110">
        <v>24.38</v>
      </c>
      <c r="K258" s="112">
        <v>1.1724000000000001</v>
      </c>
      <c r="L258" s="60">
        <v>39.1099999999999</v>
      </c>
      <c r="M258" s="60">
        <f>_xlfn.XLOOKUP(A258,'[1]FRV Output'!$F:$F,'[1]FRV Output'!$BC:$BC)</f>
        <v>8.1039503375120532</v>
      </c>
      <c r="N258" s="64"/>
      <c r="O258" s="64"/>
      <c r="R258" s="32"/>
      <c r="T258" s="60"/>
      <c r="U258" s="110"/>
      <c r="V258" s="112"/>
    </row>
    <row r="259" spans="1:22" x14ac:dyDescent="0.25">
      <c r="A259">
        <v>1649254582</v>
      </c>
      <c r="B259" s="37">
        <v>0.67677956130767292</v>
      </c>
      <c r="C259" s="64">
        <v>19319</v>
      </c>
      <c r="D259" s="64">
        <v>19319</v>
      </c>
      <c r="E259" s="32">
        <v>28562</v>
      </c>
      <c r="F259" s="64">
        <v>60</v>
      </c>
      <c r="G259" s="60">
        <v>6.9800000000000182</v>
      </c>
      <c r="H259" s="64">
        <v>44926.284594276753</v>
      </c>
      <c r="I259" s="60">
        <v>748.7714099046126</v>
      </c>
      <c r="J259" s="110">
        <v>24.38</v>
      </c>
      <c r="K259" s="112">
        <v>1.1929000000000001</v>
      </c>
      <c r="L259" s="60">
        <v>6.9800000000000182</v>
      </c>
      <c r="M259" s="60">
        <f>_xlfn.XLOOKUP(A259,'[1]FRV Output'!$F:$F,'[1]FRV Output'!$BC:$BC)</f>
        <v>32.827009660955511</v>
      </c>
      <c r="N259" s="64"/>
      <c r="O259" s="64"/>
      <c r="R259" s="32"/>
      <c r="T259" s="60"/>
      <c r="U259" s="110"/>
      <c r="V259" s="112"/>
    </row>
    <row r="260" spans="1:22" x14ac:dyDescent="0.25">
      <c r="A260">
        <v>1649268335</v>
      </c>
      <c r="B260" s="37">
        <v>0.64059960267292748</v>
      </c>
      <c r="C260" s="64">
        <v>48667</v>
      </c>
      <c r="D260" s="64">
        <v>48667</v>
      </c>
      <c r="E260" s="32">
        <v>27577</v>
      </c>
      <c r="F260" s="64">
        <v>160</v>
      </c>
      <c r="G260" s="60">
        <v>33.539999999999964</v>
      </c>
      <c r="H260" s="64">
        <v>51442</v>
      </c>
      <c r="I260" s="60">
        <v>321.51249999999999</v>
      </c>
      <c r="J260" s="110">
        <v>7.879999999999999</v>
      </c>
      <c r="K260" s="112">
        <v>1.2306999999999999</v>
      </c>
      <c r="L260" s="60">
        <v>33.539999999999964</v>
      </c>
      <c r="M260" s="60">
        <f>_xlfn.XLOOKUP(A260,'[1]FRV Output'!$F:$F,'[1]FRV Output'!$BC:$BC)</f>
        <v>8.3507330221793765</v>
      </c>
      <c r="N260" s="64"/>
      <c r="O260" s="64"/>
      <c r="R260" s="32"/>
      <c r="T260" s="60"/>
      <c r="U260" s="110"/>
      <c r="V260" s="112"/>
    </row>
    <row r="261" spans="1:22" x14ac:dyDescent="0.25">
      <c r="A261">
        <v>1649590498</v>
      </c>
      <c r="B261" s="37">
        <v>0.55533540900084921</v>
      </c>
      <c r="C261" s="64">
        <v>0</v>
      </c>
      <c r="D261" s="64">
        <v>0</v>
      </c>
      <c r="E261" s="32">
        <v>28557</v>
      </c>
      <c r="F261" s="64">
        <v>122</v>
      </c>
      <c r="G261" s="60">
        <v>31.970000000000027</v>
      </c>
      <c r="H261" s="64">
        <v>0</v>
      </c>
      <c r="I261" s="60">
        <v>0</v>
      </c>
      <c r="J261" s="110">
        <v>24.38</v>
      </c>
      <c r="K261" s="112">
        <v>1.1792108485224528</v>
      </c>
      <c r="L261" s="60">
        <v>31.970000000000027</v>
      </c>
      <c r="M261" s="60">
        <f>_xlfn.XLOOKUP(A261,'[1]FRV Output'!$F:$F,'[1]FRV Output'!$BC:$BC)</f>
        <v>8.6082325939006683</v>
      </c>
      <c r="N261" s="64"/>
      <c r="O261" s="64"/>
      <c r="R261" s="32"/>
      <c r="T261" s="60"/>
      <c r="U261" s="110"/>
      <c r="V261" s="112"/>
    </row>
    <row r="262" spans="1:22" x14ac:dyDescent="0.25">
      <c r="A262">
        <v>1649685132</v>
      </c>
      <c r="B262" s="37">
        <v>0.5909513480012395</v>
      </c>
      <c r="C262" s="64">
        <v>32767</v>
      </c>
      <c r="D262" s="64">
        <v>32767</v>
      </c>
      <c r="E262" s="32">
        <v>27870</v>
      </c>
      <c r="F262" s="64">
        <v>108</v>
      </c>
      <c r="G262" s="60">
        <v>4.9000000000000909</v>
      </c>
      <c r="H262" s="64">
        <v>33173</v>
      </c>
      <c r="I262" s="60">
        <v>307.15740740740739</v>
      </c>
      <c r="J262" s="110">
        <v>24.38</v>
      </c>
      <c r="K262" s="112">
        <v>1.0851999999999999</v>
      </c>
      <c r="L262" s="60">
        <v>4.9000000000000909</v>
      </c>
      <c r="M262" s="60">
        <f>_xlfn.XLOOKUP(A262,'[1]FRV Output'!$F:$F,'[1]FRV Output'!$BC:$BC)</f>
        <v>22.920978959257468</v>
      </c>
      <c r="N262" s="64"/>
      <c r="O262" s="64"/>
      <c r="R262" s="32"/>
      <c r="T262" s="60"/>
      <c r="U262" s="110"/>
      <c r="V262" s="112"/>
    </row>
    <row r="263" spans="1:22" x14ac:dyDescent="0.25">
      <c r="A263">
        <v>1659307395</v>
      </c>
      <c r="B263" s="37">
        <v>0.57831120190670748</v>
      </c>
      <c r="C263" s="64">
        <v>32467</v>
      </c>
      <c r="D263" s="64">
        <v>32467</v>
      </c>
      <c r="E263" s="32">
        <v>28563</v>
      </c>
      <c r="F263" s="64">
        <v>105</v>
      </c>
      <c r="G263" s="60">
        <v>24.200000000000045</v>
      </c>
      <c r="H263" s="64">
        <v>35165.390803068345</v>
      </c>
      <c r="I263" s="60">
        <v>334.90848383874612</v>
      </c>
      <c r="J263" s="110">
        <v>24.38</v>
      </c>
      <c r="K263" s="112">
        <v>1.1914</v>
      </c>
      <c r="L263" s="60">
        <v>24.200000000000045</v>
      </c>
      <c r="M263" s="60">
        <f>_xlfn.XLOOKUP(A263,'[1]FRV Output'!$F:$F,'[1]FRV Output'!$BC:$BC)</f>
        <v>12.772653923577609</v>
      </c>
      <c r="N263" s="64"/>
      <c r="O263" s="64"/>
      <c r="R263" s="32"/>
      <c r="T263" s="60"/>
      <c r="U263" s="110"/>
      <c r="V263" s="112"/>
    </row>
    <row r="264" spans="1:22" x14ac:dyDescent="0.25">
      <c r="A264">
        <v>1659319366</v>
      </c>
      <c r="B264" s="37">
        <v>0.66211470932500971</v>
      </c>
      <c r="C264" s="64">
        <v>28654</v>
      </c>
      <c r="D264" s="64">
        <v>28654</v>
      </c>
      <c r="E264" s="32">
        <v>27052</v>
      </c>
      <c r="F264" s="64">
        <v>90</v>
      </c>
      <c r="G264" s="60">
        <v>34.5</v>
      </c>
      <c r="H264" s="64">
        <v>26569.276048214153</v>
      </c>
      <c r="I264" s="60">
        <v>295.21417831349061</v>
      </c>
      <c r="J264" s="110">
        <v>24.38</v>
      </c>
      <c r="K264" s="112">
        <v>1.2905</v>
      </c>
      <c r="L264" s="60">
        <v>44.420000000000073</v>
      </c>
      <c r="M264" s="60">
        <f>_xlfn.XLOOKUP(A264,'[1]FRV Output'!$F:$F,'[1]FRV Output'!$BC:$BC)</f>
        <v>7.9187026418650106</v>
      </c>
      <c r="N264" s="64"/>
      <c r="O264" s="64"/>
      <c r="R264" s="32"/>
      <c r="T264" s="60"/>
      <c r="U264" s="110"/>
      <c r="V264" s="112"/>
    </row>
    <row r="265" spans="1:22" x14ac:dyDescent="0.25">
      <c r="A265">
        <v>1659849701</v>
      </c>
      <c r="B265" s="37">
        <v>0.70790071382219333</v>
      </c>
      <c r="C265" s="64">
        <v>22938</v>
      </c>
      <c r="D265" s="64">
        <v>22938</v>
      </c>
      <c r="E265" s="32">
        <v>28115</v>
      </c>
      <c r="F265" s="64">
        <v>131</v>
      </c>
      <c r="G265" s="60">
        <v>19.930000000000064</v>
      </c>
      <c r="H265" s="64">
        <v>47145</v>
      </c>
      <c r="I265" s="60">
        <v>359.8854961832061</v>
      </c>
      <c r="J265" s="110">
        <v>24.38</v>
      </c>
      <c r="K265" s="112">
        <v>1.1779999999999999</v>
      </c>
      <c r="L265" s="60">
        <v>19.930000000000064</v>
      </c>
      <c r="M265" s="60">
        <f>_xlfn.XLOOKUP(A265,'[1]FRV Output'!$F:$F,'[1]FRV Output'!$BC:$BC)</f>
        <v>15.990310680809998</v>
      </c>
      <c r="N265" s="64"/>
      <c r="O265" s="64"/>
      <c r="R265" s="32"/>
      <c r="T265" s="60"/>
      <c r="U265" s="110"/>
      <c r="V265" s="112"/>
    </row>
    <row r="266" spans="1:22" x14ac:dyDescent="0.25">
      <c r="A266">
        <v>1669023685</v>
      </c>
      <c r="B266" s="37">
        <v>0.71206865072119774</v>
      </c>
      <c r="C266" s="64">
        <v>38306</v>
      </c>
      <c r="D266" s="64">
        <v>30611.344978165936</v>
      </c>
      <c r="E266" s="32">
        <v>28270</v>
      </c>
      <c r="F266" s="64">
        <v>124</v>
      </c>
      <c r="G266" s="60">
        <v>3</v>
      </c>
      <c r="H266" s="64">
        <v>0</v>
      </c>
      <c r="I266" s="60">
        <v>0</v>
      </c>
      <c r="J266" s="110">
        <v>24.38</v>
      </c>
      <c r="K266" s="112">
        <v>1.1512</v>
      </c>
      <c r="L266" s="60">
        <v>3</v>
      </c>
      <c r="M266" s="60">
        <f>_xlfn.XLOOKUP(A266,'[1]FRV Output'!$F:$F,'[1]FRV Output'!$BC:$BC)</f>
        <v>24.950034709498549</v>
      </c>
      <c r="N266" s="64"/>
      <c r="O266" s="64"/>
      <c r="R266" s="32"/>
      <c r="T266" s="60"/>
      <c r="U266" s="110"/>
      <c r="V266" s="112"/>
    </row>
    <row r="267" spans="1:22" x14ac:dyDescent="0.25">
      <c r="A267">
        <v>1669083291</v>
      </c>
      <c r="B267" s="37">
        <v>0.59077834179357014</v>
      </c>
      <c r="C267" s="64">
        <v>39126</v>
      </c>
      <c r="D267" s="64">
        <v>39126</v>
      </c>
      <c r="E267" s="32">
        <v>27892</v>
      </c>
      <c r="F267" s="64">
        <v>154</v>
      </c>
      <c r="G267" s="60">
        <v>34.5</v>
      </c>
      <c r="H267" s="64">
        <v>46609</v>
      </c>
      <c r="I267" s="60">
        <v>302.65584415584414</v>
      </c>
      <c r="J267" s="110">
        <v>24.38</v>
      </c>
      <c r="K267" s="112">
        <v>1.1207</v>
      </c>
      <c r="L267" s="60">
        <v>40.059999999999945</v>
      </c>
      <c r="M267" s="60">
        <f>_xlfn.XLOOKUP(A267,'[1]FRV Output'!$F:$F,'[1]FRV Output'!$BC:$BC)</f>
        <v>7.9301163934426215</v>
      </c>
      <c r="N267" s="64"/>
      <c r="O267" s="64"/>
      <c r="R267" s="32"/>
      <c r="T267" s="60"/>
      <c r="U267" s="110"/>
      <c r="V267" s="112"/>
    </row>
    <row r="268" spans="1:22" x14ac:dyDescent="0.25">
      <c r="A268">
        <v>1669408969</v>
      </c>
      <c r="B268" s="37">
        <v>0.6099436186570989</v>
      </c>
      <c r="C268" s="64">
        <v>56651</v>
      </c>
      <c r="D268" s="64">
        <v>56651</v>
      </c>
      <c r="E268" s="32">
        <v>28262</v>
      </c>
      <c r="F268" s="64">
        <v>207</v>
      </c>
      <c r="G268" s="60">
        <v>14.509999999999991</v>
      </c>
      <c r="H268" s="64">
        <v>64810.078341013825</v>
      </c>
      <c r="I268" s="60">
        <v>313.09216589861751</v>
      </c>
      <c r="J268" s="110">
        <v>7.879999999999999</v>
      </c>
      <c r="K268" s="112">
        <v>1.1093</v>
      </c>
      <c r="L268" s="60">
        <v>14.509999999999991</v>
      </c>
      <c r="M268" s="60">
        <f>_xlfn.XLOOKUP(A268,'[1]FRV Output'!$F:$F,'[1]FRV Output'!$BC:$BC)</f>
        <v>18.642054277724206</v>
      </c>
      <c r="N268" s="64"/>
      <c r="O268" s="64"/>
      <c r="R268" s="32"/>
      <c r="T268" s="60"/>
      <c r="U268" s="110"/>
      <c r="V268" s="112"/>
    </row>
    <row r="269" spans="1:22" x14ac:dyDescent="0.25">
      <c r="A269">
        <v>1669410312</v>
      </c>
      <c r="B269" s="37">
        <v>0.65587441746382147</v>
      </c>
      <c r="C269" s="64">
        <v>30717</v>
      </c>
      <c r="D269" s="64">
        <v>30717</v>
      </c>
      <c r="E269" s="32">
        <v>28083</v>
      </c>
      <c r="F269" s="64">
        <v>107</v>
      </c>
      <c r="G269" s="60">
        <v>25.730000000000018</v>
      </c>
      <c r="H269" s="64">
        <v>40276</v>
      </c>
      <c r="I269" s="60">
        <v>376.41121495327104</v>
      </c>
      <c r="J269" s="110">
        <v>24.38</v>
      </c>
      <c r="K269" s="112">
        <v>1.1682999999999999</v>
      </c>
      <c r="L269" s="60">
        <v>25.730000000000018</v>
      </c>
      <c r="M269" s="60">
        <f>_xlfn.XLOOKUP(A269,'[1]FRV Output'!$F:$F,'[1]FRV Output'!$BC:$BC)</f>
        <v>12.7799406521607</v>
      </c>
      <c r="N269" s="64"/>
      <c r="O269" s="64"/>
      <c r="R269" s="32"/>
      <c r="T269" s="60"/>
      <c r="U269" s="110"/>
      <c r="V269" s="112"/>
    </row>
    <row r="270" spans="1:22" x14ac:dyDescent="0.25">
      <c r="A270">
        <v>1669425401</v>
      </c>
      <c r="B270" s="37">
        <v>0.62065068216678776</v>
      </c>
      <c r="C270" s="64">
        <v>30597</v>
      </c>
      <c r="D270" s="64">
        <v>30597</v>
      </c>
      <c r="E270" s="32">
        <v>27504</v>
      </c>
      <c r="F270" s="64">
        <v>100</v>
      </c>
      <c r="G270" s="60">
        <v>19.180000000000064</v>
      </c>
      <c r="H270" s="64">
        <v>56575.626634079803</v>
      </c>
      <c r="I270" s="60">
        <v>565.75626634079799</v>
      </c>
      <c r="J270" s="110">
        <v>24.38</v>
      </c>
      <c r="K270" s="112">
        <v>1.042</v>
      </c>
      <c r="L270" s="60">
        <v>19.180000000000064</v>
      </c>
      <c r="M270" s="60">
        <f>_xlfn.XLOOKUP(A270,'[1]FRV Output'!$F:$F,'[1]FRV Output'!$BC:$BC)</f>
        <v>21.888148395262313</v>
      </c>
      <c r="N270" s="64"/>
      <c r="O270" s="64"/>
      <c r="R270" s="32"/>
      <c r="T270" s="60"/>
      <c r="U270" s="110"/>
      <c r="V270" s="112"/>
    </row>
    <row r="271" spans="1:22" x14ac:dyDescent="0.25">
      <c r="A271">
        <v>1669449799</v>
      </c>
      <c r="B271" s="37">
        <v>0.65694229778464708</v>
      </c>
      <c r="C271" s="64">
        <v>33662</v>
      </c>
      <c r="D271" s="64">
        <v>33662</v>
      </c>
      <c r="E271" s="32">
        <v>27215</v>
      </c>
      <c r="F271" s="64">
        <v>104</v>
      </c>
      <c r="G271" s="60">
        <v>1.9600000000000364</v>
      </c>
      <c r="H271" s="64">
        <v>130999.99999999999</v>
      </c>
      <c r="I271" s="60">
        <v>1259.6153846153845</v>
      </c>
      <c r="J271" s="110">
        <v>0</v>
      </c>
      <c r="K271" s="112">
        <v>0.93730000000000002</v>
      </c>
      <c r="L271" s="60">
        <v>1.9600000000000364</v>
      </c>
      <c r="M271" s="60">
        <f>_xlfn.XLOOKUP(A271,'[1]FRV Output'!$F:$F,'[1]FRV Output'!$BC:$BC)</f>
        <v>38.049227802863761</v>
      </c>
      <c r="N271" s="64"/>
      <c r="O271" s="64"/>
      <c r="R271" s="32"/>
      <c r="T271" s="60"/>
      <c r="U271" s="110"/>
      <c r="V271" s="112"/>
    </row>
    <row r="272" spans="1:22" x14ac:dyDescent="0.25">
      <c r="A272">
        <v>1669613071</v>
      </c>
      <c r="B272" s="37">
        <v>0.65</v>
      </c>
      <c r="C272" s="64">
        <v>35052</v>
      </c>
      <c r="D272" s="64">
        <v>35052</v>
      </c>
      <c r="E272" s="32">
        <v>27282</v>
      </c>
      <c r="F272" s="64">
        <v>150</v>
      </c>
      <c r="G272" s="60">
        <v>13</v>
      </c>
      <c r="H272" s="64">
        <v>0</v>
      </c>
      <c r="I272" s="60">
        <v>0</v>
      </c>
      <c r="J272" s="110">
        <v>24.38</v>
      </c>
      <c r="K272" s="112">
        <v>1.2941</v>
      </c>
      <c r="L272" s="60">
        <v>13</v>
      </c>
      <c r="M272" s="60">
        <f>_xlfn.XLOOKUP(A272,'[1]FRV Output'!$F:$F,'[1]FRV Output'!$BC:$BC)</f>
        <v>18.887520250723242</v>
      </c>
      <c r="N272" s="64"/>
      <c r="O272" s="64"/>
      <c r="R272" s="32"/>
      <c r="T272" s="60"/>
      <c r="U272" s="110"/>
      <c r="V272" s="112"/>
    </row>
    <row r="273" spans="1:22" x14ac:dyDescent="0.25">
      <c r="A273">
        <v>1669821336</v>
      </c>
      <c r="B273" s="37">
        <v>0.68462464873544759</v>
      </c>
      <c r="C273" s="64">
        <v>55356</v>
      </c>
      <c r="D273" s="64">
        <v>55356</v>
      </c>
      <c r="E273" s="32">
        <v>27704</v>
      </c>
      <c r="F273" s="64">
        <v>232</v>
      </c>
      <c r="G273" s="60">
        <v>25.700000000000045</v>
      </c>
      <c r="H273" s="64">
        <v>0</v>
      </c>
      <c r="I273" s="60">
        <v>0</v>
      </c>
      <c r="J273" s="110">
        <v>7.879999999999999</v>
      </c>
      <c r="K273" s="112">
        <v>1.2244999999999999</v>
      </c>
      <c r="L273" s="60">
        <v>25.700000000000045</v>
      </c>
      <c r="M273" s="60">
        <f>_xlfn.XLOOKUP(A273,'[1]FRV Output'!$F:$F,'[1]FRV Output'!$BC:$BC)</f>
        <v>12.885157087753111</v>
      </c>
      <c r="N273" s="64"/>
      <c r="O273" s="64"/>
      <c r="R273" s="32"/>
      <c r="T273" s="60"/>
      <c r="U273" s="110"/>
      <c r="V273" s="112"/>
    </row>
    <row r="274" spans="1:22" x14ac:dyDescent="0.25">
      <c r="A274">
        <v>1669991865</v>
      </c>
      <c r="B274" s="37">
        <v>0.65375406191209173</v>
      </c>
      <c r="C274" s="64">
        <v>28905</v>
      </c>
      <c r="D274" s="64">
        <v>28905</v>
      </c>
      <c r="E274" s="32">
        <v>27012</v>
      </c>
      <c r="F274" s="64">
        <v>120</v>
      </c>
      <c r="G274" s="60">
        <v>34.5</v>
      </c>
      <c r="H274" s="64">
        <v>49074.893617021276</v>
      </c>
      <c r="I274" s="60">
        <v>408.95744680851061</v>
      </c>
      <c r="J274" s="110">
        <v>24.38</v>
      </c>
      <c r="K274" s="112">
        <v>1.0916999999999999</v>
      </c>
      <c r="L274" s="60">
        <v>53.690000000000055</v>
      </c>
      <c r="M274" s="60">
        <f>_xlfn.XLOOKUP(A274,'[1]FRV Output'!$F:$F,'[1]FRV Output'!$BC:$BC)</f>
        <v>9.8495570958105105</v>
      </c>
      <c r="N274" s="64"/>
      <c r="O274" s="64"/>
      <c r="R274" s="32"/>
      <c r="T274" s="60"/>
      <c r="U274" s="110"/>
      <c r="V274" s="112"/>
    </row>
    <row r="275" spans="1:22" x14ac:dyDescent="0.25">
      <c r="A275">
        <v>1679555403</v>
      </c>
      <c r="B275" s="37">
        <v>0.68091956619972893</v>
      </c>
      <c r="C275" s="64">
        <v>25992</v>
      </c>
      <c r="D275" s="64">
        <v>25992</v>
      </c>
      <c r="E275" s="32">
        <v>28803</v>
      </c>
      <c r="F275" s="64">
        <v>70</v>
      </c>
      <c r="G275" s="60">
        <v>1.6199999999998909</v>
      </c>
      <c r="H275" s="64">
        <v>45943.370541791446</v>
      </c>
      <c r="I275" s="60">
        <v>656.33386488273493</v>
      </c>
      <c r="J275" s="110">
        <v>0</v>
      </c>
      <c r="K275" s="112">
        <v>0.9486</v>
      </c>
      <c r="L275" s="60">
        <v>1.6199999999998909</v>
      </c>
      <c r="M275" s="60">
        <f>_xlfn.XLOOKUP(A275,'[1]FRV Output'!$F:$F,'[1]FRV Output'!$BC:$BC)</f>
        <v>30.239146260215769</v>
      </c>
      <c r="N275" s="64"/>
      <c r="O275" s="64"/>
      <c r="R275" s="32"/>
      <c r="T275" s="60"/>
      <c r="U275" s="110"/>
      <c r="V275" s="112"/>
    </row>
    <row r="276" spans="1:22" x14ac:dyDescent="0.25">
      <c r="A276">
        <v>1689147035</v>
      </c>
      <c r="B276" s="37">
        <v>0.65725574121326857</v>
      </c>
      <c r="C276" s="64">
        <v>27754</v>
      </c>
      <c r="D276" s="64">
        <v>27754</v>
      </c>
      <c r="E276" s="32">
        <v>27401</v>
      </c>
      <c r="F276" s="64">
        <v>105</v>
      </c>
      <c r="G276" s="60">
        <v>30.069999999999936</v>
      </c>
      <c r="H276" s="64">
        <v>26785.279999999999</v>
      </c>
      <c r="I276" s="60">
        <v>255.09790476190474</v>
      </c>
      <c r="J276" s="110">
        <v>24.38</v>
      </c>
      <c r="K276" s="112">
        <v>1.0915999999999999</v>
      </c>
      <c r="L276" s="60">
        <v>30.069999999999936</v>
      </c>
      <c r="M276" s="60">
        <f>_xlfn.XLOOKUP(A276,'[1]FRV Output'!$F:$F,'[1]FRV Output'!$BC:$BC)</f>
        <v>10.198115553278665</v>
      </c>
      <c r="N276" s="64"/>
      <c r="O276" s="64"/>
      <c r="R276" s="32"/>
      <c r="T276" s="60"/>
      <c r="U276" s="110"/>
      <c r="V276" s="112"/>
    </row>
    <row r="277" spans="1:22" x14ac:dyDescent="0.25">
      <c r="A277">
        <v>1689603060</v>
      </c>
      <c r="B277" s="37">
        <v>0.66518987341772151</v>
      </c>
      <c r="C277" s="64">
        <v>30252</v>
      </c>
      <c r="D277" s="64">
        <v>30252</v>
      </c>
      <c r="E277" s="32">
        <v>28345</v>
      </c>
      <c r="F277" s="64">
        <v>105</v>
      </c>
      <c r="G277" s="60">
        <v>23.660000000000082</v>
      </c>
      <c r="H277" s="64">
        <v>34985.890631282673</v>
      </c>
      <c r="I277" s="60">
        <v>333.19895839316831</v>
      </c>
      <c r="J277" s="110">
        <v>24.38</v>
      </c>
      <c r="K277" s="112">
        <v>1.2859</v>
      </c>
      <c r="L277" s="60">
        <v>23.660000000000082</v>
      </c>
      <c r="M277" s="60">
        <f>_xlfn.XLOOKUP(A277,'[1]FRV Output'!$F:$F,'[1]FRV Output'!$BC:$BC)</f>
        <v>13.561206979267084</v>
      </c>
      <c r="N277" s="64"/>
      <c r="O277" s="64"/>
      <c r="R277" s="32"/>
      <c r="T277" s="60"/>
      <c r="U277" s="110"/>
      <c r="V277" s="112"/>
    </row>
    <row r="278" spans="1:22" x14ac:dyDescent="0.25">
      <c r="A278">
        <v>1689621880</v>
      </c>
      <c r="B278" s="37">
        <v>0.67562380038387715</v>
      </c>
      <c r="C278" s="64">
        <v>32867</v>
      </c>
      <c r="D278" s="64">
        <v>32867</v>
      </c>
      <c r="E278" s="32">
        <v>28213</v>
      </c>
      <c r="F278" s="64">
        <v>120</v>
      </c>
      <c r="G278" s="60">
        <v>25.230000000000018</v>
      </c>
      <c r="H278" s="64">
        <v>38556</v>
      </c>
      <c r="I278" s="60">
        <v>321.3</v>
      </c>
      <c r="J278" s="110">
        <v>24.38</v>
      </c>
      <c r="K278" s="112">
        <v>1.1057999999999999</v>
      </c>
      <c r="L278" s="60">
        <v>25.230000000000018</v>
      </c>
      <c r="M278" s="60">
        <f>_xlfn.XLOOKUP(A278,'[1]FRV Output'!$F:$F,'[1]FRV Output'!$BC:$BC)</f>
        <v>13.213480904652842</v>
      </c>
      <c r="N278" s="64"/>
      <c r="O278" s="64"/>
      <c r="R278" s="32"/>
      <c r="T278" s="60"/>
      <c r="U278" s="110"/>
      <c r="V278" s="112"/>
    </row>
    <row r="279" spans="1:22" x14ac:dyDescent="0.25">
      <c r="A279">
        <v>1689628141</v>
      </c>
      <c r="B279" s="37">
        <v>0.63938856515497</v>
      </c>
      <c r="C279" s="64">
        <v>807</v>
      </c>
      <c r="D279" s="64">
        <v>807</v>
      </c>
      <c r="E279" s="32">
        <v>28472</v>
      </c>
      <c r="F279" s="64">
        <v>89</v>
      </c>
      <c r="G279" s="60">
        <v>10.420000000000073</v>
      </c>
      <c r="H279" s="64">
        <v>27565.983412322275</v>
      </c>
      <c r="I279" s="60">
        <v>309.73015070025031</v>
      </c>
      <c r="J279" s="110">
        <v>24.38</v>
      </c>
      <c r="K279" s="112">
        <v>1.2149000000000001</v>
      </c>
      <c r="L279" s="60">
        <v>10.420000000000073</v>
      </c>
      <c r="M279" s="60">
        <f>_xlfn.XLOOKUP(A279,'[1]FRV Output'!$F:$F,'[1]FRV Output'!$BC:$BC)</f>
        <v>18.67163720732885</v>
      </c>
      <c r="N279" s="64"/>
      <c r="O279" s="64"/>
      <c r="R279" s="32"/>
      <c r="T279" s="60"/>
      <c r="U279" s="110"/>
      <c r="V279" s="112"/>
    </row>
    <row r="280" spans="1:22" x14ac:dyDescent="0.25">
      <c r="A280">
        <v>1689640583</v>
      </c>
      <c r="B280" s="37">
        <v>0.62985595809690087</v>
      </c>
      <c r="C280" s="64">
        <v>24126</v>
      </c>
      <c r="D280" s="64">
        <v>24126</v>
      </c>
      <c r="E280" s="32">
        <v>28581</v>
      </c>
      <c r="F280" s="64">
        <v>144</v>
      </c>
      <c r="G280" s="60">
        <v>27.829999999999927</v>
      </c>
      <c r="H280" s="64">
        <v>54609.836065573771</v>
      </c>
      <c r="I280" s="60">
        <v>379.23497267759564</v>
      </c>
      <c r="J280" s="110">
        <v>24.38</v>
      </c>
      <c r="K280" s="112">
        <v>1.3426</v>
      </c>
      <c r="L280" s="60">
        <v>27.829999999999927</v>
      </c>
      <c r="M280" s="60">
        <f>_xlfn.XLOOKUP(A280,'[1]FRV Output'!$F:$F,'[1]FRV Output'!$BC:$BC)</f>
        <v>11.503704463585088</v>
      </c>
      <c r="N280" s="64"/>
      <c r="O280" s="64"/>
      <c r="R280" s="32"/>
      <c r="T280" s="60"/>
      <c r="U280" s="110"/>
      <c r="V280" s="112"/>
    </row>
    <row r="281" spans="1:22" x14ac:dyDescent="0.25">
      <c r="A281">
        <v>1689777971</v>
      </c>
      <c r="B281" s="37">
        <v>0.56386922817660945</v>
      </c>
      <c r="C281" s="64">
        <v>23002</v>
      </c>
      <c r="D281" s="64">
        <v>23002</v>
      </c>
      <c r="E281" s="32">
        <v>28349</v>
      </c>
      <c r="F281" s="64">
        <v>92</v>
      </c>
      <c r="G281" s="60">
        <v>33.380000000000109</v>
      </c>
      <c r="H281" s="64">
        <v>25500</v>
      </c>
      <c r="I281" s="60">
        <v>277.17391304347825</v>
      </c>
      <c r="J281" s="110">
        <v>24.38</v>
      </c>
      <c r="K281" s="112">
        <v>1.327</v>
      </c>
      <c r="L281" s="60">
        <v>33.380000000000109</v>
      </c>
      <c r="M281" s="60">
        <f>_xlfn.XLOOKUP(A281,'[1]FRV Output'!$F:$F,'[1]FRV Output'!$BC:$BC)</f>
        <v>8.4973227290259974</v>
      </c>
      <c r="N281" s="64"/>
      <c r="O281" s="64"/>
      <c r="R281" s="32"/>
      <c r="T281" s="60"/>
      <c r="U281" s="110"/>
      <c r="V281" s="112"/>
    </row>
    <row r="282" spans="1:22" x14ac:dyDescent="0.25">
      <c r="A282">
        <v>1699310839</v>
      </c>
      <c r="B282" s="37">
        <v>0.68137806800270206</v>
      </c>
      <c r="C282" s="64">
        <v>25946</v>
      </c>
      <c r="D282" s="64">
        <v>23919.989924433248</v>
      </c>
      <c r="E282" s="32">
        <v>28139</v>
      </c>
      <c r="F282" s="64">
        <v>80</v>
      </c>
      <c r="G282" s="60">
        <v>16.6099999999999</v>
      </c>
      <c r="H282" s="64">
        <v>33469</v>
      </c>
      <c r="I282" s="60">
        <v>418.36250000000001</v>
      </c>
      <c r="J282" s="110">
        <v>24.38</v>
      </c>
      <c r="K282" s="112">
        <v>1.1255999999999999</v>
      </c>
      <c r="L282" s="60">
        <v>16.6099999999999</v>
      </c>
      <c r="M282" s="60">
        <f>_xlfn.XLOOKUP(A282,'[1]FRV Output'!$F:$F,'[1]FRV Output'!$BC:$BC)</f>
        <v>18.482293327394999</v>
      </c>
      <c r="N282" s="64"/>
      <c r="O282" s="64"/>
      <c r="R282" s="32"/>
      <c r="T282" s="60"/>
      <c r="U282" s="110"/>
      <c r="V282" s="112"/>
    </row>
    <row r="283" spans="1:22" x14ac:dyDescent="0.25">
      <c r="A283">
        <v>1699313544</v>
      </c>
      <c r="B283" s="37">
        <v>0.65053975258056895</v>
      </c>
      <c r="C283" s="64">
        <v>37968</v>
      </c>
      <c r="D283" s="64">
        <v>37968</v>
      </c>
      <c r="E283" s="32">
        <v>28115</v>
      </c>
      <c r="F283" s="64">
        <v>130</v>
      </c>
      <c r="G283" s="60">
        <v>9.9800000000000182</v>
      </c>
      <c r="H283" s="64">
        <v>24819.52131974505</v>
      </c>
      <c r="I283" s="60">
        <v>190.91939476726961</v>
      </c>
      <c r="J283" s="110">
        <v>24.38</v>
      </c>
      <c r="K283" s="112">
        <v>1.0502</v>
      </c>
      <c r="L283" s="60">
        <v>9.9800000000000182</v>
      </c>
      <c r="M283" s="60">
        <f>_xlfn.XLOOKUP(A283,'[1]FRV Output'!$F:$F,'[1]FRV Output'!$BC:$BC)</f>
        <v>19.625139708775304</v>
      </c>
      <c r="N283" s="64"/>
      <c r="O283" s="64"/>
      <c r="R283" s="32"/>
      <c r="T283" s="60"/>
      <c r="U283" s="110"/>
      <c r="V283" s="112"/>
    </row>
    <row r="284" spans="1:22" x14ac:dyDescent="0.25">
      <c r="A284">
        <v>1699336776</v>
      </c>
      <c r="B284" s="37">
        <v>0.59826346746335546</v>
      </c>
      <c r="C284" s="64">
        <v>13207</v>
      </c>
      <c r="D284" s="64">
        <v>13207</v>
      </c>
      <c r="E284" s="32">
        <v>28056</v>
      </c>
      <c r="F284" s="64">
        <v>50</v>
      </c>
      <c r="G284" s="60">
        <v>34.5</v>
      </c>
      <c r="H284" s="64">
        <v>0</v>
      </c>
      <c r="I284" s="60">
        <v>0</v>
      </c>
      <c r="J284" s="110">
        <v>24.38</v>
      </c>
      <c r="K284" s="112">
        <v>1.0475000000000001</v>
      </c>
      <c r="L284" s="60">
        <v>53.930000000000064</v>
      </c>
      <c r="M284" s="60">
        <f>_xlfn.XLOOKUP(A284,'[1]FRV Output'!$F:$F,'[1]FRV Output'!$BC:$BC)</f>
        <v>8.1039503375120514</v>
      </c>
      <c r="N284" s="64"/>
      <c r="O284" s="64"/>
      <c r="R284" s="32"/>
      <c r="T284" s="60"/>
      <c r="U284" s="110"/>
      <c r="V284" s="112"/>
    </row>
    <row r="285" spans="1:22" x14ac:dyDescent="0.25">
      <c r="A285">
        <v>1699710293</v>
      </c>
      <c r="B285" s="37">
        <v>0.52830844043070513</v>
      </c>
      <c r="C285" s="64">
        <v>21142</v>
      </c>
      <c r="D285" s="64">
        <v>21142</v>
      </c>
      <c r="E285" s="32">
        <v>28532</v>
      </c>
      <c r="F285" s="64">
        <v>70</v>
      </c>
      <c r="G285" s="60">
        <v>13.349999999999909</v>
      </c>
      <c r="H285" s="64">
        <v>32602</v>
      </c>
      <c r="I285" s="60">
        <v>465.74285714285713</v>
      </c>
      <c r="J285" s="110">
        <v>24.38</v>
      </c>
      <c r="K285" s="112">
        <v>1.1732</v>
      </c>
      <c r="L285" s="60">
        <v>13.349999999999909</v>
      </c>
      <c r="M285" s="60">
        <f>_xlfn.XLOOKUP(A285,'[1]FRV Output'!$F:$F,'[1]FRV Output'!$BC:$BC)</f>
        <v>20.224349960658607</v>
      </c>
      <c r="N285" s="64"/>
      <c r="O285" s="64"/>
      <c r="R285" s="32"/>
      <c r="T285" s="60"/>
      <c r="U285" s="110"/>
      <c r="V285" s="112"/>
    </row>
    <row r="286" spans="1:22" x14ac:dyDescent="0.25">
      <c r="A286">
        <v>1699886085</v>
      </c>
      <c r="B286" s="37">
        <v>0.69083293056226835</v>
      </c>
      <c r="C286" s="64">
        <v>32187</v>
      </c>
      <c r="D286" s="64">
        <v>32187</v>
      </c>
      <c r="E286" s="32">
        <v>28303</v>
      </c>
      <c r="F286" s="64">
        <v>106</v>
      </c>
      <c r="G286" s="60">
        <v>19.980000000000018</v>
      </c>
      <c r="H286" s="64">
        <v>62214.991169641842</v>
      </c>
      <c r="I286" s="60">
        <v>586.93387895888532</v>
      </c>
      <c r="J286" s="110">
        <v>24.38</v>
      </c>
      <c r="K286" s="112">
        <v>1.0987</v>
      </c>
      <c r="L286" s="60">
        <v>19.980000000000018</v>
      </c>
      <c r="M286" s="60">
        <f>_xlfn.XLOOKUP(A286,'[1]FRV Output'!$F:$F,'[1]FRV Output'!$BC:$BC)</f>
        <v>22.760418451217575</v>
      </c>
      <c r="N286" s="64"/>
      <c r="O286" s="64"/>
      <c r="R286" s="32"/>
      <c r="T286" s="60"/>
      <c r="U286" s="110"/>
      <c r="V286" s="112"/>
    </row>
    <row r="287" spans="1:22" x14ac:dyDescent="0.25">
      <c r="A287">
        <v>1700812146</v>
      </c>
      <c r="B287" s="37">
        <v>0.61473906911142451</v>
      </c>
      <c r="C287" s="64">
        <v>30703</v>
      </c>
      <c r="D287" s="64">
        <v>30703</v>
      </c>
      <c r="E287" s="32">
        <v>27893</v>
      </c>
      <c r="F287" s="64">
        <v>95</v>
      </c>
      <c r="G287" s="60">
        <v>16.069999999999936</v>
      </c>
      <c r="H287" s="64">
        <v>32672.617388968087</v>
      </c>
      <c r="I287" s="60">
        <v>343.92228830492724</v>
      </c>
      <c r="J287" s="110">
        <v>24.38</v>
      </c>
      <c r="K287" s="112">
        <v>1.1867000000000001</v>
      </c>
      <c r="L287" s="60">
        <v>16.069999999999936</v>
      </c>
      <c r="M287" s="60">
        <f>_xlfn.XLOOKUP(A287,'[1]FRV Output'!$F:$F,'[1]FRV Output'!$BC:$BC)</f>
        <v>16.56904723522134</v>
      </c>
      <c r="N287" s="64"/>
      <c r="O287" s="64"/>
      <c r="R287" s="32"/>
      <c r="T287" s="60"/>
      <c r="U287" s="110"/>
      <c r="V287" s="112"/>
    </row>
    <row r="288" spans="1:22" x14ac:dyDescent="0.25">
      <c r="A288">
        <v>1700821865</v>
      </c>
      <c r="B288" s="37">
        <v>0.6609371126353194</v>
      </c>
      <c r="C288" s="64">
        <v>19168</v>
      </c>
      <c r="D288" s="64">
        <v>19168</v>
      </c>
      <c r="E288" s="32">
        <v>27263</v>
      </c>
      <c r="F288" s="64">
        <v>68</v>
      </c>
      <c r="G288" s="60">
        <v>21.589999999999918</v>
      </c>
      <c r="H288" s="64">
        <v>26352</v>
      </c>
      <c r="I288" s="60">
        <v>387.52941176470586</v>
      </c>
      <c r="J288" s="110">
        <v>24.38</v>
      </c>
      <c r="K288" s="112">
        <v>1.1695</v>
      </c>
      <c r="L288" s="60">
        <v>21.589999999999918</v>
      </c>
      <c r="M288" s="60">
        <f>_xlfn.XLOOKUP(A288,'[1]FRV Output'!$F:$F,'[1]FRV Output'!$BC:$BC)</f>
        <v>14.824305549373225</v>
      </c>
      <c r="N288" s="64"/>
      <c r="O288" s="64"/>
      <c r="R288" s="32"/>
      <c r="T288" s="60"/>
      <c r="U288" s="110"/>
      <c r="V288" s="112"/>
    </row>
    <row r="289" spans="1:22" x14ac:dyDescent="0.25">
      <c r="A289">
        <v>1700833233</v>
      </c>
      <c r="B289" s="37">
        <v>0.52217022289204407</v>
      </c>
      <c r="C289" s="64">
        <v>23703</v>
      </c>
      <c r="D289" s="64">
        <v>23703</v>
      </c>
      <c r="E289" s="32">
        <v>28075</v>
      </c>
      <c r="F289" s="64">
        <v>70</v>
      </c>
      <c r="G289" s="60">
        <v>5.2899999999999636</v>
      </c>
      <c r="H289" s="64">
        <v>32224</v>
      </c>
      <c r="I289" s="60">
        <v>460.34285714285716</v>
      </c>
      <c r="J289" s="110">
        <v>24.38</v>
      </c>
      <c r="K289" s="112">
        <v>1.1400999999999999</v>
      </c>
      <c r="L289" s="60">
        <v>5.2899999999999636</v>
      </c>
      <c r="M289" s="60">
        <f>_xlfn.XLOOKUP(A289,'[1]FRV Output'!$F:$F,'[1]FRV Output'!$BC:$BC)</f>
        <v>22.803268307353516</v>
      </c>
      <c r="N289" s="64"/>
      <c r="O289" s="64"/>
      <c r="R289" s="32"/>
      <c r="T289" s="60"/>
      <c r="U289" s="110"/>
      <c r="V289" s="112"/>
    </row>
    <row r="290" spans="1:22" x14ac:dyDescent="0.25">
      <c r="A290">
        <v>1700874880</v>
      </c>
      <c r="B290" s="37">
        <v>0.65005129958960328</v>
      </c>
      <c r="C290" s="64">
        <v>14896</v>
      </c>
      <c r="D290" s="64">
        <v>14896</v>
      </c>
      <c r="E290" s="32">
        <v>28806</v>
      </c>
      <c r="F290" s="64">
        <v>100</v>
      </c>
      <c r="G290" s="60">
        <v>6.3499999999999091</v>
      </c>
      <c r="H290" s="64">
        <v>0</v>
      </c>
      <c r="I290" s="60">
        <v>0</v>
      </c>
      <c r="J290" s="110">
        <v>24.38</v>
      </c>
      <c r="K290" s="112">
        <v>1.1552</v>
      </c>
      <c r="L290" s="60">
        <v>6.3499999999999091</v>
      </c>
      <c r="M290" s="60">
        <f>_xlfn.XLOOKUP(A290,'[1]FRV Output'!$F:$F,'[1]FRV Output'!$BC:$BC)</f>
        <v>22.436496325337554</v>
      </c>
      <c r="N290" s="64"/>
      <c r="O290" s="64"/>
      <c r="R290" s="32"/>
      <c r="T290" s="60"/>
      <c r="U290" s="110"/>
      <c r="V290" s="112"/>
    </row>
    <row r="291" spans="1:22" x14ac:dyDescent="0.25">
      <c r="A291">
        <v>1710244827</v>
      </c>
      <c r="B291" s="37">
        <v>0.71873120865904983</v>
      </c>
      <c r="C291" s="64">
        <v>34458</v>
      </c>
      <c r="D291" s="64">
        <v>34458</v>
      </c>
      <c r="E291" s="32">
        <v>27105</v>
      </c>
      <c r="F291" s="64">
        <v>200</v>
      </c>
      <c r="G291" s="60">
        <v>4.9200000000000728</v>
      </c>
      <c r="H291" s="64">
        <v>132646.53333333333</v>
      </c>
      <c r="I291" s="60">
        <v>663.23266666666666</v>
      </c>
      <c r="J291" s="110">
        <v>24.38</v>
      </c>
      <c r="K291" s="112">
        <v>1.3199000000000001</v>
      </c>
      <c r="L291" s="60">
        <v>4.9200000000000728</v>
      </c>
      <c r="M291" s="60">
        <f>_xlfn.XLOOKUP(A291,'[1]FRV Output'!$F:$F,'[1]FRV Output'!$BC:$BC)</f>
        <v>35.658329072638232</v>
      </c>
      <c r="N291" s="64"/>
      <c r="O291" s="64"/>
      <c r="R291" s="32"/>
      <c r="T291" s="60"/>
      <c r="U291" s="110"/>
      <c r="V291" s="112"/>
    </row>
    <row r="292" spans="1:22" x14ac:dyDescent="0.25">
      <c r="A292">
        <v>1710312079</v>
      </c>
      <c r="B292" s="37">
        <v>0.65</v>
      </c>
      <c r="C292" s="64">
        <v>34368</v>
      </c>
      <c r="D292" s="64">
        <v>34368</v>
      </c>
      <c r="E292" s="32">
        <v>28227</v>
      </c>
      <c r="F292" s="64">
        <v>120</v>
      </c>
      <c r="G292" s="60">
        <v>9.5</v>
      </c>
      <c r="H292" s="64">
        <v>66812</v>
      </c>
      <c r="I292" s="60">
        <v>556.76666666666665</v>
      </c>
      <c r="J292" s="110">
        <v>24.38</v>
      </c>
      <c r="K292" s="112">
        <v>1.2921</v>
      </c>
      <c r="L292" s="60">
        <v>9.5</v>
      </c>
      <c r="M292" s="60">
        <f>_xlfn.XLOOKUP(A292,'[1]FRV Output'!$F:$F,'[1]FRV Output'!$BC:$BC)</f>
        <v>28.249215520395378</v>
      </c>
      <c r="N292" s="64"/>
      <c r="O292" s="64"/>
      <c r="R292" s="32"/>
      <c r="T292" s="60"/>
      <c r="U292" s="110"/>
      <c r="V292" s="112"/>
    </row>
    <row r="293" spans="1:22" x14ac:dyDescent="0.25">
      <c r="A293">
        <v>1710537998</v>
      </c>
      <c r="B293" s="37">
        <v>0.71403903903903909</v>
      </c>
      <c r="C293" s="64">
        <v>34583</v>
      </c>
      <c r="D293" s="64">
        <v>34583</v>
      </c>
      <c r="E293" s="32">
        <v>28150</v>
      </c>
      <c r="F293" s="64">
        <v>120</v>
      </c>
      <c r="G293" s="60">
        <v>3</v>
      </c>
      <c r="H293" s="64">
        <v>0</v>
      </c>
      <c r="I293" s="60">
        <v>0</v>
      </c>
      <c r="J293" s="110">
        <v>24.38</v>
      </c>
      <c r="K293" s="112">
        <v>1.0192000000000001</v>
      </c>
      <c r="L293" s="60">
        <v>3</v>
      </c>
      <c r="M293" s="60">
        <f>_xlfn.XLOOKUP(A293,'[1]FRV Output'!$F:$F,'[1]FRV Output'!$BC:$BC)</f>
        <v>24.950034709498553</v>
      </c>
      <c r="N293" s="64"/>
      <c r="O293" s="64"/>
      <c r="R293" s="32"/>
      <c r="T293" s="60"/>
      <c r="U293" s="110"/>
      <c r="V293" s="112"/>
    </row>
    <row r="294" spans="1:22" x14ac:dyDescent="0.25">
      <c r="A294">
        <v>1710932355</v>
      </c>
      <c r="B294" s="37">
        <v>0.65145205775782811</v>
      </c>
      <c r="C294" s="64">
        <v>8136</v>
      </c>
      <c r="D294" s="64">
        <v>8136</v>
      </c>
      <c r="E294" s="32">
        <v>27886</v>
      </c>
      <c r="F294" s="64">
        <v>30</v>
      </c>
      <c r="G294" s="60">
        <v>3</v>
      </c>
      <c r="H294" s="64">
        <v>0</v>
      </c>
      <c r="I294" s="60">
        <v>0</v>
      </c>
      <c r="J294" s="110">
        <v>24.38</v>
      </c>
      <c r="K294" s="112">
        <v>1.0107999999999999</v>
      </c>
      <c r="L294" s="60">
        <v>3</v>
      </c>
      <c r="M294" s="60">
        <f>_xlfn.XLOOKUP(A294,'[1]FRV Output'!$F:$F,'[1]FRV Output'!$BC:$BC)</f>
        <v>23.898673643924788</v>
      </c>
      <c r="N294" s="64"/>
      <c r="O294" s="64"/>
      <c r="R294" s="32"/>
      <c r="T294" s="60"/>
      <c r="U294" s="110"/>
      <c r="V294" s="112"/>
    </row>
    <row r="295" spans="1:22" x14ac:dyDescent="0.25">
      <c r="A295">
        <v>1720033475</v>
      </c>
      <c r="B295" s="37">
        <v>0.68405478525532626</v>
      </c>
      <c r="C295" s="64">
        <v>36774</v>
      </c>
      <c r="D295" s="64">
        <v>36774</v>
      </c>
      <c r="E295" s="32">
        <v>28329</v>
      </c>
      <c r="F295" s="64">
        <v>212</v>
      </c>
      <c r="G295" s="60">
        <v>34.5</v>
      </c>
      <c r="H295" s="64">
        <v>63826.184634229132</v>
      </c>
      <c r="I295" s="60">
        <v>301.06690865202421</v>
      </c>
      <c r="J295" s="110">
        <v>24.38</v>
      </c>
      <c r="K295" s="112">
        <v>1.2222</v>
      </c>
      <c r="L295" s="60">
        <v>35.150000000000091</v>
      </c>
      <c r="M295" s="60">
        <f>_xlfn.XLOOKUP(A295,'[1]FRV Output'!$F:$F,'[1]FRV Output'!$BC:$BC)</f>
        <v>8.1039503375120532</v>
      </c>
      <c r="N295" s="64"/>
      <c r="O295" s="64"/>
      <c r="R295" s="32"/>
      <c r="T295" s="60"/>
      <c r="U295" s="110"/>
      <c r="V295" s="112"/>
    </row>
    <row r="296" spans="1:22" x14ac:dyDescent="0.25">
      <c r="A296">
        <v>1720085293</v>
      </c>
      <c r="B296" s="37">
        <v>0.66428136419001216</v>
      </c>
      <c r="C296" s="64">
        <v>27332</v>
      </c>
      <c r="D296" s="64">
        <v>27332</v>
      </c>
      <c r="E296" s="32">
        <v>28450</v>
      </c>
      <c r="F296" s="64">
        <v>127</v>
      </c>
      <c r="G296" s="60">
        <v>33</v>
      </c>
      <c r="H296" s="64">
        <v>44849.588697017272</v>
      </c>
      <c r="I296" s="60">
        <v>353.1463676930494</v>
      </c>
      <c r="J296" s="110">
        <v>24.38</v>
      </c>
      <c r="K296" s="112">
        <v>1.1558999999999999</v>
      </c>
      <c r="L296" s="60">
        <v>33</v>
      </c>
      <c r="M296" s="60">
        <f>_xlfn.XLOOKUP(A296,'[1]FRV Output'!$F:$F,'[1]FRV Output'!$BC:$BC)</f>
        <v>8.7423252476002968</v>
      </c>
      <c r="N296" s="64"/>
      <c r="O296" s="64"/>
      <c r="R296" s="32"/>
      <c r="T296" s="60"/>
      <c r="U296" s="110"/>
      <c r="V296" s="112"/>
    </row>
    <row r="297" spans="1:22" x14ac:dyDescent="0.25">
      <c r="A297">
        <v>1720088339</v>
      </c>
      <c r="B297" s="37">
        <v>0.62858664536315823</v>
      </c>
      <c r="C297" s="64">
        <v>35712</v>
      </c>
      <c r="D297" s="64">
        <v>35712</v>
      </c>
      <c r="E297" s="32">
        <v>27288</v>
      </c>
      <c r="F297" s="64">
        <v>121</v>
      </c>
      <c r="G297" s="60">
        <v>27.460000000000036</v>
      </c>
      <c r="H297" s="64">
        <v>0</v>
      </c>
      <c r="I297" s="60">
        <v>0</v>
      </c>
      <c r="J297" s="110">
        <v>24.38</v>
      </c>
      <c r="K297" s="112">
        <v>1.0246</v>
      </c>
      <c r="L297" s="60">
        <v>27.460000000000036</v>
      </c>
      <c r="M297" s="60">
        <f>_xlfn.XLOOKUP(A297,'[1]FRV Output'!$F:$F,'[1]FRV Output'!$BC:$BC)</f>
        <v>11.311582372227567</v>
      </c>
      <c r="N297" s="64"/>
      <c r="O297" s="64"/>
      <c r="R297" s="32"/>
      <c r="T297" s="60"/>
      <c r="U297" s="110"/>
      <c r="V297" s="112"/>
    </row>
    <row r="298" spans="1:22" x14ac:dyDescent="0.25">
      <c r="A298">
        <v>1720166838</v>
      </c>
      <c r="B298" s="37">
        <v>0.63591459528362015</v>
      </c>
      <c r="C298" s="64">
        <v>35778</v>
      </c>
      <c r="D298" s="64">
        <v>35778</v>
      </c>
      <c r="E298" s="32">
        <v>27886</v>
      </c>
      <c r="F298" s="64">
        <v>118</v>
      </c>
      <c r="G298" s="60">
        <v>25.970000000000027</v>
      </c>
      <c r="H298" s="64">
        <v>47225</v>
      </c>
      <c r="I298" s="60">
        <v>400.21186440677968</v>
      </c>
      <c r="J298" s="110">
        <v>24.38</v>
      </c>
      <c r="K298" s="112">
        <v>1.1705000000000001</v>
      </c>
      <c r="L298" s="60">
        <v>25.970000000000027</v>
      </c>
      <c r="M298" s="60">
        <f>_xlfn.XLOOKUP(A298,'[1]FRV Output'!$F:$F,'[1]FRV Output'!$BC:$BC)</f>
        <v>13.127149364734677</v>
      </c>
      <c r="N298" s="64"/>
      <c r="O298" s="64"/>
      <c r="R298" s="32"/>
      <c r="T298" s="60"/>
      <c r="U298" s="110"/>
      <c r="V298" s="112"/>
    </row>
    <row r="299" spans="1:22" x14ac:dyDescent="0.25">
      <c r="A299">
        <v>1730136128</v>
      </c>
      <c r="B299" s="37">
        <v>0.6020549298557597</v>
      </c>
      <c r="C299" s="64">
        <v>31821</v>
      </c>
      <c r="D299" s="64">
        <v>31821</v>
      </c>
      <c r="E299" s="32">
        <v>28645</v>
      </c>
      <c r="F299" s="64">
        <v>100</v>
      </c>
      <c r="G299" s="60">
        <v>26.569999999999936</v>
      </c>
      <c r="H299" s="64">
        <v>38383</v>
      </c>
      <c r="I299" s="60">
        <v>383.83</v>
      </c>
      <c r="J299" s="110">
        <v>24.38</v>
      </c>
      <c r="K299" s="112">
        <v>1.1337999999999999</v>
      </c>
      <c r="L299" s="60">
        <v>26.569999999999936</v>
      </c>
      <c r="M299" s="60">
        <f>_xlfn.XLOOKUP(A299,'[1]FRV Output'!$F:$F,'[1]FRV Output'!$BC:$BC)</f>
        <v>11.535314863109791</v>
      </c>
      <c r="N299" s="64"/>
      <c r="O299" s="64"/>
      <c r="R299" s="32"/>
      <c r="T299" s="60"/>
      <c r="U299" s="110"/>
      <c r="V299" s="112"/>
    </row>
    <row r="300" spans="1:22" x14ac:dyDescent="0.25">
      <c r="A300">
        <v>1730136250</v>
      </c>
      <c r="B300" s="37">
        <v>0.65</v>
      </c>
      <c r="C300" s="64">
        <v>50672</v>
      </c>
      <c r="D300" s="64">
        <v>50672</v>
      </c>
      <c r="E300" s="32">
        <v>27603</v>
      </c>
      <c r="F300" s="64">
        <v>150</v>
      </c>
      <c r="G300" s="60">
        <v>3.8800000000001091</v>
      </c>
      <c r="H300" s="64">
        <v>57695</v>
      </c>
      <c r="I300" s="60">
        <v>384.63333333333333</v>
      </c>
      <c r="J300" s="110">
        <v>7.879999999999999</v>
      </c>
      <c r="K300" s="112">
        <v>1.1731</v>
      </c>
      <c r="L300" s="60">
        <v>3.8800000000001091</v>
      </c>
      <c r="M300" s="60">
        <f>_xlfn.XLOOKUP(A300,'[1]FRV Output'!$F:$F,'[1]FRV Output'!$BC:$BC)</f>
        <v>21.633286672817345</v>
      </c>
      <c r="N300" s="64"/>
      <c r="O300" s="64"/>
      <c r="R300" s="32"/>
      <c r="T300" s="60"/>
      <c r="U300" s="110"/>
      <c r="V300" s="112"/>
    </row>
    <row r="301" spans="1:22" x14ac:dyDescent="0.25">
      <c r="A301">
        <v>1730183625</v>
      </c>
      <c r="B301" s="37">
        <v>0.65</v>
      </c>
      <c r="C301" s="64">
        <v>13672</v>
      </c>
      <c r="D301" s="64">
        <v>13672</v>
      </c>
      <c r="E301" s="32">
        <v>27410</v>
      </c>
      <c r="F301" s="64">
        <v>40</v>
      </c>
      <c r="G301" s="60">
        <v>28</v>
      </c>
      <c r="H301" s="64">
        <v>0</v>
      </c>
      <c r="I301" s="60">
        <v>0</v>
      </c>
      <c r="J301" s="110">
        <v>0</v>
      </c>
      <c r="K301" s="112">
        <v>1.1792108485224528</v>
      </c>
      <c r="L301" s="60">
        <v>28</v>
      </c>
      <c r="M301" s="60">
        <f>_xlfn.XLOOKUP(A301,'[1]FRV Output'!$F:$F,'[1]FRV Output'!$BC:$BC)</f>
        <v>10.111326927296661</v>
      </c>
      <c r="N301" s="64"/>
      <c r="O301" s="64"/>
      <c r="R301" s="32"/>
      <c r="T301" s="60"/>
      <c r="U301" s="110"/>
      <c r="V301" s="112"/>
    </row>
    <row r="302" spans="1:22" x14ac:dyDescent="0.25">
      <c r="A302">
        <v>1730722240</v>
      </c>
      <c r="B302" s="37">
        <v>0.62320980363206846</v>
      </c>
      <c r="C302" s="64">
        <v>28749</v>
      </c>
      <c r="D302" s="64">
        <v>28749</v>
      </c>
      <c r="E302" s="32">
        <v>28687</v>
      </c>
      <c r="F302" s="64">
        <v>103</v>
      </c>
      <c r="G302" s="60">
        <v>6.5899999999999181</v>
      </c>
      <c r="H302" s="64">
        <v>57607.079646017693</v>
      </c>
      <c r="I302" s="60">
        <v>559.29203539823004</v>
      </c>
      <c r="J302" s="110">
        <v>24.38</v>
      </c>
      <c r="K302" s="112">
        <v>1.1822999999999999</v>
      </c>
      <c r="L302" s="60">
        <v>6.5899999999999181</v>
      </c>
      <c r="M302" s="60">
        <f>_xlfn.XLOOKUP(A302,'[1]FRV Output'!$F:$F,'[1]FRV Output'!$BC:$BC)</f>
        <v>28.569839250800054</v>
      </c>
      <c r="N302" s="64"/>
      <c r="O302" s="64"/>
      <c r="R302" s="32"/>
      <c r="T302" s="60"/>
      <c r="U302" s="110"/>
      <c r="V302" s="112"/>
    </row>
    <row r="303" spans="1:22" x14ac:dyDescent="0.25">
      <c r="A303">
        <v>1740249382</v>
      </c>
      <c r="B303" s="37">
        <v>0.58290378006872856</v>
      </c>
      <c r="C303" s="64">
        <v>30812</v>
      </c>
      <c r="D303" s="64">
        <v>30812</v>
      </c>
      <c r="E303" s="32">
        <v>27203</v>
      </c>
      <c r="F303" s="64">
        <v>96</v>
      </c>
      <c r="G303" s="60">
        <v>4.7300000000000182</v>
      </c>
      <c r="H303" s="64">
        <v>68667</v>
      </c>
      <c r="I303" s="60">
        <v>715.28125</v>
      </c>
      <c r="J303" s="110">
        <v>24.38</v>
      </c>
      <c r="K303" s="112">
        <v>1.1982999999999999</v>
      </c>
      <c r="L303" s="60">
        <v>4.7300000000000182</v>
      </c>
      <c r="M303" s="60">
        <f>_xlfn.XLOOKUP(A303,'[1]FRV Output'!$F:$F,'[1]FRV Output'!$BC:$BC)</f>
        <v>35.262441561988865</v>
      </c>
      <c r="N303" s="64"/>
      <c r="O303" s="64"/>
      <c r="R303" s="32"/>
      <c r="T303" s="60"/>
      <c r="U303" s="110"/>
      <c r="V303" s="112"/>
    </row>
    <row r="304" spans="1:22" x14ac:dyDescent="0.25">
      <c r="A304">
        <v>1740278126</v>
      </c>
      <c r="B304" s="37">
        <v>0.61162573298206846</v>
      </c>
      <c r="C304" s="64">
        <v>19597</v>
      </c>
      <c r="D304" s="64">
        <v>19597</v>
      </c>
      <c r="E304" s="32">
        <v>27536</v>
      </c>
      <c r="F304" s="64">
        <v>60</v>
      </c>
      <c r="G304" s="60">
        <v>33</v>
      </c>
      <c r="H304" s="64">
        <v>17598.563149617068</v>
      </c>
      <c r="I304" s="60">
        <v>293.30938582695114</v>
      </c>
      <c r="J304" s="110">
        <v>24.38</v>
      </c>
      <c r="K304" s="112">
        <v>1.2745</v>
      </c>
      <c r="L304" s="60">
        <v>33</v>
      </c>
      <c r="M304" s="60">
        <f>_xlfn.XLOOKUP(A304,'[1]FRV Output'!$F:$F,'[1]FRV Output'!$BC:$BC)</f>
        <v>8.1328011353778642</v>
      </c>
      <c r="N304" s="64"/>
      <c r="O304" s="64"/>
      <c r="R304" s="32"/>
      <c r="T304" s="60"/>
      <c r="U304" s="110"/>
      <c r="V304" s="112"/>
    </row>
    <row r="305" spans="1:22" x14ac:dyDescent="0.25">
      <c r="A305">
        <v>1740386473</v>
      </c>
      <c r="B305" s="37">
        <v>0.6399262332872292</v>
      </c>
      <c r="C305" s="64">
        <v>15594</v>
      </c>
      <c r="D305" s="64">
        <v>15594</v>
      </c>
      <c r="E305" s="32">
        <v>28645</v>
      </c>
      <c r="F305" s="64">
        <v>60</v>
      </c>
      <c r="G305" s="60">
        <v>2</v>
      </c>
      <c r="H305" s="64">
        <v>33020</v>
      </c>
      <c r="I305" s="60">
        <v>550.33333333333337</v>
      </c>
      <c r="J305" s="110">
        <v>24.38</v>
      </c>
      <c r="K305" s="112">
        <v>0.97689999999999999</v>
      </c>
      <c r="L305" s="60">
        <v>2</v>
      </c>
      <c r="M305" s="60">
        <f>_xlfn.XLOOKUP(A305,'[1]FRV Output'!$F:$F,'[1]FRV Output'!$BC:$BC)</f>
        <v>31.231053472516873</v>
      </c>
      <c r="N305" s="64"/>
      <c r="O305" s="64"/>
      <c r="R305" s="32"/>
      <c r="T305" s="60"/>
      <c r="U305" s="110"/>
      <c r="V305" s="112"/>
    </row>
    <row r="306" spans="1:22" x14ac:dyDescent="0.25">
      <c r="A306">
        <v>1750317897</v>
      </c>
      <c r="B306" s="37">
        <v>0.59639041034389872</v>
      </c>
      <c r="C306" s="64">
        <v>45961</v>
      </c>
      <c r="D306" s="64">
        <v>45961</v>
      </c>
      <c r="E306" s="32">
        <v>27889</v>
      </c>
      <c r="F306" s="64">
        <v>140</v>
      </c>
      <c r="G306" s="60">
        <v>21.160000000000082</v>
      </c>
      <c r="H306" s="64">
        <v>50098.111095564564</v>
      </c>
      <c r="I306" s="60">
        <v>357.84365068260405</v>
      </c>
      <c r="J306" s="110">
        <v>7.879999999999999</v>
      </c>
      <c r="K306" s="112">
        <v>1.1767000000000001</v>
      </c>
      <c r="L306" s="60">
        <v>21.160000000000082</v>
      </c>
      <c r="M306" s="60">
        <f>_xlfn.XLOOKUP(A306,'[1]FRV Output'!$F:$F,'[1]FRV Output'!$BC:$BC)</f>
        <v>13.499552407095115</v>
      </c>
      <c r="N306" s="64"/>
      <c r="O306" s="64"/>
      <c r="R306" s="32"/>
      <c r="T306" s="60"/>
      <c r="U306" s="110"/>
      <c r="V306" s="112"/>
    </row>
    <row r="307" spans="1:22" x14ac:dyDescent="0.25">
      <c r="A307">
        <v>1750418802</v>
      </c>
      <c r="B307" s="37">
        <v>0.62347307729893475</v>
      </c>
      <c r="C307" s="64">
        <v>17826</v>
      </c>
      <c r="D307" s="64">
        <v>17826</v>
      </c>
      <c r="E307" s="32">
        <v>27215</v>
      </c>
      <c r="F307" s="64">
        <v>105</v>
      </c>
      <c r="G307" s="60">
        <v>22</v>
      </c>
      <c r="H307" s="64">
        <v>0</v>
      </c>
      <c r="I307" s="60">
        <v>0</v>
      </c>
      <c r="J307" s="110">
        <v>0</v>
      </c>
      <c r="K307" s="112">
        <v>1.1792108485224528</v>
      </c>
      <c r="L307" s="60">
        <v>22</v>
      </c>
      <c r="M307" s="60">
        <f>_xlfn.XLOOKUP(A307,'[1]FRV Output'!$F:$F,'[1]FRV Output'!$BC:$BC)</f>
        <v>14.222856346432016</v>
      </c>
      <c r="N307" s="64"/>
      <c r="O307" s="64"/>
      <c r="R307" s="32"/>
      <c r="T307" s="60"/>
      <c r="U307" s="110"/>
      <c r="V307" s="112"/>
    </row>
    <row r="308" spans="1:22" x14ac:dyDescent="0.25">
      <c r="A308">
        <v>1750703278</v>
      </c>
      <c r="B308" s="37">
        <v>0.61911681091667192</v>
      </c>
      <c r="C308" s="64">
        <v>23162</v>
      </c>
      <c r="D308" s="64">
        <v>23162</v>
      </c>
      <c r="E308" s="32">
        <v>27893</v>
      </c>
      <c r="F308" s="64">
        <v>90</v>
      </c>
      <c r="G308" s="60">
        <v>17.1099999999999</v>
      </c>
      <c r="H308" s="64">
        <v>0</v>
      </c>
      <c r="I308" s="60">
        <v>0</v>
      </c>
      <c r="J308" s="110">
        <v>24.38</v>
      </c>
      <c r="K308" s="112">
        <v>1.0481</v>
      </c>
      <c r="L308" s="60">
        <v>17.1099999999999</v>
      </c>
      <c r="M308" s="60">
        <f>_xlfn.XLOOKUP(A308,'[1]FRV Output'!$F:$F,'[1]FRV Output'!$BC:$BC)</f>
        <v>16.783044565091654</v>
      </c>
      <c r="N308" s="64"/>
      <c r="O308" s="64"/>
      <c r="R308" s="32"/>
      <c r="T308" s="60"/>
      <c r="U308" s="110"/>
      <c r="V308" s="112"/>
    </row>
    <row r="309" spans="1:22" x14ac:dyDescent="0.25">
      <c r="A309">
        <v>1760032296</v>
      </c>
      <c r="B309" s="37">
        <v>0.54505282054822901</v>
      </c>
      <c r="C309" s="64">
        <v>23926</v>
      </c>
      <c r="D309" s="64">
        <v>23926</v>
      </c>
      <c r="E309" s="32">
        <v>27893</v>
      </c>
      <c r="F309" s="64">
        <v>110</v>
      </c>
      <c r="G309" s="60">
        <v>34.5</v>
      </c>
      <c r="H309" s="64">
        <v>30544</v>
      </c>
      <c r="I309" s="60">
        <v>277.67272727272729</v>
      </c>
      <c r="J309" s="110">
        <v>24.38</v>
      </c>
      <c r="K309" s="112">
        <v>1.2081999999999999</v>
      </c>
      <c r="L309" s="60">
        <v>47.450000000000045</v>
      </c>
      <c r="M309" s="60">
        <f>_xlfn.XLOOKUP(A309,'[1]FRV Output'!$F:$F,'[1]FRV Output'!$BC:$BC)</f>
        <v>7.3119773360753237</v>
      </c>
      <c r="N309" s="64"/>
      <c r="O309" s="64"/>
      <c r="R309" s="32"/>
      <c r="T309" s="60"/>
      <c r="U309" s="110"/>
      <c r="V309" s="112"/>
    </row>
    <row r="310" spans="1:22" x14ac:dyDescent="0.25">
      <c r="A310">
        <v>1760415434</v>
      </c>
      <c r="B310" s="37">
        <v>0.53791101208561198</v>
      </c>
      <c r="C310" s="64">
        <v>24760</v>
      </c>
      <c r="D310" s="64">
        <v>24760</v>
      </c>
      <c r="E310" s="32">
        <v>28792</v>
      </c>
      <c r="F310" s="64">
        <v>80</v>
      </c>
      <c r="G310" s="60">
        <v>29</v>
      </c>
      <c r="H310" s="64">
        <v>38004</v>
      </c>
      <c r="I310" s="60">
        <v>475.05</v>
      </c>
      <c r="J310" s="110">
        <v>24.38</v>
      </c>
      <c r="K310" s="112">
        <v>1.0717000000000001</v>
      </c>
      <c r="L310" s="60">
        <v>29</v>
      </c>
      <c r="M310" s="60">
        <f>_xlfn.XLOOKUP(A310,'[1]FRV Output'!$F:$F,'[1]FRV Output'!$BC:$BC)</f>
        <v>13.916002423662002</v>
      </c>
      <c r="N310" s="64"/>
      <c r="O310" s="64"/>
      <c r="R310" s="32"/>
      <c r="T310" s="60"/>
      <c r="U310" s="110"/>
      <c r="V310" s="112"/>
    </row>
    <row r="311" spans="1:22" x14ac:dyDescent="0.25">
      <c r="A311">
        <v>1760462196</v>
      </c>
      <c r="B311" s="37">
        <v>0.64982541455208587</v>
      </c>
      <c r="C311" s="64">
        <v>11978</v>
      </c>
      <c r="D311" s="64">
        <v>11978</v>
      </c>
      <c r="E311" s="32">
        <v>28677</v>
      </c>
      <c r="F311" s="64">
        <v>48</v>
      </c>
      <c r="G311" s="60">
        <v>34.5</v>
      </c>
      <c r="H311" s="64">
        <v>21394.17</v>
      </c>
      <c r="I311" s="60">
        <v>445.71187499999996</v>
      </c>
      <c r="J311" s="110">
        <v>24.38</v>
      </c>
      <c r="K311" s="112">
        <v>1.0296000000000001</v>
      </c>
      <c r="L311" s="60">
        <v>40.190000000000055</v>
      </c>
      <c r="M311" s="60">
        <f>_xlfn.XLOOKUP(A311,'[1]FRV Output'!$F:$F,'[1]FRV Output'!$BC:$BC)</f>
        <v>9.6574113727508006</v>
      </c>
      <c r="N311" s="64"/>
      <c r="O311" s="64"/>
      <c r="R311" s="32"/>
      <c r="T311" s="60"/>
      <c r="U311" s="110"/>
      <c r="V311" s="112"/>
    </row>
    <row r="312" spans="1:22" x14ac:dyDescent="0.25">
      <c r="A312">
        <v>1770149270</v>
      </c>
      <c r="B312" s="37">
        <v>0.60951682405794438</v>
      </c>
      <c r="C312" s="64">
        <v>32168</v>
      </c>
      <c r="D312" s="64">
        <v>32168</v>
      </c>
      <c r="E312" s="32">
        <v>27704</v>
      </c>
      <c r="F312" s="64">
        <v>111</v>
      </c>
      <c r="G312" s="60">
        <v>6.0199999999999818</v>
      </c>
      <c r="H312" s="64">
        <v>34618</v>
      </c>
      <c r="I312" s="60">
        <v>311.87387387387389</v>
      </c>
      <c r="J312" s="110">
        <v>24.38</v>
      </c>
      <c r="K312" s="112">
        <v>1.1116999999999999</v>
      </c>
      <c r="L312" s="60">
        <v>6.0199999999999818</v>
      </c>
      <c r="M312" s="60">
        <f>_xlfn.XLOOKUP(A312,'[1]FRV Output'!$F:$F,'[1]FRV Output'!$BC:$BC)</f>
        <v>22.690689027724183</v>
      </c>
      <c r="N312" s="64"/>
      <c r="O312" s="64"/>
      <c r="R312" s="32"/>
      <c r="T312" s="60"/>
      <c r="U312" s="110"/>
      <c r="V312" s="112"/>
    </row>
    <row r="313" spans="1:22" x14ac:dyDescent="0.25">
      <c r="A313">
        <v>1770538092</v>
      </c>
      <c r="B313" s="37">
        <v>0.65607766990291261</v>
      </c>
      <c r="C313" s="64">
        <v>27999</v>
      </c>
      <c r="D313" s="64">
        <v>27999</v>
      </c>
      <c r="E313" s="32">
        <v>28792</v>
      </c>
      <c r="F313" s="64">
        <v>100</v>
      </c>
      <c r="G313" s="60">
        <v>24.569999999999936</v>
      </c>
      <c r="H313" s="64">
        <v>0</v>
      </c>
      <c r="I313" s="60">
        <v>0</v>
      </c>
      <c r="J313" s="110">
        <v>24.38</v>
      </c>
      <c r="K313" s="112">
        <v>1.1909000000000001</v>
      </c>
      <c r="L313" s="60">
        <v>24.569999999999936</v>
      </c>
      <c r="M313" s="60">
        <f>_xlfn.XLOOKUP(A313,'[1]FRV Output'!$F:$F,'[1]FRV Output'!$BC:$BC)</f>
        <v>12.790056460342294</v>
      </c>
      <c r="N313" s="64"/>
      <c r="O313" s="64"/>
      <c r="R313" s="32"/>
      <c r="T313" s="60"/>
      <c r="U313" s="110"/>
      <c r="V313" s="112"/>
    </row>
    <row r="314" spans="1:22" x14ac:dyDescent="0.25">
      <c r="A314">
        <v>1770582363</v>
      </c>
      <c r="B314" s="37">
        <v>0.60726558664703001</v>
      </c>
      <c r="C314" s="64">
        <v>34584</v>
      </c>
      <c r="D314" s="64">
        <v>34584</v>
      </c>
      <c r="E314" s="32">
        <v>27502</v>
      </c>
      <c r="F314" s="64">
        <v>107</v>
      </c>
      <c r="G314" s="60">
        <v>6.2899999999999636</v>
      </c>
      <c r="H314" s="64">
        <v>0</v>
      </c>
      <c r="I314" s="60">
        <v>0</v>
      </c>
      <c r="J314" s="110">
        <v>24.38</v>
      </c>
      <c r="K314" s="112">
        <v>1.0403</v>
      </c>
      <c r="L314" s="60">
        <v>6.2899999999999636</v>
      </c>
      <c r="M314" s="60">
        <f>_xlfn.XLOOKUP(A314,'[1]FRV Output'!$F:$F,'[1]FRV Output'!$BC:$BC)</f>
        <v>19.905237078109781</v>
      </c>
      <c r="N314" s="64"/>
      <c r="O314" s="64"/>
      <c r="R314" s="32"/>
      <c r="T314" s="60"/>
      <c r="U314" s="110"/>
      <c r="V314" s="112"/>
    </row>
    <row r="315" spans="1:22" x14ac:dyDescent="0.25">
      <c r="A315">
        <v>1770618720</v>
      </c>
      <c r="B315" s="37">
        <v>0.71287522891949995</v>
      </c>
      <c r="C315" s="64">
        <v>43404</v>
      </c>
      <c r="D315" s="64">
        <v>43404</v>
      </c>
      <c r="E315" s="32">
        <v>28150</v>
      </c>
      <c r="F315" s="64">
        <v>160</v>
      </c>
      <c r="G315" s="60">
        <v>3.7899999999999636</v>
      </c>
      <c r="H315" s="64">
        <v>65390</v>
      </c>
      <c r="I315" s="60">
        <v>408.6875</v>
      </c>
      <c r="J315" s="110">
        <v>7.879999999999999</v>
      </c>
      <c r="K315" s="112">
        <v>1.1284000000000001</v>
      </c>
      <c r="L315" s="60">
        <v>3.7899999999999636</v>
      </c>
      <c r="M315" s="60">
        <f>_xlfn.XLOOKUP(A315,'[1]FRV Output'!$F:$F,'[1]FRV Output'!$BC:$BC)</f>
        <v>23.97544814175502</v>
      </c>
      <c r="N315" s="64"/>
      <c r="O315" s="64"/>
      <c r="R315" s="32"/>
      <c r="T315" s="60"/>
      <c r="U315" s="110"/>
      <c r="V315" s="112"/>
    </row>
    <row r="316" spans="1:22" x14ac:dyDescent="0.25">
      <c r="A316">
        <v>1770995094</v>
      </c>
      <c r="B316" s="37">
        <v>0.62449560882981248</v>
      </c>
      <c r="C316" s="64">
        <v>32125</v>
      </c>
      <c r="D316" s="64">
        <v>32125</v>
      </c>
      <c r="E316" s="32">
        <v>28043</v>
      </c>
      <c r="F316" s="64">
        <v>100</v>
      </c>
      <c r="G316" s="60">
        <v>26.25</v>
      </c>
      <c r="H316" s="64">
        <v>25129.789985029482</v>
      </c>
      <c r="I316" s="60">
        <v>251.29789985029481</v>
      </c>
      <c r="J316" s="110">
        <v>24.38</v>
      </c>
      <c r="K316" s="112">
        <v>1.0406</v>
      </c>
      <c r="L316" s="60">
        <v>26.25</v>
      </c>
      <c r="M316" s="60">
        <f>_xlfn.XLOOKUP(A316,'[1]FRV Output'!$F:$F,'[1]FRV Output'!$BC:$BC)</f>
        <v>11.393491079766536</v>
      </c>
      <c r="N316" s="64"/>
      <c r="O316" s="64"/>
      <c r="R316" s="32"/>
      <c r="T316" s="60"/>
      <c r="U316" s="110"/>
      <c r="V316" s="112"/>
    </row>
    <row r="317" spans="1:22" x14ac:dyDescent="0.25">
      <c r="A317">
        <v>1780693663</v>
      </c>
      <c r="B317" s="37">
        <v>0.62988072178611476</v>
      </c>
      <c r="C317" s="64">
        <v>14083</v>
      </c>
      <c r="D317" s="64">
        <v>14083</v>
      </c>
      <c r="E317" s="32">
        <v>28388</v>
      </c>
      <c r="F317" s="64">
        <v>50</v>
      </c>
      <c r="G317" s="60">
        <v>33.930000000000064</v>
      </c>
      <c r="H317" s="64">
        <v>32959.430236062282</v>
      </c>
      <c r="I317" s="60">
        <v>659.18860472124561</v>
      </c>
      <c r="J317" s="110">
        <v>0</v>
      </c>
      <c r="K317" s="112">
        <v>0.97909999999999997</v>
      </c>
      <c r="L317" s="60">
        <v>33.930000000000064</v>
      </c>
      <c r="M317" s="60">
        <f>_xlfn.XLOOKUP(A317,'[1]FRV Output'!$F:$F,'[1]FRV Output'!$BC:$BC)</f>
        <v>16.08139243307701</v>
      </c>
      <c r="N317" s="64"/>
      <c r="O317" s="64"/>
      <c r="R317" s="32"/>
      <c r="T317" s="60"/>
      <c r="U317" s="110"/>
      <c r="V317" s="112"/>
    </row>
    <row r="318" spans="1:22" x14ac:dyDescent="0.25">
      <c r="A318">
        <v>1790317840</v>
      </c>
      <c r="B318" s="37">
        <v>0.67001067235859124</v>
      </c>
      <c r="C318" s="64">
        <v>38516</v>
      </c>
      <c r="D318" s="64">
        <v>30779.161572052402</v>
      </c>
      <c r="E318" s="32">
        <v>28273</v>
      </c>
      <c r="F318" s="64">
        <v>100</v>
      </c>
      <c r="G318" s="60">
        <v>6.5</v>
      </c>
      <c r="H318" s="64">
        <v>39382</v>
      </c>
      <c r="I318" s="60">
        <v>393.82</v>
      </c>
      <c r="J318" s="110">
        <v>24.38</v>
      </c>
      <c r="K318" s="112">
        <v>1.3845000000000001</v>
      </c>
      <c r="L318" s="60">
        <v>6.5</v>
      </c>
      <c r="M318" s="60">
        <f>_xlfn.XLOOKUP(A318,'[1]FRV Output'!$F:$F,'[1]FRV Output'!$BC:$BC)</f>
        <v>19.612204374156221</v>
      </c>
      <c r="N318" s="64"/>
      <c r="O318" s="64"/>
      <c r="R318" s="32"/>
      <c r="T318" s="60"/>
      <c r="U318" s="110"/>
      <c r="V318" s="112"/>
    </row>
    <row r="319" spans="1:22" x14ac:dyDescent="0.25">
      <c r="A319">
        <v>1801428768</v>
      </c>
      <c r="B319" s="37">
        <v>0.67853610286844712</v>
      </c>
      <c r="C319" s="64">
        <v>15505</v>
      </c>
      <c r="D319" s="64">
        <v>31010</v>
      </c>
      <c r="E319" s="32">
        <v>27302</v>
      </c>
      <c r="F319" s="64">
        <v>117</v>
      </c>
      <c r="G319" s="60">
        <v>22.269999999999982</v>
      </c>
      <c r="H319" s="64">
        <v>67036</v>
      </c>
      <c r="I319" s="60">
        <v>572.95726495726501</v>
      </c>
      <c r="J319" s="110">
        <v>24.38</v>
      </c>
      <c r="K319" s="112">
        <v>1.3134999999999999</v>
      </c>
      <c r="L319" s="60">
        <v>22.269999999999982</v>
      </c>
      <c r="M319" s="60">
        <f>_xlfn.XLOOKUP(A319,'[1]FRV Output'!$F:$F,'[1]FRV Output'!$BC:$BC)</f>
        <v>19.243872038001694</v>
      </c>
      <c r="N319" s="64"/>
      <c r="O319" s="64"/>
      <c r="R319" s="32"/>
      <c r="T319" s="60"/>
      <c r="U319" s="110"/>
      <c r="V319" s="112"/>
    </row>
    <row r="320" spans="1:22" x14ac:dyDescent="0.25">
      <c r="A320">
        <v>1811920267</v>
      </c>
      <c r="B320" s="37">
        <v>0.64751381215469617</v>
      </c>
      <c r="C320" s="64">
        <v>41820</v>
      </c>
      <c r="D320" s="64">
        <v>41820</v>
      </c>
      <c r="E320" s="32">
        <v>27330</v>
      </c>
      <c r="F320" s="64">
        <v>131</v>
      </c>
      <c r="G320" s="60">
        <v>24.130000000000109</v>
      </c>
      <c r="H320" s="64">
        <v>55168</v>
      </c>
      <c r="I320" s="60">
        <v>421.12977099236639</v>
      </c>
      <c r="J320" s="110">
        <v>24.38</v>
      </c>
      <c r="K320" s="112">
        <v>1.3717999999999999</v>
      </c>
      <c r="L320" s="60">
        <v>24.130000000000109</v>
      </c>
      <c r="M320" s="60">
        <f>_xlfn.XLOOKUP(A320,'[1]FRV Output'!$F:$F,'[1]FRV Output'!$BC:$BC)</f>
        <v>14.263706711644158</v>
      </c>
      <c r="N320" s="64"/>
      <c r="O320" s="64"/>
      <c r="R320" s="32"/>
      <c r="T320" s="60"/>
      <c r="U320" s="110"/>
      <c r="V320" s="112"/>
    </row>
    <row r="321" spans="1:22" x14ac:dyDescent="0.25">
      <c r="A321">
        <v>1811923931</v>
      </c>
      <c r="B321" s="37">
        <v>0.57944587058511099</v>
      </c>
      <c r="C321" s="64">
        <v>27794</v>
      </c>
      <c r="D321" s="64">
        <v>27794</v>
      </c>
      <c r="E321" s="32">
        <v>27284</v>
      </c>
      <c r="F321" s="64">
        <v>92</v>
      </c>
      <c r="G321" s="60">
        <v>14.210000000000036</v>
      </c>
      <c r="H321" s="64">
        <v>31824</v>
      </c>
      <c r="I321" s="60">
        <v>345.91304347826087</v>
      </c>
      <c r="J321" s="110">
        <v>24.38</v>
      </c>
      <c r="K321" s="112">
        <v>1.3224</v>
      </c>
      <c r="L321" s="60">
        <v>14.210000000000036</v>
      </c>
      <c r="M321" s="60">
        <f>_xlfn.XLOOKUP(A321,'[1]FRV Output'!$F:$F,'[1]FRV Output'!$BC:$BC)</f>
        <v>18.376581706846657</v>
      </c>
      <c r="N321" s="64"/>
      <c r="O321" s="64"/>
      <c r="R321" s="32"/>
      <c r="T321" s="60"/>
      <c r="U321" s="110"/>
      <c r="V321" s="112"/>
    </row>
    <row r="322" spans="1:22" x14ac:dyDescent="0.25">
      <c r="A322">
        <v>1811984925</v>
      </c>
      <c r="B322" s="37">
        <v>0.67249176055798265</v>
      </c>
      <c r="C322" s="64">
        <v>40249</v>
      </c>
      <c r="D322" s="64">
        <v>40249</v>
      </c>
      <c r="E322" s="32">
        <v>27587</v>
      </c>
      <c r="F322" s="64">
        <v>130</v>
      </c>
      <c r="G322" s="60">
        <v>21</v>
      </c>
      <c r="H322" s="64">
        <v>0</v>
      </c>
      <c r="I322" s="60">
        <v>0</v>
      </c>
      <c r="J322" s="110">
        <v>24.38</v>
      </c>
      <c r="K322" s="112">
        <v>1.1585000000000001</v>
      </c>
      <c r="L322" s="60">
        <v>21</v>
      </c>
      <c r="M322" s="60">
        <f>_xlfn.XLOOKUP(A322,'[1]FRV Output'!$F:$F,'[1]FRV Output'!$BC:$BC)</f>
        <v>15.342266152362585</v>
      </c>
      <c r="N322" s="64"/>
      <c r="O322" s="64"/>
      <c r="R322" s="32"/>
      <c r="T322" s="60"/>
      <c r="U322" s="110"/>
      <c r="V322" s="112"/>
    </row>
    <row r="323" spans="1:22" x14ac:dyDescent="0.25">
      <c r="A323">
        <v>1821024274</v>
      </c>
      <c r="B323" s="37">
        <v>0.50961706592061551</v>
      </c>
      <c r="C323" s="64">
        <v>0</v>
      </c>
      <c r="D323" s="64">
        <v>0</v>
      </c>
      <c r="E323" s="32">
        <v>27823</v>
      </c>
      <c r="F323" s="64">
        <v>63</v>
      </c>
      <c r="G323" s="60">
        <v>34.5</v>
      </c>
      <c r="H323" s="64">
        <v>13426</v>
      </c>
      <c r="I323" s="60">
        <v>213.11111111111111</v>
      </c>
      <c r="J323" s="110">
        <v>24.38</v>
      </c>
      <c r="K323" s="112">
        <v>1.1792108485224528</v>
      </c>
      <c r="L323" s="60">
        <v>55.730000000000018</v>
      </c>
      <c r="M323" s="60">
        <f>_xlfn.XLOOKUP(A323,'[1]FRV Output'!$F:$F,'[1]FRV Output'!$BC:$BC)</f>
        <v>7.9301163934426206</v>
      </c>
      <c r="N323" s="64"/>
      <c r="O323" s="64"/>
      <c r="R323" s="32"/>
      <c r="T323" s="60"/>
      <c r="U323" s="110"/>
      <c r="V323" s="112"/>
    </row>
    <row r="324" spans="1:22" x14ac:dyDescent="0.25">
      <c r="A324">
        <v>1821414269</v>
      </c>
      <c r="B324" s="37">
        <v>0.53031063921371702</v>
      </c>
      <c r="C324" s="64">
        <v>27444</v>
      </c>
      <c r="D324" s="64">
        <v>27444</v>
      </c>
      <c r="E324" s="32">
        <v>27610</v>
      </c>
      <c r="F324" s="64">
        <v>95</v>
      </c>
      <c r="G324" s="60">
        <v>10.849999999999909</v>
      </c>
      <c r="H324" s="64">
        <v>35302</v>
      </c>
      <c r="I324" s="60">
        <v>371.6</v>
      </c>
      <c r="J324" s="110">
        <v>24.38</v>
      </c>
      <c r="K324" s="112">
        <v>1.23</v>
      </c>
      <c r="L324" s="60">
        <v>10.849999999999909</v>
      </c>
      <c r="M324" s="60">
        <f>_xlfn.XLOOKUP(A324,'[1]FRV Output'!$F:$F,'[1]FRV Output'!$BC:$BC)</f>
        <v>19.056561303760891</v>
      </c>
      <c r="N324" s="64"/>
      <c r="O324" s="64"/>
      <c r="R324" s="32"/>
      <c r="T324" s="60"/>
      <c r="U324" s="110"/>
      <c r="V324" s="112"/>
    </row>
    <row r="325" spans="1:22" x14ac:dyDescent="0.25">
      <c r="A325">
        <v>1821551797</v>
      </c>
      <c r="B325" s="37">
        <v>0.60262738248917913</v>
      </c>
      <c r="C325" s="64">
        <v>64198</v>
      </c>
      <c r="D325" s="64">
        <v>64198</v>
      </c>
      <c r="E325" s="32">
        <v>27104</v>
      </c>
      <c r="F325" s="64">
        <v>230</v>
      </c>
      <c r="G325" s="60">
        <v>26.559999999999945</v>
      </c>
      <c r="H325" s="64">
        <v>73990</v>
      </c>
      <c r="I325" s="60">
        <v>321.69565217391306</v>
      </c>
      <c r="J325" s="110">
        <v>7.879999999999999</v>
      </c>
      <c r="K325" s="112">
        <v>1.1152</v>
      </c>
      <c r="L325" s="60">
        <v>26.559999999999945</v>
      </c>
      <c r="M325" s="60">
        <f>_xlfn.XLOOKUP(A325,'[1]FRV Output'!$F:$F,'[1]FRV Output'!$BC:$BC)</f>
        <v>10.494290229025999</v>
      </c>
      <c r="N325" s="64"/>
      <c r="O325" s="64"/>
      <c r="R325" s="32"/>
      <c r="T325" s="60"/>
      <c r="U325" s="110"/>
      <c r="V325" s="112"/>
    </row>
    <row r="326" spans="1:22" x14ac:dyDescent="0.25">
      <c r="A326">
        <v>1831125285</v>
      </c>
      <c r="B326" s="37">
        <v>0.63170258400571955</v>
      </c>
      <c r="C326" s="64">
        <v>16083</v>
      </c>
      <c r="D326" s="64">
        <v>16083</v>
      </c>
      <c r="E326" s="32">
        <v>28901</v>
      </c>
      <c r="F326" s="64">
        <v>76</v>
      </c>
      <c r="G326" s="60">
        <v>25.1400000000001</v>
      </c>
      <c r="H326" s="64">
        <v>25000.000000000004</v>
      </c>
      <c r="I326" s="60">
        <v>328.94736842105266</v>
      </c>
      <c r="J326" s="110">
        <v>24.38</v>
      </c>
      <c r="K326" s="112">
        <v>1.0640000000000001</v>
      </c>
      <c r="L326" s="60">
        <v>25.1400000000001</v>
      </c>
      <c r="M326" s="60">
        <f>_xlfn.XLOOKUP(A326,'[1]FRV Output'!$F:$F,'[1]FRV Output'!$BC:$BC)</f>
        <v>12.406400185631636</v>
      </c>
      <c r="N326" s="64"/>
      <c r="O326" s="64"/>
      <c r="R326" s="32"/>
      <c r="T326" s="60"/>
      <c r="U326" s="110"/>
      <c r="V326" s="112"/>
    </row>
    <row r="327" spans="1:22" x14ac:dyDescent="0.25">
      <c r="A327">
        <v>1831197714</v>
      </c>
      <c r="B327" s="37">
        <v>0.65038713519952351</v>
      </c>
      <c r="C327" s="64">
        <v>31785</v>
      </c>
      <c r="D327" s="64">
        <v>31785</v>
      </c>
      <c r="E327" s="32">
        <v>28711</v>
      </c>
      <c r="F327" s="64">
        <v>97</v>
      </c>
      <c r="G327" s="60">
        <v>17.259999999999991</v>
      </c>
      <c r="H327" s="64">
        <v>0</v>
      </c>
      <c r="I327" s="60">
        <v>0</v>
      </c>
      <c r="J327" s="110">
        <v>24.38</v>
      </c>
      <c r="K327" s="112">
        <v>1.2747999999999999</v>
      </c>
      <c r="L327" s="60">
        <v>17.259999999999991</v>
      </c>
      <c r="M327" s="60">
        <f>_xlfn.XLOOKUP(A327,'[1]FRV Output'!$F:$F,'[1]FRV Output'!$BC:$BC)</f>
        <v>15.874968569400663</v>
      </c>
      <c r="N327" s="64"/>
      <c r="O327" s="64"/>
      <c r="R327" s="32"/>
      <c r="T327" s="60"/>
      <c r="U327" s="110"/>
      <c r="V327" s="112"/>
    </row>
    <row r="328" spans="1:22" x14ac:dyDescent="0.25">
      <c r="A328">
        <v>1831219781</v>
      </c>
      <c r="B328" s="37">
        <v>0.60912140719920216</v>
      </c>
      <c r="C328" s="64">
        <v>19453</v>
      </c>
      <c r="D328" s="64">
        <v>19453</v>
      </c>
      <c r="E328" s="32">
        <v>27983</v>
      </c>
      <c r="F328" s="64">
        <v>82</v>
      </c>
      <c r="G328" s="60">
        <v>23.25</v>
      </c>
      <c r="H328" s="64">
        <v>28199</v>
      </c>
      <c r="I328" s="60">
        <v>343.89024390243901</v>
      </c>
      <c r="J328" s="110">
        <v>24.38</v>
      </c>
      <c r="K328" s="112">
        <v>1.2528999999999999</v>
      </c>
      <c r="L328" s="60">
        <v>23.25</v>
      </c>
      <c r="M328" s="60">
        <f>_xlfn.XLOOKUP(A328,'[1]FRV Output'!$F:$F,'[1]FRV Output'!$BC:$BC)</f>
        <v>13.724626401277721</v>
      </c>
      <c r="N328" s="64"/>
      <c r="O328" s="64"/>
      <c r="R328" s="32"/>
      <c r="T328" s="60"/>
      <c r="U328" s="110"/>
      <c r="V328" s="112"/>
    </row>
    <row r="329" spans="1:22" x14ac:dyDescent="0.25">
      <c r="A329">
        <v>1831551514</v>
      </c>
      <c r="B329" s="37">
        <v>0.63040455998887801</v>
      </c>
      <c r="C329" s="64">
        <v>30569</v>
      </c>
      <c r="D329" s="64">
        <v>30569</v>
      </c>
      <c r="E329" s="32">
        <v>27705</v>
      </c>
      <c r="F329" s="64">
        <v>126</v>
      </c>
      <c r="G329" s="60">
        <v>21.480000000000018</v>
      </c>
      <c r="H329" s="64">
        <v>33882.352941176468</v>
      </c>
      <c r="I329" s="60">
        <v>268.9075630252101</v>
      </c>
      <c r="J329" s="110">
        <v>24.38</v>
      </c>
      <c r="K329" s="112">
        <v>1.2336</v>
      </c>
      <c r="L329" s="60">
        <v>21.480000000000018</v>
      </c>
      <c r="M329" s="60">
        <f>_xlfn.XLOOKUP(A329,'[1]FRV Output'!$F:$F,'[1]FRV Output'!$BC:$BC)</f>
        <v>14.58481549903567</v>
      </c>
      <c r="N329" s="64"/>
      <c r="O329" s="64"/>
      <c r="R329" s="32"/>
      <c r="T329" s="60"/>
      <c r="U329" s="110"/>
      <c r="V329" s="112"/>
    </row>
    <row r="330" spans="1:22" x14ac:dyDescent="0.25">
      <c r="A330">
        <v>1831649268</v>
      </c>
      <c r="B330" s="37">
        <v>0.58905608755129957</v>
      </c>
      <c r="C330" s="64">
        <v>18972</v>
      </c>
      <c r="D330" s="64">
        <v>18972</v>
      </c>
      <c r="E330" s="32">
        <v>27938</v>
      </c>
      <c r="F330" s="64">
        <v>70</v>
      </c>
      <c r="G330" s="60">
        <v>16.529999999999973</v>
      </c>
      <c r="H330" s="64">
        <v>21538.125135623868</v>
      </c>
      <c r="I330" s="60">
        <v>307.68750193748383</v>
      </c>
      <c r="J330" s="110">
        <v>24.38</v>
      </c>
      <c r="K330" s="112">
        <v>1.1066</v>
      </c>
      <c r="L330" s="60">
        <v>16.529999999999973</v>
      </c>
      <c r="M330" s="60">
        <f>_xlfn.XLOOKUP(A330,'[1]FRV Output'!$F:$F,'[1]FRV Output'!$BC:$BC)</f>
        <v>17.088678765670203</v>
      </c>
      <c r="N330" s="64"/>
      <c r="O330" s="64"/>
      <c r="R330" s="32"/>
      <c r="T330" s="60"/>
      <c r="U330" s="110"/>
      <c r="V330" s="112"/>
    </row>
    <row r="331" spans="1:22" x14ac:dyDescent="0.25">
      <c r="A331">
        <v>1841390002</v>
      </c>
      <c r="B331" s="37">
        <v>0.68194023386747515</v>
      </c>
      <c r="C331" s="64">
        <v>31093</v>
      </c>
      <c r="D331" s="64">
        <v>31093</v>
      </c>
      <c r="E331" s="32">
        <v>28327</v>
      </c>
      <c r="F331" s="64">
        <v>90</v>
      </c>
      <c r="G331" s="60">
        <v>25.329999999999927</v>
      </c>
      <c r="H331" s="64">
        <v>32654.941767172215</v>
      </c>
      <c r="I331" s="60">
        <v>362.8326863019135</v>
      </c>
      <c r="J331" s="110">
        <v>24.38</v>
      </c>
      <c r="K331" s="112">
        <v>1.3255999999999999</v>
      </c>
      <c r="L331" s="60">
        <v>25.329999999999927</v>
      </c>
      <c r="M331" s="60">
        <f>_xlfn.XLOOKUP(A331,'[1]FRV Output'!$F:$F,'[1]FRV Output'!$BC:$BC)</f>
        <v>11.61236014727996</v>
      </c>
      <c r="N331" s="64"/>
      <c r="O331" s="64"/>
      <c r="R331" s="32"/>
      <c r="T331" s="60"/>
      <c r="U331" s="110"/>
      <c r="V331" s="112"/>
    </row>
    <row r="332" spans="1:22" x14ac:dyDescent="0.25">
      <c r="A332">
        <v>1841697422</v>
      </c>
      <c r="B332" s="37">
        <v>0.65</v>
      </c>
      <c r="C332" s="64">
        <v>6455</v>
      </c>
      <c r="D332" s="64">
        <v>6455</v>
      </c>
      <c r="E332" s="32">
        <v>28405</v>
      </c>
      <c r="F332" s="64">
        <v>20</v>
      </c>
      <c r="G332" s="60">
        <v>8.5</v>
      </c>
      <c r="H332" s="64">
        <v>0</v>
      </c>
      <c r="I332" s="60">
        <v>0</v>
      </c>
      <c r="J332" s="110">
        <v>24.38</v>
      </c>
      <c r="K332" s="112">
        <v>0.74260000000000004</v>
      </c>
      <c r="L332" s="60">
        <v>8.5</v>
      </c>
      <c r="M332" s="60">
        <f>_xlfn.XLOOKUP(A332,'[1]FRV Output'!$F:$F,'[1]FRV Output'!$BC:$BC)</f>
        <v>20.493842370255614</v>
      </c>
      <c r="N332" s="64"/>
      <c r="O332" s="64"/>
      <c r="R332" s="32"/>
      <c r="T332" s="60"/>
      <c r="U332" s="110"/>
      <c r="V332" s="112"/>
    </row>
    <row r="333" spans="1:22" x14ac:dyDescent="0.25">
      <c r="A333">
        <v>1841840378</v>
      </c>
      <c r="B333" s="37">
        <v>0.59795523625310865</v>
      </c>
      <c r="C333" s="64">
        <v>28118</v>
      </c>
      <c r="D333" s="64">
        <v>28118</v>
      </c>
      <c r="E333" s="32">
        <v>28697</v>
      </c>
      <c r="F333" s="64">
        <v>120</v>
      </c>
      <c r="G333" s="60">
        <v>34.5</v>
      </c>
      <c r="H333" s="64">
        <v>37034</v>
      </c>
      <c r="I333" s="60">
        <v>308.61666666666667</v>
      </c>
      <c r="J333" s="110">
        <v>24.38</v>
      </c>
      <c r="K333" s="112">
        <v>1.1509</v>
      </c>
      <c r="L333" s="60">
        <v>36.619999999999891</v>
      </c>
      <c r="M333" s="60">
        <f>_xlfn.XLOOKUP(A333,'[1]FRV Output'!$F:$F,'[1]FRV Output'!$BC:$BC)</f>
        <v>8.0170333654773387</v>
      </c>
      <c r="N333" s="64"/>
      <c r="O333" s="64"/>
      <c r="R333" s="32"/>
      <c r="T333" s="60"/>
      <c r="U333" s="110"/>
      <c r="V333" s="112"/>
    </row>
    <row r="334" spans="1:22" x14ac:dyDescent="0.25">
      <c r="A334">
        <v>1841854361</v>
      </c>
      <c r="B334" s="37">
        <v>0.68855140186915886</v>
      </c>
      <c r="C334" s="64">
        <v>31326</v>
      </c>
      <c r="D334" s="64">
        <v>31326</v>
      </c>
      <c r="E334" s="32">
        <v>28690</v>
      </c>
      <c r="F334" s="64">
        <v>100</v>
      </c>
      <c r="G334" s="60">
        <v>23.990000000000009</v>
      </c>
      <c r="H334" s="64">
        <v>40050</v>
      </c>
      <c r="I334" s="60">
        <v>400.5</v>
      </c>
      <c r="J334" s="110">
        <v>24.38</v>
      </c>
      <c r="K334" s="112">
        <v>1.3625</v>
      </c>
      <c r="L334" s="60">
        <v>23.990000000000009</v>
      </c>
      <c r="M334" s="60">
        <f>_xlfn.XLOOKUP(A334,'[1]FRV Output'!$F:$F,'[1]FRV Output'!$BC:$BC)</f>
        <v>13.147880433183326</v>
      </c>
      <c r="N334" s="64"/>
      <c r="O334" s="64"/>
      <c r="R334" s="32"/>
      <c r="T334" s="60"/>
      <c r="U334" s="110"/>
      <c r="V334" s="112"/>
    </row>
    <row r="335" spans="1:22" x14ac:dyDescent="0.25">
      <c r="A335">
        <v>1851030985</v>
      </c>
      <c r="B335" s="37">
        <v>0.67990074441687343</v>
      </c>
      <c r="C335" s="64">
        <v>49365</v>
      </c>
      <c r="D335" s="64">
        <v>49365</v>
      </c>
      <c r="E335" s="32">
        <v>28054</v>
      </c>
      <c r="F335" s="64">
        <v>162</v>
      </c>
      <c r="G335" s="60">
        <v>25.670000000000073</v>
      </c>
      <c r="H335" s="64">
        <v>47756</v>
      </c>
      <c r="I335" s="60">
        <v>294.79012345679013</v>
      </c>
      <c r="J335" s="110">
        <v>7.879999999999999</v>
      </c>
      <c r="K335" s="112">
        <v>1.1919999999999999</v>
      </c>
      <c r="L335" s="60">
        <v>25.670000000000073</v>
      </c>
      <c r="M335" s="60">
        <f>_xlfn.XLOOKUP(A335,'[1]FRV Output'!$F:$F,'[1]FRV Output'!$BC:$BC)</f>
        <v>12.76005322745899</v>
      </c>
      <c r="N335" s="64"/>
      <c r="O335" s="64"/>
      <c r="R335" s="32"/>
      <c r="T335" s="60"/>
      <c r="U335" s="110"/>
      <c r="V335" s="112"/>
    </row>
    <row r="336" spans="1:22" x14ac:dyDescent="0.25">
      <c r="A336">
        <v>1851348379</v>
      </c>
      <c r="B336" s="37">
        <v>0.52784280343335455</v>
      </c>
      <c r="C336" s="64">
        <v>36823</v>
      </c>
      <c r="D336" s="64">
        <v>36823</v>
      </c>
      <c r="E336" s="32">
        <v>28560</v>
      </c>
      <c r="F336" s="64">
        <v>116</v>
      </c>
      <c r="G336" s="60">
        <v>6.5599999999999454</v>
      </c>
      <c r="H336" s="64">
        <v>37760</v>
      </c>
      <c r="I336" s="60">
        <v>325.51724137931035</v>
      </c>
      <c r="J336" s="110">
        <v>24.38</v>
      </c>
      <c r="K336" s="112">
        <v>1.0790999999999999</v>
      </c>
      <c r="L336" s="60">
        <v>6.5599999999999454</v>
      </c>
      <c r="M336" s="60">
        <f>_xlfn.XLOOKUP(A336,'[1]FRV Output'!$F:$F,'[1]FRV Output'!$BC:$BC)</f>
        <v>21.035638782781131</v>
      </c>
      <c r="N336" s="64"/>
      <c r="O336" s="64"/>
      <c r="R336" s="32"/>
      <c r="T336" s="60"/>
      <c r="U336" s="110"/>
      <c r="V336" s="112"/>
    </row>
    <row r="337" spans="1:22" x14ac:dyDescent="0.25">
      <c r="A337">
        <v>1851375703</v>
      </c>
      <c r="B337" s="37">
        <v>0.58578525028658768</v>
      </c>
      <c r="C337" s="64">
        <v>30544</v>
      </c>
      <c r="D337" s="64">
        <v>30544</v>
      </c>
      <c r="E337" s="32">
        <v>28557</v>
      </c>
      <c r="F337" s="64">
        <v>92</v>
      </c>
      <c r="G337" s="60">
        <v>13.029999999999973</v>
      </c>
      <c r="H337" s="64">
        <v>54220</v>
      </c>
      <c r="I337" s="60">
        <v>589.3478260869565</v>
      </c>
      <c r="J337" s="110">
        <v>24.38</v>
      </c>
      <c r="K337" s="112">
        <v>1.3849</v>
      </c>
      <c r="L337" s="60">
        <v>13.029999999999973</v>
      </c>
      <c r="M337" s="60">
        <f>_xlfn.XLOOKUP(A337,'[1]FRV Output'!$F:$F,'[1]FRV Output'!$BC:$BC)</f>
        <v>23.820681653819079</v>
      </c>
      <c r="N337" s="64"/>
      <c r="O337" s="64"/>
      <c r="R337" s="32"/>
      <c r="T337" s="60"/>
      <c r="U337" s="110"/>
      <c r="V337" s="112"/>
    </row>
    <row r="338" spans="1:22" x14ac:dyDescent="0.25">
      <c r="A338">
        <v>1851377543</v>
      </c>
      <c r="B338" s="37">
        <v>0.6377878853512382</v>
      </c>
      <c r="C338" s="64">
        <v>37675</v>
      </c>
      <c r="D338" s="64">
        <v>37675</v>
      </c>
      <c r="E338" s="32">
        <v>28376</v>
      </c>
      <c r="F338" s="64">
        <v>132</v>
      </c>
      <c r="G338" s="60">
        <v>20.069999999999936</v>
      </c>
      <c r="H338" s="64">
        <v>45645.251396648047</v>
      </c>
      <c r="I338" s="60">
        <v>345.79735906551554</v>
      </c>
      <c r="J338" s="110">
        <v>24.38</v>
      </c>
      <c r="K338" s="112">
        <v>1.2311000000000001</v>
      </c>
      <c r="L338" s="60">
        <v>20.069999999999936</v>
      </c>
      <c r="M338" s="60">
        <f>_xlfn.XLOOKUP(A338,'[1]FRV Output'!$F:$F,'[1]FRV Output'!$BC:$BC)</f>
        <v>15.902119006750269</v>
      </c>
      <c r="N338" s="64"/>
      <c r="O338" s="64"/>
      <c r="R338" s="32"/>
      <c r="T338" s="60"/>
      <c r="U338" s="110"/>
      <c r="V338" s="112"/>
    </row>
    <row r="339" spans="1:22" x14ac:dyDescent="0.25">
      <c r="A339">
        <v>1851836118</v>
      </c>
      <c r="B339" s="37">
        <v>0.6409224318658282</v>
      </c>
      <c r="C339" s="64">
        <v>32653</v>
      </c>
      <c r="D339" s="64">
        <v>32653</v>
      </c>
      <c r="E339" s="32">
        <v>28425</v>
      </c>
      <c r="F339" s="64">
        <v>98</v>
      </c>
      <c r="G339" s="60">
        <v>23.220000000000027</v>
      </c>
      <c r="H339" s="64">
        <v>0</v>
      </c>
      <c r="I339" s="60">
        <v>0</v>
      </c>
      <c r="J339" s="110">
        <v>24.38</v>
      </c>
      <c r="K339" s="112">
        <v>1.2041999999999999</v>
      </c>
      <c r="L339" s="60">
        <v>23.220000000000027</v>
      </c>
      <c r="M339" s="60">
        <f>_xlfn.XLOOKUP(A339,'[1]FRV Output'!$F:$F,'[1]FRV Output'!$BC:$BC)</f>
        <v>12.196503298226833</v>
      </c>
      <c r="N339" s="64"/>
      <c r="O339" s="64"/>
      <c r="R339" s="32"/>
      <c r="T339" s="60"/>
      <c r="U339" s="110"/>
      <c r="V339" s="112"/>
    </row>
    <row r="340" spans="1:22" x14ac:dyDescent="0.25">
      <c r="A340">
        <v>1851941389</v>
      </c>
      <c r="B340" s="37">
        <v>0.61640280301064099</v>
      </c>
      <c r="C340" s="64">
        <v>28768</v>
      </c>
      <c r="D340" s="64">
        <v>28768</v>
      </c>
      <c r="E340" s="32">
        <v>27360</v>
      </c>
      <c r="F340" s="64">
        <v>120</v>
      </c>
      <c r="G340" s="60">
        <v>34.5</v>
      </c>
      <c r="H340" s="64">
        <v>35582</v>
      </c>
      <c r="I340" s="60">
        <v>296.51666666666665</v>
      </c>
      <c r="J340" s="110">
        <v>24.38</v>
      </c>
      <c r="K340" s="112">
        <v>1.0664</v>
      </c>
      <c r="L340" s="60">
        <v>52.349999999999909</v>
      </c>
      <c r="M340" s="60">
        <f>_xlfn.XLOOKUP(A340,'[1]FRV Output'!$F:$F,'[1]FRV Output'!$BC:$BC)</f>
        <v>8.1039503375120532</v>
      </c>
      <c r="N340" s="64"/>
      <c r="O340" s="64"/>
      <c r="R340" s="32"/>
      <c r="T340" s="60"/>
      <c r="U340" s="110"/>
      <c r="V340" s="112"/>
    </row>
    <row r="341" spans="1:22" x14ac:dyDescent="0.25">
      <c r="A341">
        <v>1861003485</v>
      </c>
      <c r="B341" s="37">
        <v>0.63450834879406304</v>
      </c>
      <c r="C341" s="64">
        <v>36220</v>
      </c>
      <c r="D341" s="64">
        <v>36220</v>
      </c>
      <c r="E341" s="32">
        <v>27962</v>
      </c>
      <c r="F341" s="64">
        <v>114</v>
      </c>
      <c r="G341" s="60">
        <v>33.3599999999999</v>
      </c>
      <c r="H341" s="64">
        <v>40405</v>
      </c>
      <c r="I341" s="60">
        <v>354.42982456140351</v>
      </c>
      <c r="J341" s="110">
        <v>24.38</v>
      </c>
      <c r="K341" s="112">
        <v>1.2517</v>
      </c>
      <c r="L341" s="60">
        <v>33.3599999999999</v>
      </c>
      <c r="M341" s="60">
        <f>_xlfn.XLOOKUP(A341,'[1]FRV Output'!$F:$F,'[1]FRV Output'!$BC:$BC)</f>
        <v>9.01334976741928</v>
      </c>
      <c r="N341" s="64"/>
      <c r="O341" s="64"/>
      <c r="R341" s="32"/>
      <c r="T341" s="60"/>
      <c r="U341" s="110"/>
      <c r="V341" s="112"/>
    </row>
    <row r="342" spans="1:22" x14ac:dyDescent="0.25">
      <c r="A342">
        <v>1861446270</v>
      </c>
      <c r="B342" s="37">
        <v>0.6392066496584643</v>
      </c>
      <c r="C342" s="64">
        <v>25338</v>
      </c>
      <c r="D342" s="64">
        <v>25338</v>
      </c>
      <c r="E342" s="32">
        <v>28403</v>
      </c>
      <c r="F342" s="64">
        <v>100</v>
      </c>
      <c r="G342" s="60">
        <v>6.9100000000000819</v>
      </c>
      <c r="H342" s="64">
        <v>44926.879444449594</v>
      </c>
      <c r="I342" s="60">
        <v>449.26879444449594</v>
      </c>
      <c r="J342" s="110">
        <v>24.38</v>
      </c>
      <c r="K342" s="112">
        <v>1.1891</v>
      </c>
      <c r="L342" s="60">
        <v>6.9100000000000819</v>
      </c>
      <c r="M342" s="60">
        <f>_xlfn.XLOOKUP(A342,'[1]FRV Output'!$F:$F,'[1]FRV Output'!$BC:$BC)</f>
        <v>21.521249993975246</v>
      </c>
      <c r="N342" s="64"/>
      <c r="O342" s="64"/>
      <c r="R342" s="32"/>
      <c r="T342" s="60"/>
      <c r="U342" s="110"/>
      <c r="V342" s="112"/>
    </row>
    <row r="343" spans="1:22" x14ac:dyDescent="0.25">
      <c r="A343">
        <v>1861446338</v>
      </c>
      <c r="B343" s="37">
        <v>0.45276196337898134</v>
      </c>
      <c r="C343" s="64">
        <v>21455</v>
      </c>
      <c r="D343" s="64">
        <v>21455</v>
      </c>
      <c r="E343" s="32">
        <v>27332</v>
      </c>
      <c r="F343" s="64">
        <v>80</v>
      </c>
      <c r="G343" s="60">
        <v>16.990000000000009</v>
      </c>
      <c r="H343" s="64">
        <v>36629.18</v>
      </c>
      <c r="I343" s="60">
        <v>457.86475000000002</v>
      </c>
      <c r="J343" s="110">
        <v>24.38</v>
      </c>
      <c r="K343" s="112">
        <v>1.105</v>
      </c>
      <c r="L343" s="60">
        <v>16.990000000000009</v>
      </c>
      <c r="M343" s="60">
        <f>_xlfn.XLOOKUP(A343,'[1]FRV Output'!$F:$F,'[1]FRV Output'!$BC:$BC)</f>
        <v>19.181980779844771</v>
      </c>
      <c r="N343" s="64"/>
      <c r="O343" s="64"/>
      <c r="R343" s="32"/>
      <c r="T343" s="60"/>
      <c r="U343" s="110"/>
      <c r="V343" s="112"/>
    </row>
    <row r="344" spans="1:22" x14ac:dyDescent="0.25">
      <c r="A344">
        <v>1861504946</v>
      </c>
      <c r="B344" s="37">
        <v>0.65</v>
      </c>
      <c r="C344" s="64">
        <v>12454</v>
      </c>
      <c r="D344" s="64">
        <v>12454</v>
      </c>
      <c r="E344" s="32">
        <v>28721</v>
      </c>
      <c r="F344" s="64">
        <v>50</v>
      </c>
      <c r="G344" s="60">
        <v>12.319999999999936</v>
      </c>
      <c r="H344" s="64">
        <v>28544</v>
      </c>
      <c r="I344" s="60">
        <v>570.88</v>
      </c>
      <c r="J344" s="110">
        <v>24.38</v>
      </c>
      <c r="K344" s="112">
        <v>1.3121</v>
      </c>
      <c r="L344" s="60">
        <v>12.319999999999936</v>
      </c>
      <c r="M344" s="60">
        <f>_xlfn.XLOOKUP(A344,'[1]FRV Output'!$F:$F,'[1]FRV Output'!$BC:$BC)</f>
        <v>25.570080474821953</v>
      </c>
      <c r="N344" s="64"/>
      <c r="O344" s="64"/>
      <c r="R344" s="32"/>
      <c r="T344" s="60"/>
      <c r="U344" s="110"/>
      <c r="V344" s="112"/>
    </row>
    <row r="345" spans="1:22" x14ac:dyDescent="0.25">
      <c r="A345">
        <v>1861513715</v>
      </c>
      <c r="B345" s="37">
        <v>0.55187138909821654</v>
      </c>
      <c r="C345" s="64">
        <v>16427</v>
      </c>
      <c r="D345" s="64">
        <v>16427</v>
      </c>
      <c r="E345" s="32">
        <v>27944</v>
      </c>
      <c r="F345" s="64">
        <v>78</v>
      </c>
      <c r="G345" s="60">
        <v>16</v>
      </c>
      <c r="H345" s="64">
        <v>23668</v>
      </c>
      <c r="I345" s="60">
        <v>303.43589743589746</v>
      </c>
      <c r="J345" s="110">
        <v>24.38</v>
      </c>
      <c r="K345" s="112">
        <v>1.3208</v>
      </c>
      <c r="L345" s="60">
        <v>16</v>
      </c>
      <c r="M345" s="60">
        <f>_xlfn.XLOOKUP(A345,'[1]FRV Output'!$F:$F,'[1]FRV Output'!$BC:$BC)</f>
        <v>17.620730472516875</v>
      </c>
      <c r="N345" s="64"/>
      <c r="O345" s="64"/>
      <c r="R345" s="32"/>
      <c r="T345" s="60"/>
      <c r="U345" s="110"/>
      <c r="V345" s="112"/>
    </row>
    <row r="346" spans="1:22" x14ac:dyDescent="0.25">
      <c r="A346">
        <v>1861521635</v>
      </c>
      <c r="B346" s="37">
        <v>0.65</v>
      </c>
      <c r="C346" s="64">
        <v>36477</v>
      </c>
      <c r="D346" s="64">
        <v>36477</v>
      </c>
      <c r="E346" s="32">
        <v>28078</v>
      </c>
      <c r="F346" s="64">
        <v>114</v>
      </c>
      <c r="G346" s="60">
        <v>13.380000000000109</v>
      </c>
      <c r="H346" s="64">
        <v>47889</v>
      </c>
      <c r="I346" s="60">
        <v>420.07894736842104</v>
      </c>
      <c r="J346" s="110">
        <v>24.38</v>
      </c>
      <c r="K346" s="112">
        <v>1.355</v>
      </c>
      <c r="L346" s="60">
        <v>13.380000000000109</v>
      </c>
      <c r="M346" s="60">
        <f>_xlfn.XLOOKUP(A346,'[1]FRV Output'!$F:$F,'[1]FRV Output'!$BC:$BC)</f>
        <v>18.887560196247218</v>
      </c>
      <c r="N346" s="64"/>
      <c r="O346" s="64"/>
      <c r="R346" s="32"/>
      <c r="T346" s="60"/>
      <c r="U346" s="110"/>
      <c r="V346" s="112"/>
    </row>
    <row r="347" spans="1:22" x14ac:dyDescent="0.25">
      <c r="A347">
        <v>1871063214</v>
      </c>
      <c r="B347" s="37">
        <v>0.67698638809749934</v>
      </c>
      <c r="C347" s="64">
        <v>30149</v>
      </c>
      <c r="D347" s="64">
        <v>30149</v>
      </c>
      <c r="E347" s="32">
        <v>28779</v>
      </c>
      <c r="F347" s="64">
        <v>106</v>
      </c>
      <c r="G347" s="60">
        <v>25.039999999999964</v>
      </c>
      <c r="H347" s="64">
        <v>45063</v>
      </c>
      <c r="I347" s="60">
        <v>425.12264150943395</v>
      </c>
      <c r="J347" s="110">
        <v>24.38</v>
      </c>
      <c r="K347" s="112">
        <v>1.0741000000000001</v>
      </c>
      <c r="L347" s="60">
        <v>25.039999999999964</v>
      </c>
      <c r="M347" s="60">
        <f>_xlfn.XLOOKUP(A347,'[1]FRV Output'!$F:$F,'[1]FRV Output'!$BC:$BC)</f>
        <v>14.282651647257799</v>
      </c>
      <c r="N347" s="64"/>
      <c r="O347" s="64"/>
      <c r="R347" s="32"/>
      <c r="T347" s="60"/>
      <c r="U347" s="110"/>
      <c r="V347" s="112"/>
    </row>
    <row r="348" spans="1:22" x14ac:dyDescent="0.25">
      <c r="A348">
        <v>1871143305</v>
      </c>
      <c r="B348" s="37">
        <v>0.61002106926520938</v>
      </c>
      <c r="C348" s="64">
        <v>31204</v>
      </c>
      <c r="D348" s="64">
        <v>31204</v>
      </c>
      <c r="E348" s="32">
        <v>28025</v>
      </c>
      <c r="F348" s="64">
        <v>120</v>
      </c>
      <c r="G348" s="60">
        <v>34.5</v>
      </c>
      <c r="H348" s="64">
        <v>39257</v>
      </c>
      <c r="I348" s="60">
        <v>327.14166666666665</v>
      </c>
      <c r="J348" s="110">
        <v>24.38</v>
      </c>
      <c r="K348" s="112">
        <v>1.1894</v>
      </c>
      <c r="L348" s="60">
        <v>39.420000000000073</v>
      </c>
      <c r="M348" s="60">
        <f>_xlfn.XLOOKUP(A348,'[1]FRV Output'!$F:$F,'[1]FRV Output'!$BC:$BC)</f>
        <v>7.5457396352102668</v>
      </c>
      <c r="N348" s="64"/>
      <c r="O348" s="64"/>
      <c r="R348" s="32"/>
      <c r="T348" s="60"/>
      <c r="U348" s="110"/>
      <c r="V348" s="112"/>
    </row>
    <row r="349" spans="1:22" x14ac:dyDescent="0.25">
      <c r="A349">
        <v>1871548487</v>
      </c>
      <c r="B349" s="37">
        <v>0.56712085785697008</v>
      </c>
      <c r="C349" s="64">
        <v>20549</v>
      </c>
      <c r="D349" s="64">
        <v>20549</v>
      </c>
      <c r="E349" s="32">
        <v>28147</v>
      </c>
      <c r="F349" s="64">
        <v>60</v>
      </c>
      <c r="G349" s="60">
        <v>10.049999999999955</v>
      </c>
      <c r="H349" s="64">
        <v>0</v>
      </c>
      <c r="I349" s="60">
        <v>0</v>
      </c>
      <c r="J349" s="110">
        <v>24.38</v>
      </c>
      <c r="K349" s="112">
        <v>1.2112000000000001</v>
      </c>
      <c r="L349" s="60">
        <v>10.049999999999955</v>
      </c>
      <c r="M349" s="60">
        <f>_xlfn.XLOOKUP(A349,'[1]FRV Output'!$F:$F,'[1]FRV Output'!$BC:$BC)</f>
        <v>19.565265114129641</v>
      </c>
      <c r="N349" s="64"/>
      <c r="O349" s="64"/>
      <c r="R349" s="32"/>
      <c r="T349" s="60"/>
      <c r="U349" s="110"/>
      <c r="V349" s="112"/>
    </row>
    <row r="350" spans="1:22" x14ac:dyDescent="0.25">
      <c r="A350">
        <v>1881648350</v>
      </c>
      <c r="B350" s="37">
        <v>0.61030101475228105</v>
      </c>
      <c r="C350" s="64">
        <v>17909</v>
      </c>
      <c r="D350" s="64">
        <v>17909</v>
      </c>
      <c r="E350" s="32">
        <v>27983</v>
      </c>
      <c r="F350" s="64">
        <v>60</v>
      </c>
      <c r="G350" s="60">
        <v>7.0299999999999727</v>
      </c>
      <c r="H350" s="64">
        <v>33396.123217922606</v>
      </c>
      <c r="I350" s="60">
        <v>556.60205363204341</v>
      </c>
      <c r="J350" s="110">
        <v>24.38</v>
      </c>
      <c r="K350" s="112">
        <v>1.0812999999999999</v>
      </c>
      <c r="L350" s="60">
        <v>7.0299999999999727</v>
      </c>
      <c r="M350" s="60">
        <f>_xlfn.XLOOKUP(A350,'[1]FRV Output'!$F:$F,'[1]FRV Output'!$BC:$BC)</f>
        <v>28.460926524197308</v>
      </c>
      <c r="N350" s="64"/>
      <c r="O350" s="64"/>
      <c r="R350" s="32"/>
      <c r="T350" s="60"/>
      <c r="U350" s="110"/>
      <c r="V350" s="112"/>
    </row>
    <row r="351" spans="1:22" x14ac:dyDescent="0.25">
      <c r="A351">
        <v>1881993079</v>
      </c>
      <c r="B351" s="37">
        <v>0.75640138408304491</v>
      </c>
      <c r="C351" s="64">
        <v>34922</v>
      </c>
      <c r="D351" s="64">
        <v>34922</v>
      </c>
      <c r="E351" s="32">
        <v>27103</v>
      </c>
      <c r="F351" s="64">
        <v>151</v>
      </c>
      <c r="G351" s="60">
        <v>18.769999999999982</v>
      </c>
      <c r="H351" s="64">
        <v>121076.64122137404</v>
      </c>
      <c r="I351" s="60">
        <v>801.83206106870227</v>
      </c>
      <c r="J351" s="110">
        <v>24.38</v>
      </c>
      <c r="K351" s="112">
        <v>1.2110000000000001</v>
      </c>
      <c r="L351" s="60">
        <v>18.769999999999982</v>
      </c>
      <c r="M351" s="60">
        <f>_xlfn.XLOOKUP(A351,'[1]FRV Output'!$F:$F,'[1]FRV Output'!$BC:$BC)</f>
        <v>27.337749382835153</v>
      </c>
      <c r="N351" s="64"/>
      <c r="O351" s="64"/>
      <c r="R351" s="32"/>
      <c r="T351" s="60"/>
      <c r="U351" s="110"/>
      <c r="V351" s="112"/>
    </row>
    <row r="352" spans="1:22" x14ac:dyDescent="0.25">
      <c r="A352">
        <v>1891346797</v>
      </c>
      <c r="B352" s="37">
        <v>0.64809571003822741</v>
      </c>
      <c r="C352" s="64">
        <v>19551</v>
      </c>
      <c r="D352" s="64">
        <v>21360.197014925372</v>
      </c>
      <c r="E352" s="32">
        <v>28001</v>
      </c>
      <c r="F352" s="64">
        <v>90</v>
      </c>
      <c r="G352" s="60">
        <v>4.7999999999999545</v>
      </c>
      <c r="H352" s="64">
        <v>0</v>
      </c>
      <c r="I352" s="60">
        <v>0</v>
      </c>
      <c r="J352" s="110">
        <v>24.38</v>
      </c>
      <c r="K352" s="112">
        <v>1.1519999999999999</v>
      </c>
      <c r="L352" s="60">
        <v>4.7999999999999545</v>
      </c>
      <c r="M352" s="60">
        <f>_xlfn.XLOOKUP(A352,'[1]FRV Output'!$F:$F,'[1]FRV Output'!$BC:$BC)</f>
        <v>23.621657563886231</v>
      </c>
      <c r="N352" s="64"/>
      <c r="O352" s="64"/>
      <c r="R352" s="32"/>
      <c r="T352" s="60"/>
      <c r="U352" s="110"/>
      <c r="V352" s="112"/>
    </row>
    <row r="353" spans="1:22" x14ac:dyDescent="0.25">
      <c r="A353">
        <v>1891722187</v>
      </c>
      <c r="B353" s="37">
        <v>0.74441487216711022</v>
      </c>
      <c r="C353" s="64">
        <v>28711</v>
      </c>
      <c r="D353" s="64">
        <v>28711</v>
      </c>
      <c r="E353" s="32">
        <v>28613</v>
      </c>
      <c r="F353" s="64">
        <v>90</v>
      </c>
      <c r="G353" s="60">
        <v>8.5799999999999272</v>
      </c>
      <c r="H353" s="64">
        <v>36136</v>
      </c>
      <c r="I353" s="60">
        <v>401.51111111111112</v>
      </c>
      <c r="J353" s="110">
        <v>24.38</v>
      </c>
      <c r="K353" s="112">
        <v>1.1096999999999999</v>
      </c>
      <c r="L353" s="60">
        <v>8.5799999999999272</v>
      </c>
      <c r="M353" s="60">
        <f>_xlfn.XLOOKUP(A353,'[1]FRV Output'!$F:$F,'[1]FRV Output'!$BC:$BC)</f>
        <v>20.946323066385737</v>
      </c>
      <c r="N353" s="64"/>
      <c r="O353" s="64"/>
      <c r="R353" s="32"/>
      <c r="T353" s="60"/>
      <c r="U353" s="110"/>
      <c r="V353" s="112"/>
    </row>
    <row r="354" spans="1:22" x14ac:dyDescent="0.25">
      <c r="A354">
        <v>1891740544</v>
      </c>
      <c r="B354" s="37">
        <v>0.60050870360066766</v>
      </c>
      <c r="C354" s="64">
        <v>23272</v>
      </c>
      <c r="D354" s="64">
        <v>23272</v>
      </c>
      <c r="E354" s="32">
        <v>27331</v>
      </c>
      <c r="F354" s="64">
        <v>83</v>
      </c>
      <c r="G354" s="60">
        <v>8.9200000000000728</v>
      </c>
      <c r="H354" s="64">
        <v>44304</v>
      </c>
      <c r="I354" s="60">
        <v>533.7831325301205</v>
      </c>
      <c r="J354" s="110">
        <v>24.38</v>
      </c>
      <c r="K354" s="112">
        <v>1.1505000000000001</v>
      </c>
      <c r="L354" s="60">
        <v>8.9200000000000728</v>
      </c>
      <c r="M354" s="60">
        <f>_xlfn.XLOOKUP(A354,'[1]FRV Output'!$F:$F,'[1]FRV Output'!$BC:$BC)</f>
        <v>26.892916511596198</v>
      </c>
      <c r="N354" s="64"/>
      <c r="O354" s="64"/>
      <c r="R354" s="32"/>
      <c r="T354" s="60"/>
      <c r="U354" s="110"/>
      <c r="V354" s="112"/>
    </row>
    <row r="355" spans="1:22" x14ac:dyDescent="0.25">
      <c r="A355">
        <v>1891908687</v>
      </c>
      <c r="B355" s="37">
        <v>0.65</v>
      </c>
      <c r="C355" s="64">
        <v>30085</v>
      </c>
      <c r="D355" s="64">
        <v>30085</v>
      </c>
      <c r="E355" s="32">
        <v>27006</v>
      </c>
      <c r="F355" s="64">
        <v>117</v>
      </c>
      <c r="G355" s="60">
        <v>20.569999999999936</v>
      </c>
      <c r="H355" s="64">
        <v>40627</v>
      </c>
      <c r="I355" s="60">
        <v>347.23931623931622</v>
      </c>
      <c r="J355" s="110">
        <v>24.38</v>
      </c>
      <c r="K355" s="112">
        <v>1.2608999999999999</v>
      </c>
      <c r="L355" s="60">
        <v>20.569999999999936</v>
      </c>
      <c r="M355" s="60">
        <f>_xlfn.XLOOKUP(A355,'[1]FRV Output'!$F:$F,'[1]FRV Output'!$BC:$BC)</f>
        <v>15.690987377049211</v>
      </c>
      <c r="N355" s="64"/>
      <c r="O355" s="64"/>
      <c r="R355" s="32"/>
      <c r="T355" s="60"/>
      <c r="U355" s="110"/>
      <c r="V355" s="112"/>
    </row>
    <row r="356" spans="1:22" x14ac:dyDescent="0.25">
      <c r="A356">
        <v>1902462401</v>
      </c>
      <c r="B356" s="37">
        <v>0.51498437212722925</v>
      </c>
      <c r="C356" s="64">
        <v>20743</v>
      </c>
      <c r="D356" s="64">
        <v>20743</v>
      </c>
      <c r="E356" s="32">
        <v>27536</v>
      </c>
      <c r="F356" s="64">
        <v>78</v>
      </c>
      <c r="G356" s="60">
        <v>14.759999999999991</v>
      </c>
      <c r="H356" s="64">
        <v>22239.000000000004</v>
      </c>
      <c r="I356" s="60">
        <v>285.11538461538464</v>
      </c>
      <c r="J356" s="110">
        <v>24.38</v>
      </c>
      <c r="K356" s="112">
        <v>1.0685</v>
      </c>
      <c r="L356" s="60">
        <v>14.759999999999991</v>
      </c>
      <c r="M356" s="60">
        <f>_xlfn.XLOOKUP(A356,'[1]FRV Output'!$F:$F,'[1]FRV Output'!$BC:$BC)</f>
        <v>17.719582171649016</v>
      </c>
      <c r="N356" s="64"/>
      <c r="O356" s="64"/>
      <c r="R356" s="32"/>
      <c r="T356" s="60"/>
      <c r="U356" s="110"/>
      <c r="V356" s="112"/>
    </row>
    <row r="357" spans="1:22" x14ac:dyDescent="0.25">
      <c r="A357">
        <v>1902853781</v>
      </c>
      <c r="B357" s="37">
        <v>0.6327624978377443</v>
      </c>
      <c r="C357" s="64">
        <v>26926</v>
      </c>
      <c r="D357" s="64">
        <v>26926</v>
      </c>
      <c r="E357" s="32">
        <v>28301</v>
      </c>
      <c r="F357" s="64">
        <v>86</v>
      </c>
      <c r="G357" s="60">
        <v>12.980000000000018</v>
      </c>
      <c r="H357" s="64">
        <v>57479.483879707397</v>
      </c>
      <c r="I357" s="60">
        <v>668.36609162450463</v>
      </c>
      <c r="J357" s="110">
        <v>24.38</v>
      </c>
      <c r="K357" s="112">
        <v>1.357</v>
      </c>
      <c r="L357" s="60">
        <v>12.980000000000018</v>
      </c>
      <c r="M357" s="60">
        <f>_xlfn.XLOOKUP(A357,'[1]FRV Output'!$F:$F,'[1]FRV Output'!$BC:$BC)</f>
        <v>30.272705166055509</v>
      </c>
      <c r="N357" s="64"/>
      <c r="O357" s="64"/>
      <c r="R357" s="32"/>
      <c r="T357" s="60"/>
      <c r="U357" s="110"/>
      <c r="V357" s="112"/>
    </row>
    <row r="358" spans="1:22" x14ac:dyDescent="0.25">
      <c r="A358">
        <v>1902875578</v>
      </c>
      <c r="B358" s="37">
        <v>0.63571569986141363</v>
      </c>
      <c r="C358" s="64">
        <v>26438</v>
      </c>
      <c r="D358" s="64">
        <v>26438</v>
      </c>
      <c r="E358" s="32">
        <v>27316</v>
      </c>
      <c r="F358" s="64">
        <v>90</v>
      </c>
      <c r="G358" s="60">
        <v>18.440000000000055</v>
      </c>
      <c r="H358" s="64">
        <v>37968</v>
      </c>
      <c r="I358" s="60">
        <v>421.86666666666667</v>
      </c>
      <c r="J358" s="110">
        <v>24.38</v>
      </c>
      <c r="K358" s="112">
        <v>1.3166</v>
      </c>
      <c r="L358" s="60">
        <v>18.440000000000055</v>
      </c>
      <c r="M358" s="60">
        <f>_xlfn.XLOOKUP(A358,'[1]FRV Output'!$F:$F,'[1]FRV Output'!$BC:$BC)</f>
        <v>17.420110700122123</v>
      </c>
      <c r="N358" s="64"/>
      <c r="O358" s="64"/>
      <c r="R358" s="32"/>
      <c r="T358" s="60"/>
      <c r="U358" s="110"/>
      <c r="V358" s="112"/>
    </row>
    <row r="359" spans="1:22" x14ac:dyDescent="0.25">
      <c r="A359">
        <v>1912027871</v>
      </c>
      <c r="B359" s="37">
        <v>0.66953556349464105</v>
      </c>
      <c r="C359" s="64">
        <v>0</v>
      </c>
      <c r="D359" s="64">
        <v>0</v>
      </c>
      <c r="E359" s="32">
        <v>28786</v>
      </c>
      <c r="F359" s="64">
        <v>90</v>
      </c>
      <c r="G359" s="60">
        <v>13.329999999999927</v>
      </c>
      <c r="H359" s="64">
        <v>41226</v>
      </c>
      <c r="I359" s="60">
        <v>458.06666666666666</v>
      </c>
      <c r="J359" s="110">
        <v>24.38</v>
      </c>
      <c r="K359" s="112">
        <v>1.1306</v>
      </c>
      <c r="L359" s="60">
        <v>13.329999999999927</v>
      </c>
      <c r="M359" s="60">
        <f>_xlfn.XLOOKUP(A359,'[1]FRV Output'!$F:$F,'[1]FRV Output'!$BC:$BC)</f>
        <v>20.771358906908102</v>
      </c>
      <c r="N359" s="64"/>
      <c r="O359" s="64"/>
      <c r="R359" s="32"/>
      <c r="T359" s="60"/>
      <c r="U359" s="110"/>
      <c r="V359" s="112"/>
    </row>
    <row r="360" spans="1:22" x14ac:dyDescent="0.25">
      <c r="A360">
        <v>1912323635</v>
      </c>
      <c r="B360" s="37">
        <v>0.65</v>
      </c>
      <c r="C360" s="64">
        <v>32428</v>
      </c>
      <c r="D360" s="64">
        <v>32428</v>
      </c>
      <c r="E360" s="32">
        <v>27012</v>
      </c>
      <c r="F360" s="64">
        <v>100</v>
      </c>
      <c r="G360" s="60">
        <v>9</v>
      </c>
      <c r="H360" s="64">
        <v>70374</v>
      </c>
      <c r="I360" s="60">
        <v>703.74</v>
      </c>
      <c r="J360" s="110">
        <v>0</v>
      </c>
      <c r="K360" s="112">
        <v>1.1236999999999999</v>
      </c>
      <c r="L360" s="60">
        <v>9</v>
      </c>
      <c r="M360" s="60">
        <f>_xlfn.XLOOKUP(A360,'[1]FRV Output'!$F:$F,'[1]FRV Output'!$BC:$BC)</f>
        <v>33.234090639262369</v>
      </c>
      <c r="N360" s="64"/>
      <c r="O360" s="64"/>
      <c r="R360" s="32"/>
      <c r="T360" s="60"/>
      <c r="U360" s="110"/>
      <c r="V360" s="112"/>
    </row>
    <row r="361" spans="1:22" x14ac:dyDescent="0.25">
      <c r="A361">
        <v>1912485517</v>
      </c>
      <c r="B361" s="37">
        <v>0.6396356365252166</v>
      </c>
      <c r="C361" s="64">
        <v>29771</v>
      </c>
      <c r="D361" s="64">
        <v>29771</v>
      </c>
      <c r="E361" s="32">
        <v>27028</v>
      </c>
      <c r="F361" s="64">
        <v>96</v>
      </c>
      <c r="G361" s="60">
        <v>4</v>
      </c>
      <c r="H361" s="64">
        <v>56888.888888888891</v>
      </c>
      <c r="I361" s="60">
        <v>592.59259259259261</v>
      </c>
      <c r="J361" s="110">
        <v>24.38</v>
      </c>
      <c r="K361" s="112">
        <v>1.1724000000000001</v>
      </c>
      <c r="L361" s="60">
        <v>4</v>
      </c>
      <c r="M361" s="60">
        <f>_xlfn.XLOOKUP(A361,'[1]FRV Output'!$F:$F,'[1]FRV Output'!$BC:$BC)</f>
        <v>32.629688917461344</v>
      </c>
      <c r="N361" s="64"/>
      <c r="O361" s="64"/>
      <c r="R361" s="32"/>
      <c r="T361" s="60"/>
      <c r="U361" s="110"/>
      <c r="V361" s="112"/>
    </row>
    <row r="362" spans="1:22" x14ac:dyDescent="0.25">
      <c r="A362">
        <v>1912902230</v>
      </c>
      <c r="B362" s="37">
        <v>0.60920680968012819</v>
      </c>
      <c r="C362" s="64">
        <v>37776</v>
      </c>
      <c r="D362" s="64">
        <v>37776</v>
      </c>
      <c r="E362" s="32">
        <v>27105</v>
      </c>
      <c r="F362" s="64">
        <v>117</v>
      </c>
      <c r="G362" s="60">
        <v>7.3599999999999</v>
      </c>
      <c r="H362" s="64">
        <v>68159</v>
      </c>
      <c r="I362" s="60">
        <v>582.55555555555554</v>
      </c>
      <c r="J362" s="110">
        <v>24.38</v>
      </c>
      <c r="K362" s="112">
        <v>1.1493</v>
      </c>
      <c r="L362" s="60">
        <v>7.3599999999999</v>
      </c>
      <c r="M362" s="60">
        <f>_xlfn.XLOOKUP(A362,'[1]FRV Output'!$F:$F,'[1]FRV Output'!$BC:$BC)</f>
        <v>29.01391571211132</v>
      </c>
      <c r="N362" s="64"/>
      <c r="O362" s="64"/>
      <c r="R362" s="32"/>
      <c r="T362" s="60"/>
      <c r="U362" s="110"/>
      <c r="V362" s="112"/>
    </row>
    <row r="363" spans="1:22" x14ac:dyDescent="0.25">
      <c r="A363">
        <v>1922456664</v>
      </c>
      <c r="B363" s="37">
        <v>0.64409951563188017</v>
      </c>
      <c r="C363" s="64">
        <v>25540</v>
      </c>
      <c r="D363" s="64">
        <v>25540</v>
      </c>
      <c r="E363" s="32">
        <v>28134</v>
      </c>
      <c r="F363" s="64">
        <v>106</v>
      </c>
      <c r="G363" s="60">
        <v>23.1099999999999</v>
      </c>
      <c r="H363" s="64">
        <v>0</v>
      </c>
      <c r="I363" s="60">
        <v>0</v>
      </c>
      <c r="J363" s="110">
        <v>24.38</v>
      </c>
      <c r="K363" s="112">
        <v>1.3308</v>
      </c>
      <c r="L363" s="60">
        <v>23.1099999999999</v>
      </c>
      <c r="M363" s="60">
        <f>_xlfn.XLOOKUP(A363,'[1]FRV Output'!$F:$F,'[1]FRV Output'!$BC:$BC)</f>
        <v>14.076196582087796</v>
      </c>
      <c r="N363" s="64"/>
      <c r="O363" s="64"/>
      <c r="R363" s="32"/>
      <c r="T363" s="60"/>
      <c r="U363" s="110"/>
      <c r="V363" s="112"/>
    </row>
    <row r="364" spans="1:22" x14ac:dyDescent="0.25">
      <c r="A364">
        <v>1922611102</v>
      </c>
      <c r="B364" s="37">
        <v>0.709206556307592</v>
      </c>
      <c r="C364" s="64">
        <v>47393</v>
      </c>
      <c r="D364" s="64">
        <v>47393</v>
      </c>
      <c r="E364" s="32">
        <v>27804</v>
      </c>
      <c r="F364" s="64">
        <v>141</v>
      </c>
      <c r="G364" s="60">
        <v>32.079999999999927</v>
      </c>
      <c r="H364" s="64">
        <v>43170</v>
      </c>
      <c r="I364" s="60">
        <v>306.17021276595744</v>
      </c>
      <c r="J364" s="110">
        <v>7.879999999999999</v>
      </c>
      <c r="K364" s="112">
        <v>1.2544999999999999</v>
      </c>
      <c r="L364" s="60">
        <v>32.079999999999927</v>
      </c>
      <c r="M364" s="60">
        <f>_xlfn.XLOOKUP(A364,'[1]FRV Output'!$F:$F,'[1]FRV Output'!$BC:$BC)</f>
        <v>8.1102754584680454</v>
      </c>
      <c r="N364" s="64"/>
      <c r="O364" s="64"/>
      <c r="R364" s="32"/>
      <c r="T364" s="60"/>
      <c r="U364" s="110"/>
      <c r="V364" s="112"/>
    </row>
    <row r="365" spans="1:22" x14ac:dyDescent="0.25">
      <c r="A365">
        <v>1922747088</v>
      </c>
      <c r="B365" s="37">
        <v>0.70798875289447571</v>
      </c>
      <c r="C365" s="64">
        <v>32084</v>
      </c>
      <c r="D365" s="64">
        <v>32084</v>
      </c>
      <c r="E365" s="32">
        <v>28677</v>
      </c>
      <c r="F365" s="64">
        <v>94</v>
      </c>
      <c r="G365" s="60">
        <v>23.119999999999891</v>
      </c>
      <c r="H365" s="64">
        <v>32776.426097271651</v>
      </c>
      <c r="I365" s="60">
        <v>348.68538401352822</v>
      </c>
      <c r="J365" s="110">
        <v>24.38</v>
      </c>
      <c r="K365" s="112">
        <v>1.3819999999999999</v>
      </c>
      <c r="L365" s="60">
        <v>23.119999999999891</v>
      </c>
      <c r="M365" s="60">
        <f>_xlfn.XLOOKUP(A365,'[1]FRV Output'!$F:$F,'[1]FRV Output'!$BC:$BC)</f>
        <v>12.421973506950547</v>
      </c>
      <c r="N365" s="64"/>
      <c r="O365" s="64"/>
      <c r="R365" s="32"/>
      <c r="T365" s="60"/>
      <c r="U365" s="110"/>
      <c r="V365" s="112"/>
    </row>
    <row r="366" spans="1:22" x14ac:dyDescent="0.25">
      <c r="A366">
        <v>1932107547</v>
      </c>
      <c r="B366" s="37">
        <v>0.69069593414816655</v>
      </c>
      <c r="C366" s="64">
        <v>11402</v>
      </c>
      <c r="D366" s="64">
        <v>11402</v>
      </c>
      <c r="E366" s="32">
        <v>27030</v>
      </c>
      <c r="F366" s="64">
        <v>33</v>
      </c>
      <c r="G366" s="60">
        <v>17.660000000000082</v>
      </c>
      <c r="H366" s="64">
        <v>0</v>
      </c>
      <c r="I366" s="60">
        <v>0</v>
      </c>
      <c r="J366" s="110">
        <v>24.38</v>
      </c>
      <c r="K366" s="112">
        <v>1.0054000000000001</v>
      </c>
      <c r="L366" s="60">
        <v>17.660000000000082</v>
      </c>
      <c r="M366" s="60">
        <f>_xlfn.XLOOKUP(A366,'[1]FRV Output'!$F:$F,'[1]FRV Output'!$BC:$BC)</f>
        <v>15.234473802139945</v>
      </c>
      <c r="N366" s="64"/>
      <c r="O366" s="64"/>
      <c r="R366" s="32"/>
      <c r="T366" s="60"/>
      <c r="U366" s="110"/>
      <c r="V366" s="112"/>
    </row>
    <row r="367" spans="1:22" x14ac:dyDescent="0.25">
      <c r="A367">
        <v>1932135381</v>
      </c>
      <c r="B367" s="37">
        <v>0.65307712282524022</v>
      </c>
      <c r="C367" s="64">
        <v>17010</v>
      </c>
      <c r="D367" s="64">
        <v>17010</v>
      </c>
      <c r="E367" s="32">
        <v>28001</v>
      </c>
      <c r="F367" s="64">
        <v>60</v>
      </c>
      <c r="G367" s="60">
        <v>21.170000000000073</v>
      </c>
      <c r="H367" s="64">
        <v>19703.96303864949</v>
      </c>
      <c r="I367" s="60">
        <v>328.39938397749148</v>
      </c>
      <c r="J367" s="110">
        <v>24.38</v>
      </c>
      <c r="K367" s="112">
        <v>1.2033</v>
      </c>
      <c r="L367" s="60">
        <v>21.170000000000073</v>
      </c>
      <c r="M367" s="60">
        <f>_xlfn.XLOOKUP(A367,'[1]FRV Output'!$F:$F,'[1]FRV Output'!$BC:$BC)</f>
        <v>14.358374891513952</v>
      </c>
      <c r="N367" s="64"/>
      <c r="O367" s="64"/>
      <c r="R367" s="32"/>
      <c r="T367" s="60"/>
      <c r="U367" s="110"/>
      <c r="V367" s="112"/>
    </row>
    <row r="368" spans="1:22" x14ac:dyDescent="0.25">
      <c r="A368">
        <v>1932145836</v>
      </c>
      <c r="B368" s="37">
        <v>0.63635005973715641</v>
      </c>
      <c r="C368" s="64">
        <v>44219</v>
      </c>
      <c r="D368" s="64">
        <v>44219</v>
      </c>
      <c r="E368" s="32">
        <v>28501</v>
      </c>
      <c r="F368" s="64">
        <v>175</v>
      </c>
      <c r="G368" s="60">
        <v>11.119999999999891</v>
      </c>
      <c r="H368" s="64">
        <v>61154</v>
      </c>
      <c r="I368" s="60">
        <v>349.45142857142855</v>
      </c>
      <c r="J368" s="110">
        <v>7.879999999999999</v>
      </c>
      <c r="K368" s="112">
        <v>1.1735</v>
      </c>
      <c r="L368" s="60">
        <v>11.119999999999891</v>
      </c>
      <c r="M368" s="60">
        <f>_xlfn.XLOOKUP(A368,'[1]FRV Output'!$F:$F,'[1]FRV Output'!$BC:$BC)</f>
        <v>18.58183784956606</v>
      </c>
      <c r="N368" s="64"/>
      <c r="O368" s="64"/>
      <c r="R368" s="32"/>
      <c r="T368" s="60"/>
      <c r="U368" s="110"/>
      <c r="V368" s="112"/>
    </row>
    <row r="369" spans="1:22" x14ac:dyDescent="0.25">
      <c r="A369">
        <v>1932368586</v>
      </c>
      <c r="B369" s="37">
        <v>0.65</v>
      </c>
      <c r="C369" s="64">
        <v>5266</v>
      </c>
      <c r="D369" s="64">
        <v>5266</v>
      </c>
      <c r="E369" s="32">
        <v>27215</v>
      </c>
      <c r="F369" s="64">
        <v>16</v>
      </c>
      <c r="G369" s="60">
        <v>3</v>
      </c>
      <c r="H369" s="64">
        <v>216687</v>
      </c>
      <c r="I369" s="60">
        <v>13542.9375</v>
      </c>
      <c r="J369" s="110">
        <v>0</v>
      </c>
      <c r="K369" s="112">
        <v>1.1792108485224528</v>
      </c>
      <c r="L369" s="60">
        <v>3</v>
      </c>
      <c r="M369" s="60">
        <f>_xlfn.XLOOKUP(A369,'[1]FRV Output'!$F:$F,'[1]FRV Output'!$BC:$BC)</f>
        <v>36.751219027725028</v>
      </c>
      <c r="N369" s="64"/>
      <c r="O369" s="64"/>
      <c r="R369" s="32"/>
      <c r="T369" s="60"/>
      <c r="U369" s="110"/>
      <c r="V369" s="112"/>
    </row>
    <row r="370" spans="1:22" x14ac:dyDescent="0.25">
      <c r="A370">
        <v>1932606530</v>
      </c>
      <c r="B370" s="37">
        <v>0.67015222649025474</v>
      </c>
      <c r="C370" s="64">
        <v>50300</v>
      </c>
      <c r="D370" s="64">
        <v>50300</v>
      </c>
      <c r="E370" s="32">
        <v>28144</v>
      </c>
      <c r="F370" s="64">
        <v>185</v>
      </c>
      <c r="G370" s="60">
        <v>31.630000000000109</v>
      </c>
      <c r="H370" s="64">
        <v>54789</v>
      </c>
      <c r="I370" s="60">
        <v>296.15675675675675</v>
      </c>
      <c r="J370" s="110">
        <v>7.879999999999999</v>
      </c>
      <c r="K370" s="112">
        <v>0.96099999999999997</v>
      </c>
      <c r="L370" s="60">
        <v>31.630000000000109</v>
      </c>
      <c r="M370" s="60">
        <f>_xlfn.XLOOKUP(A370,'[1]FRV Output'!$F:$F,'[1]FRV Output'!$BC:$BC)</f>
        <v>9.3065886773143287</v>
      </c>
      <c r="N370" s="64"/>
      <c r="O370" s="64"/>
      <c r="R370" s="32"/>
      <c r="T370" s="60"/>
      <c r="U370" s="110"/>
      <c r="V370" s="112"/>
    </row>
    <row r="371" spans="1:22" x14ac:dyDescent="0.25">
      <c r="A371">
        <v>1932750841</v>
      </c>
      <c r="B371" s="37">
        <v>0.72053919496500873</v>
      </c>
      <c r="C371" s="64">
        <v>46577</v>
      </c>
      <c r="D371" s="64">
        <v>37220.921397379912</v>
      </c>
      <c r="E371" s="32">
        <v>28078</v>
      </c>
      <c r="F371" s="64">
        <v>168</v>
      </c>
      <c r="G371" s="60">
        <v>2.3399999999999181</v>
      </c>
      <c r="H371" s="64">
        <v>0</v>
      </c>
      <c r="I371" s="60">
        <v>0</v>
      </c>
      <c r="J371" s="110">
        <v>24.38</v>
      </c>
      <c r="K371" s="112">
        <v>1.1154999999999999</v>
      </c>
      <c r="L371" s="60">
        <v>2.3399999999999181</v>
      </c>
      <c r="M371" s="60">
        <f>_xlfn.XLOOKUP(A371,'[1]FRV Output'!$F:$F,'[1]FRV Output'!$BC:$BC)</f>
        <v>24.42435417671167</v>
      </c>
      <c r="N371" s="64"/>
      <c r="O371" s="64"/>
      <c r="R371" s="32"/>
      <c r="T371" s="60"/>
      <c r="U371" s="110"/>
      <c r="V371" s="112"/>
    </row>
    <row r="372" spans="1:22" x14ac:dyDescent="0.25">
      <c r="A372">
        <v>1942236161</v>
      </c>
      <c r="B372" s="37">
        <v>0.5595415171931053</v>
      </c>
      <c r="C372" s="64">
        <v>18263</v>
      </c>
      <c r="D372" s="64">
        <v>18263</v>
      </c>
      <c r="E372" s="32">
        <v>28507</v>
      </c>
      <c r="F372" s="64">
        <v>64</v>
      </c>
      <c r="G372" s="60">
        <v>10.230000000000018</v>
      </c>
      <c r="H372" s="64">
        <v>27742</v>
      </c>
      <c r="I372" s="60">
        <v>433.46875</v>
      </c>
      <c r="J372" s="110">
        <v>24.38</v>
      </c>
      <c r="K372" s="112">
        <v>1.202</v>
      </c>
      <c r="L372" s="60">
        <v>10.230000000000018</v>
      </c>
      <c r="M372" s="60">
        <f>_xlfn.XLOOKUP(A372,'[1]FRV Output'!$F:$F,'[1]FRV Output'!$BC:$BC)</f>
        <v>20.133188338781768</v>
      </c>
      <c r="N372" s="64"/>
      <c r="O372" s="64"/>
      <c r="R372" s="32"/>
      <c r="T372" s="60"/>
      <c r="U372" s="110"/>
      <c r="V372" s="112"/>
    </row>
    <row r="373" spans="1:22" x14ac:dyDescent="0.25">
      <c r="A373">
        <v>1942279609</v>
      </c>
      <c r="B373" s="37">
        <v>0.60952550838387443</v>
      </c>
      <c r="C373" s="64">
        <v>31188</v>
      </c>
      <c r="D373" s="64">
        <v>31188</v>
      </c>
      <c r="E373" s="32">
        <v>28025</v>
      </c>
      <c r="F373" s="64">
        <v>120</v>
      </c>
      <c r="G373" s="60">
        <v>34.5</v>
      </c>
      <c r="H373" s="64">
        <v>35674</v>
      </c>
      <c r="I373" s="60">
        <v>297.28333333333336</v>
      </c>
      <c r="J373" s="110">
        <v>24.38</v>
      </c>
      <c r="K373" s="112">
        <v>1.3769</v>
      </c>
      <c r="L373" s="60">
        <v>35.329999999999927</v>
      </c>
      <c r="M373" s="60">
        <f>_xlfn.XLOOKUP(A373,'[1]FRV Output'!$F:$F,'[1]FRV Output'!$BC:$BC)</f>
        <v>8.1039503375120514</v>
      </c>
      <c r="N373" s="64"/>
      <c r="O373" s="64"/>
      <c r="R373" s="32"/>
      <c r="T373" s="60"/>
      <c r="U373" s="110"/>
      <c r="V373" s="112"/>
    </row>
    <row r="374" spans="1:22" x14ac:dyDescent="0.25">
      <c r="A374">
        <v>1942583752</v>
      </c>
      <c r="B374" s="37">
        <v>0.54754010898974881</v>
      </c>
      <c r="C374" s="64">
        <v>19085</v>
      </c>
      <c r="D374" s="64">
        <v>19085</v>
      </c>
      <c r="E374" s="32">
        <v>27573</v>
      </c>
      <c r="F374" s="64">
        <v>60</v>
      </c>
      <c r="G374" s="60">
        <v>6</v>
      </c>
      <c r="H374" s="64">
        <v>0</v>
      </c>
      <c r="I374" s="60">
        <v>0</v>
      </c>
      <c r="J374" s="110">
        <v>24.38</v>
      </c>
      <c r="K374" s="112">
        <v>0.92869999999999997</v>
      </c>
      <c r="L374" s="60">
        <v>6</v>
      </c>
      <c r="M374" s="60">
        <f>_xlfn.XLOOKUP(A374,'[1]FRV Output'!$F:$F,'[1]FRV Output'!$BC:$BC)</f>
        <v>22.336501218234211</v>
      </c>
      <c r="N374" s="64"/>
      <c r="O374" s="64"/>
      <c r="R374" s="32"/>
      <c r="T374" s="60"/>
      <c r="U374" s="110"/>
      <c r="V374" s="112"/>
    </row>
    <row r="375" spans="1:22" x14ac:dyDescent="0.25">
      <c r="A375">
        <v>1952337073</v>
      </c>
      <c r="B375" s="37">
        <v>0.59402801021756357</v>
      </c>
      <c r="C375" s="64">
        <v>17714</v>
      </c>
      <c r="D375" s="64">
        <v>17714</v>
      </c>
      <c r="E375" s="32">
        <v>28655</v>
      </c>
      <c r="F375" s="64">
        <v>121</v>
      </c>
      <c r="G375" s="60">
        <v>34.5</v>
      </c>
      <c r="H375" s="64">
        <v>38940</v>
      </c>
      <c r="I375" s="60">
        <v>321.81818181818181</v>
      </c>
      <c r="J375" s="110">
        <v>24.38</v>
      </c>
      <c r="K375" s="112">
        <v>1.2881</v>
      </c>
      <c r="L375" s="60">
        <v>34.950000000000045</v>
      </c>
      <c r="M375" s="60">
        <f>_xlfn.XLOOKUP(A375,'[1]FRV Output'!$F:$F,'[1]FRV Output'!$BC:$BC)</f>
        <v>8.0170333654773387</v>
      </c>
      <c r="N375" s="64"/>
      <c r="O375" s="64"/>
      <c r="R375" s="32"/>
      <c r="T375" s="60"/>
      <c r="U375" s="110"/>
      <c r="V375" s="112"/>
    </row>
    <row r="376" spans="1:22" x14ac:dyDescent="0.25">
      <c r="A376">
        <v>1952354565</v>
      </c>
      <c r="B376" s="37">
        <v>0.70996100204904489</v>
      </c>
      <c r="C376" s="64">
        <v>58990</v>
      </c>
      <c r="D376" s="64">
        <v>58990</v>
      </c>
      <c r="E376" s="32">
        <v>27262</v>
      </c>
      <c r="F376" s="64">
        <v>199</v>
      </c>
      <c r="G376" s="60">
        <v>28.720000000000027</v>
      </c>
      <c r="H376" s="64">
        <v>55114.999999999993</v>
      </c>
      <c r="I376" s="60">
        <v>276.95979899497485</v>
      </c>
      <c r="J376" s="110">
        <v>7.879999999999999</v>
      </c>
      <c r="K376" s="112">
        <v>1.1614</v>
      </c>
      <c r="L376" s="60">
        <v>28.720000000000027</v>
      </c>
      <c r="M376" s="60">
        <f>_xlfn.XLOOKUP(A376,'[1]FRV Output'!$F:$F,'[1]FRV Output'!$BC:$BC)</f>
        <v>10.700487788090674</v>
      </c>
      <c r="N376" s="64"/>
      <c r="O376" s="64"/>
      <c r="R376" s="32"/>
      <c r="T376" s="60"/>
      <c r="U376" s="110"/>
      <c r="V376" s="112"/>
    </row>
    <row r="377" spans="1:22" x14ac:dyDescent="0.25">
      <c r="A377">
        <v>1952396509</v>
      </c>
      <c r="B377" s="37">
        <v>0.65642633228840119</v>
      </c>
      <c r="C377" s="64">
        <v>28943</v>
      </c>
      <c r="D377" s="64">
        <v>28943</v>
      </c>
      <c r="E377" s="32">
        <v>28713</v>
      </c>
      <c r="F377" s="64">
        <v>120</v>
      </c>
      <c r="G377" s="60">
        <v>34.5</v>
      </c>
      <c r="H377" s="64">
        <v>33782</v>
      </c>
      <c r="I377" s="60">
        <v>281.51666666666665</v>
      </c>
      <c r="J377" s="110">
        <v>24.38</v>
      </c>
      <c r="K377" s="112">
        <v>1.1312</v>
      </c>
      <c r="L377" s="60">
        <v>43.619999999999891</v>
      </c>
      <c r="M377" s="60">
        <f>_xlfn.XLOOKUP(A377,'[1]FRV Output'!$F:$F,'[1]FRV Output'!$BC:$BC)</f>
        <v>7.9301163934426215</v>
      </c>
      <c r="N377" s="64"/>
      <c r="O377" s="64"/>
      <c r="R377" s="32"/>
      <c r="T377" s="60"/>
      <c r="U377" s="110"/>
      <c r="V377" s="112"/>
    </row>
    <row r="378" spans="1:22" x14ac:dyDescent="0.25">
      <c r="A378">
        <v>1952446510</v>
      </c>
      <c r="B378" s="37">
        <v>0.66498476770754</v>
      </c>
      <c r="C378" s="64">
        <v>37054</v>
      </c>
      <c r="D378" s="64">
        <v>37054</v>
      </c>
      <c r="E378" s="32">
        <v>28451</v>
      </c>
      <c r="F378" s="64">
        <v>175</v>
      </c>
      <c r="G378" s="60">
        <v>24</v>
      </c>
      <c r="H378" s="64">
        <v>0</v>
      </c>
      <c r="I378" s="60">
        <v>0</v>
      </c>
      <c r="J378" s="110">
        <v>24.38</v>
      </c>
      <c r="K378" s="112">
        <v>0.9768</v>
      </c>
      <c r="L378" s="60">
        <v>24</v>
      </c>
      <c r="M378" s="60">
        <f>_xlfn.XLOOKUP(A378,'[1]FRV Output'!$F:$F,'[1]FRV Output'!$BC:$BC)</f>
        <v>12.993192924300864</v>
      </c>
      <c r="N378" s="64"/>
      <c r="O378" s="64"/>
      <c r="R378" s="32"/>
      <c r="T378" s="60"/>
      <c r="U378" s="110"/>
      <c r="V378" s="112"/>
    </row>
    <row r="379" spans="1:22" x14ac:dyDescent="0.25">
      <c r="A379">
        <v>1952486771</v>
      </c>
      <c r="B379" s="37">
        <v>0.63864677204904707</v>
      </c>
      <c r="C379" s="64">
        <v>35098</v>
      </c>
      <c r="D379" s="64">
        <v>35098</v>
      </c>
      <c r="E379" s="32">
        <v>28906</v>
      </c>
      <c r="F379" s="64">
        <v>134</v>
      </c>
      <c r="G379" s="60">
        <v>3</v>
      </c>
      <c r="H379" s="64">
        <v>74094.999999999985</v>
      </c>
      <c r="I379" s="60">
        <v>552.94776119402979</v>
      </c>
      <c r="J379" s="110">
        <v>24.38</v>
      </c>
      <c r="K379" s="112">
        <v>1.2445999999999999</v>
      </c>
      <c r="L379" s="60">
        <v>3</v>
      </c>
      <c r="M379" s="60">
        <f>_xlfn.XLOOKUP(A379,'[1]FRV Output'!$F:$F,'[1]FRV Output'!$BC:$BC)</f>
        <v>30.124411114491423</v>
      </c>
      <c r="N379" s="64"/>
      <c r="O379" s="64"/>
      <c r="R379" s="32"/>
      <c r="T379" s="60"/>
      <c r="U379" s="110"/>
      <c r="V379" s="112"/>
    </row>
    <row r="380" spans="1:22" x14ac:dyDescent="0.25">
      <c r="A380">
        <v>1952766271</v>
      </c>
      <c r="B380" s="37">
        <v>0.67431333435629892</v>
      </c>
      <c r="C380" s="64">
        <v>47008</v>
      </c>
      <c r="D380" s="64">
        <v>47008</v>
      </c>
      <c r="E380" s="32">
        <v>27909</v>
      </c>
      <c r="F380" s="64">
        <v>146</v>
      </c>
      <c r="G380" s="60">
        <v>9.8800000000001091</v>
      </c>
      <c r="H380" s="64">
        <v>65264.576470588232</v>
      </c>
      <c r="I380" s="60">
        <v>447.01764705882351</v>
      </c>
      <c r="J380" s="110">
        <v>7.879999999999999</v>
      </c>
      <c r="K380" s="112">
        <v>1.4060999999999999</v>
      </c>
      <c r="L380" s="60">
        <v>9.8800000000001091</v>
      </c>
      <c r="M380" s="60">
        <f>_xlfn.XLOOKUP(A380,'[1]FRV Output'!$F:$F,'[1]FRV Output'!$BC:$BC)</f>
        <v>21.353202002179906</v>
      </c>
      <c r="N380" s="64"/>
      <c r="O380" s="64"/>
      <c r="R380" s="32"/>
      <c r="T380" s="60"/>
      <c r="U380" s="110"/>
      <c r="V380" s="112"/>
    </row>
    <row r="381" spans="1:22" x14ac:dyDescent="0.25">
      <c r="A381">
        <v>1962052498</v>
      </c>
      <c r="B381" s="37">
        <v>0.61238303802508465</v>
      </c>
      <c r="C381" s="64">
        <v>24261</v>
      </c>
      <c r="D381" s="64">
        <v>24261</v>
      </c>
      <c r="E381" s="32">
        <v>28211</v>
      </c>
      <c r="F381" s="64">
        <v>100</v>
      </c>
      <c r="G381" s="60">
        <v>34.5</v>
      </c>
      <c r="H381" s="64">
        <v>34999</v>
      </c>
      <c r="I381" s="60">
        <v>349.99</v>
      </c>
      <c r="J381" s="110">
        <v>24.38</v>
      </c>
      <c r="K381" s="112">
        <v>1.0847</v>
      </c>
      <c r="L381" s="60">
        <v>38.650000000000091</v>
      </c>
      <c r="M381" s="60">
        <f>_xlfn.XLOOKUP(A381,'[1]FRV Output'!$F:$F,'[1]FRV Output'!$BC:$BC)</f>
        <v>8.0491485750602614</v>
      </c>
      <c r="N381" s="64"/>
      <c r="O381" s="64"/>
      <c r="R381" s="32"/>
      <c r="T381" s="60"/>
      <c r="U381" s="110"/>
      <c r="V381" s="112"/>
    </row>
    <row r="382" spans="1:22" x14ac:dyDescent="0.25">
      <c r="A382">
        <v>1962066480</v>
      </c>
      <c r="B382" s="37">
        <v>0.73196099674972925</v>
      </c>
      <c r="C382" s="64">
        <v>32082</v>
      </c>
      <c r="D382" s="64">
        <v>32082</v>
      </c>
      <c r="E382" s="32">
        <v>28655</v>
      </c>
      <c r="F382" s="64">
        <v>120</v>
      </c>
      <c r="G382" s="60">
        <v>34.5</v>
      </c>
      <c r="H382" s="64">
        <v>34000</v>
      </c>
      <c r="I382" s="60">
        <v>283.33333333333331</v>
      </c>
      <c r="J382" s="110">
        <v>24.38</v>
      </c>
      <c r="K382" s="112">
        <v>1.4528000000000001</v>
      </c>
      <c r="L382" s="60">
        <v>37.460000000000036</v>
      </c>
      <c r="M382" s="60">
        <f>_xlfn.XLOOKUP(A382,'[1]FRV Output'!$F:$F,'[1]FRV Output'!$BC:$BC)</f>
        <v>8.0170333654773387</v>
      </c>
      <c r="N382" s="64"/>
      <c r="O382" s="64"/>
      <c r="R382" s="32"/>
      <c r="T382" s="60"/>
      <c r="U382" s="110"/>
      <c r="V382" s="112"/>
    </row>
    <row r="383" spans="1:22" x14ac:dyDescent="0.25">
      <c r="A383">
        <v>1962447565</v>
      </c>
      <c r="B383" s="37">
        <v>0.58304109342685007</v>
      </c>
      <c r="C383" s="64">
        <v>49467</v>
      </c>
      <c r="D383" s="64">
        <v>49467</v>
      </c>
      <c r="E383" s="32">
        <v>28540</v>
      </c>
      <c r="F383" s="64">
        <v>239</v>
      </c>
      <c r="G383" s="60">
        <v>28.3900000000001</v>
      </c>
      <c r="H383" s="64">
        <v>72465.366387687915</v>
      </c>
      <c r="I383" s="60">
        <v>303.202369822962</v>
      </c>
      <c r="J383" s="110">
        <v>7.879999999999999</v>
      </c>
      <c r="K383" s="112">
        <v>1.1769000000000001</v>
      </c>
      <c r="L383" s="60">
        <v>28.3900000000001</v>
      </c>
      <c r="M383" s="60">
        <f>_xlfn.XLOOKUP(A383,'[1]FRV Output'!$F:$F,'[1]FRV Output'!$BC:$BC)</f>
        <v>10.493190527242009</v>
      </c>
      <c r="N383" s="64"/>
      <c r="O383" s="64"/>
      <c r="R383" s="32"/>
      <c r="T383" s="60"/>
      <c r="U383" s="110"/>
      <c r="V383" s="112"/>
    </row>
    <row r="384" spans="1:22" x14ac:dyDescent="0.25">
      <c r="A384">
        <v>1962505313</v>
      </c>
      <c r="B384" s="37">
        <v>0.64010406629408367</v>
      </c>
      <c r="C384" s="64">
        <v>41301</v>
      </c>
      <c r="D384" s="64">
        <v>41301</v>
      </c>
      <c r="E384" s="32">
        <v>28640</v>
      </c>
      <c r="F384" s="64">
        <v>210</v>
      </c>
      <c r="G384" s="60">
        <v>21.650000000000091</v>
      </c>
      <c r="H384" s="64">
        <v>86795</v>
      </c>
      <c r="I384" s="60">
        <v>413.3095238095238</v>
      </c>
      <c r="J384" s="110">
        <v>24.38</v>
      </c>
      <c r="K384" s="112">
        <v>1.2543</v>
      </c>
      <c r="L384" s="60">
        <v>21.650000000000091</v>
      </c>
      <c r="M384" s="60">
        <f>_xlfn.XLOOKUP(A384,'[1]FRV Output'!$F:$F,'[1]FRV Output'!$BC:$BC)</f>
        <v>15.529773226277682</v>
      </c>
      <c r="N384" s="64"/>
      <c r="O384" s="64"/>
      <c r="R384" s="32"/>
      <c r="T384" s="60"/>
      <c r="U384" s="110"/>
      <c r="V384" s="112"/>
    </row>
    <row r="385" spans="1:22" x14ac:dyDescent="0.25">
      <c r="A385">
        <v>1962509505</v>
      </c>
      <c r="B385" s="37">
        <v>0.6233014392538393</v>
      </c>
      <c r="C385" s="64">
        <v>31100</v>
      </c>
      <c r="D385" s="64">
        <v>31100</v>
      </c>
      <c r="E385" s="32">
        <v>27292</v>
      </c>
      <c r="F385" s="64">
        <v>100</v>
      </c>
      <c r="G385" s="60">
        <v>16.309999999999945</v>
      </c>
      <c r="H385" s="64">
        <v>55000</v>
      </c>
      <c r="I385" s="60">
        <v>550</v>
      </c>
      <c r="J385" s="110">
        <v>24.38</v>
      </c>
      <c r="K385" s="112">
        <v>1.2932999999999999</v>
      </c>
      <c r="L385" s="60">
        <v>16.309999999999945</v>
      </c>
      <c r="M385" s="60">
        <f>_xlfn.XLOOKUP(A385,'[1]FRV Output'!$F:$F,'[1]FRV Output'!$BC:$BC)</f>
        <v>23.484007694069458</v>
      </c>
      <c r="N385" s="64"/>
      <c r="O385" s="64"/>
      <c r="R385" s="32"/>
      <c r="T385" s="60"/>
      <c r="U385" s="110"/>
      <c r="V385" s="112"/>
    </row>
    <row r="386" spans="1:22" x14ac:dyDescent="0.25">
      <c r="A386">
        <v>1962832899</v>
      </c>
      <c r="B386" s="37">
        <v>0.65</v>
      </c>
      <c r="C386" s="64">
        <v>32083</v>
      </c>
      <c r="D386" s="64">
        <v>32083</v>
      </c>
      <c r="E386" s="32">
        <v>28277</v>
      </c>
      <c r="F386" s="64">
        <v>120</v>
      </c>
      <c r="G386" s="60">
        <v>9.7000000000000455</v>
      </c>
      <c r="H386" s="64">
        <v>79370</v>
      </c>
      <c r="I386" s="60">
        <v>661.41666666666663</v>
      </c>
      <c r="J386" s="110">
        <v>24.38</v>
      </c>
      <c r="K386" s="112">
        <v>1.18</v>
      </c>
      <c r="L386" s="60">
        <v>9.7000000000000455</v>
      </c>
      <c r="M386" s="60">
        <f>_xlfn.XLOOKUP(A386,'[1]FRV Output'!$F:$F,'[1]FRV Output'!$BC:$BC)</f>
        <v>33.083531377338446</v>
      </c>
      <c r="N386" s="64"/>
      <c r="O386" s="64"/>
      <c r="R386" s="32"/>
      <c r="T386" s="60"/>
      <c r="U386" s="110"/>
      <c r="V386" s="112"/>
    </row>
    <row r="387" spans="1:22" x14ac:dyDescent="0.25">
      <c r="A387">
        <v>1972050276</v>
      </c>
      <c r="B387" s="37">
        <v>0.64710553482093225</v>
      </c>
      <c r="C387" s="64">
        <v>32746</v>
      </c>
      <c r="D387" s="64">
        <v>32746</v>
      </c>
      <c r="E387" s="32">
        <v>27589</v>
      </c>
      <c r="F387" s="64">
        <v>140</v>
      </c>
      <c r="G387" s="60">
        <v>34.5</v>
      </c>
      <c r="H387" s="64">
        <v>43225.396032540673</v>
      </c>
      <c r="I387" s="60">
        <v>308.75282880386197</v>
      </c>
      <c r="J387" s="110">
        <v>24.38</v>
      </c>
      <c r="K387" s="112">
        <v>1.1404000000000001</v>
      </c>
      <c r="L387" s="60">
        <v>35.410000000000082</v>
      </c>
      <c r="M387" s="60">
        <f>_xlfn.XLOOKUP(A387,'[1]FRV Output'!$F:$F,'[1]FRV Output'!$BC:$BC)</f>
        <v>8.0170333654773369</v>
      </c>
      <c r="N387" s="64"/>
      <c r="O387" s="64"/>
      <c r="R387" s="32"/>
      <c r="T387" s="60"/>
      <c r="U387" s="110"/>
      <c r="V387" s="112"/>
    </row>
    <row r="388" spans="1:22" x14ac:dyDescent="0.25">
      <c r="A388">
        <v>1972071033</v>
      </c>
      <c r="B388" s="37">
        <v>0.66485355648535571</v>
      </c>
      <c r="C388" s="64">
        <v>30413</v>
      </c>
      <c r="D388" s="64">
        <v>30413</v>
      </c>
      <c r="E388" s="32">
        <v>28677</v>
      </c>
      <c r="F388" s="64">
        <v>147</v>
      </c>
      <c r="G388" s="60">
        <v>24.769999999999982</v>
      </c>
      <c r="H388" s="64">
        <v>36461</v>
      </c>
      <c r="I388" s="60">
        <v>248.03401360544217</v>
      </c>
      <c r="J388" s="110">
        <v>24.38</v>
      </c>
      <c r="K388" s="112">
        <v>1.1792108485224528</v>
      </c>
      <c r="L388" s="60">
        <v>24.769999999999982</v>
      </c>
      <c r="M388" s="60">
        <f>_xlfn.XLOOKUP(A388,'[1]FRV Output'!$F:$F,'[1]FRV Output'!$BC:$BC)</f>
        <v>11.442805712632607</v>
      </c>
      <c r="N388" s="64"/>
      <c r="O388" s="64"/>
      <c r="R388" s="32"/>
      <c r="T388" s="60"/>
      <c r="U388" s="110"/>
      <c r="V388" s="112"/>
    </row>
    <row r="389" spans="1:22" x14ac:dyDescent="0.25">
      <c r="A389">
        <v>1972261808</v>
      </c>
      <c r="B389" s="37">
        <v>0.70020273694880897</v>
      </c>
      <c r="C389" s="64">
        <v>39892</v>
      </c>
      <c r="D389" s="64">
        <v>39892</v>
      </c>
      <c r="E389" s="32">
        <v>28761</v>
      </c>
      <c r="F389" s="64">
        <v>140</v>
      </c>
      <c r="G389" s="60">
        <v>34.5</v>
      </c>
      <c r="H389" s="64">
        <v>0</v>
      </c>
      <c r="I389" s="60">
        <v>0</v>
      </c>
      <c r="J389" s="110">
        <v>24.38</v>
      </c>
      <c r="K389" s="112">
        <v>1.2226999999999999</v>
      </c>
      <c r="L389" s="60">
        <v>37.660000000000082</v>
      </c>
      <c r="M389" s="60">
        <f>_xlfn.XLOOKUP(A389,'[1]FRV Output'!$F:$F,'[1]FRV Output'!$BC:$BC)</f>
        <v>7.9301163934426215</v>
      </c>
      <c r="N389" s="64"/>
      <c r="O389" s="64"/>
      <c r="R389" s="32"/>
      <c r="T389" s="60"/>
      <c r="U389" s="110"/>
      <c r="V389" s="112"/>
    </row>
    <row r="390" spans="1:22" x14ac:dyDescent="0.25">
      <c r="A390">
        <v>1972547321</v>
      </c>
      <c r="B390" s="37">
        <v>0.61653210303729333</v>
      </c>
      <c r="C390" s="64">
        <v>27380</v>
      </c>
      <c r="D390" s="64">
        <v>27380</v>
      </c>
      <c r="E390" s="32">
        <v>27536</v>
      </c>
      <c r="F390" s="64">
        <v>92</v>
      </c>
      <c r="G390" s="60">
        <v>19.690000000000055</v>
      </c>
      <c r="H390" s="64">
        <v>31684.573336672511</v>
      </c>
      <c r="I390" s="60">
        <v>344.39753626817946</v>
      </c>
      <c r="J390" s="110">
        <v>24.38</v>
      </c>
      <c r="K390" s="112">
        <v>1.3973</v>
      </c>
      <c r="L390" s="60">
        <v>19.690000000000055</v>
      </c>
      <c r="M390" s="60">
        <f>_xlfn.XLOOKUP(A390,'[1]FRV Output'!$F:$F,'[1]FRV Output'!$BC:$BC)</f>
        <v>15.61801809836069</v>
      </c>
      <c r="N390" s="64"/>
      <c r="O390" s="64"/>
      <c r="R390" s="32"/>
      <c r="T390" s="60"/>
      <c r="U390" s="110"/>
      <c r="V390" s="112"/>
    </row>
    <row r="391" spans="1:22" x14ac:dyDescent="0.25">
      <c r="A391">
        <v>1972587376</v>
      </c>
      <c r="B391" s="37">
        <v>0.67482670027630998</v>
      </c>
      <c r="C391" s="64">
        <v>31571</v>
      </c>
      <c r="D391" s="64">
        <v>31571</v>
      </c>
      <c r="E391" s="32">
        <v>27705</v>
      </c>
      <c r="F391" s="64">
        <v>110</v>
      </c>
      <c r="G391" s="60">
        <v>2</v>
      </c>
      <c r="H391" s="64">
        <v>0</v>
      </c>
      <c r="I391" s="60">
        <v>0</v>
      </c>
      <c r="J391" s="110">
        <v>0</v>
      </c>
      <c r="K391" s="112">
        <v>1.0399</v>
      </c>
      <c r="L391" s="60">
        <v>2</v>
      </c>
      <c r="M391" s="60">
        <f>_xlfn.XLOOKUP(A391,'[1]FRV Output'!$F:$F,'[1]FRV Output'!$BC:$BC)</f>
        <v>25.137872866441658</v>
      </c>
      <c r="N391" s="64"/>
      <c r="O391" s="64"/>
      <c r="R391" s="32"/>
      <c r="T391" s="60"/>
      <c r="U391" s="110"/>
      <c r="V391" s="112"/>
    </row>
    <row r="392" spans="1:22" x14ac:dyDescent="0.25">
      <c r="A392">
        <v>1982130811</v>
      </c>
      <c r="B392" s="37">
        <v>0.65</v>
      </c>
      <c r="C392" s="64">
        <v>42098</v>
      </c>
      <c r="D392" s="64">
        <v>42098</v>
      </c>
      <c r="E392" s="32">
        <v>27301</v>
      </c>
      <c r="F392" s="64">
        <v>134</v>
      </c>
      <c r="G392" s="60">
        <v>14</v>
      </c>
      <c r="H392" s="64">
        <v>66888</v>
      </c>
      <c r="I392" s="60">
        <v>499.16417910447763</v>
      </c>
      <c r="J392" s="110">
        <v>7.879999999999999</v>
      </c>
      <c r="K392" s="112">
        <v>1.3047</v>
      </c>
      <c r="L392" s="60">
        <v>14</v>
      </c>
      <c r="M392" s="60">
        <f>_xlfn.XLOOKUP(A392,'[1]FRV Output'!$F:$F,'[1]FRV Output'!$BC:$BC)</f>
        <v>22.424077896075822</v>
      </c>
      <c r="N392" s="64"/>
      <c r="O392" s="64"/>
      <c r="R392" s="32"/>
      <c r="T392" s="60"/>
      <c r="U392" s="110"/>
      <c r="V392" s="112"/>
    </row>
    <row r="393" spans="1:22" x14ac:dyDescent="0.25">
      <c r="A393">
        <v>1982640785</v>
      </c>
      <c r="B393" s="37">
        <v>0.60640900195694725</v>
      </c>
      <c r="C393" s="64">
        <v>40842</v>
      </c>
      <c r="D393" s="64">
        <v>40842</v>
      </c>
      <c r="E393" s="32">
        <v>27630</v>
      </c>
      <c r="F393" s="64">
        <v>140</v>
      </c>
      <c r="G393" s="60">
        <v>31.630000000000109</v>
      </c>
      <c r="H393" s="64">
        <v>36975.454545454551</v>
      </c>
      <c r="I393" s="60">
        <v>264.11038961038963</v>
      </c>
      <c r="J393" s="110">
        <v>24.38</v>
      </c>
      <c r="K393" s="112">
        <v>1.2410000000000001</v>
      </c>
      <c r="L393" s="60">
        <v>31.630000000000109</v>
      </c>
      <c r="M393" s="60">
        <f>_xlfn.XLOOKUP(A393,'[1]FRV Output'!$F:$F,'[1]FRV Output'!$BC:$BC)</f>
        <v>8.2673081080038653</v>
      </c>
      <c r="N393" s="64"/>
      <c r="O393" s="64"/>
      <c r="R393" s="32"/>
      <c r="T393" s="60"/>
      <c r="U393" s="110"/>
      <c r="V393" s="112"/>
    </row>
    <row r="394" spans="1:22" x14ac:dyDescent="0.25">
      <c r="A394">
        <v>1982948550</v>
      </c>
      <c r="B394" s="37">
        <v>0.69413564507904135</v>
      </c>
      <c r="C394" s="64">
        <v>16623</v>
      </c>
      <c r="D394" s="64">
        <v>16623</v>
      </c>
      <c r="E394" s="32">
        <v>28711</v>
      </c>
      <c r="F394" s="64">
        <v>60</v>
      </c>
      <c r="G394" s="60">
        <v>34.5</v>
      </c>
      <c r="H394" s="64">
        <v>24074.334455928463</v>
      </c>
      <c r="I394" s="60">
        <v>401.23890759880771</v>
      </c>
      <c r="J394" s="110">
        <v>0</v>
      </c>
      <c r="K394" s="112">
        <v>0.82789999999999997</v>
      </c>
      <c r="L394" s="60">
        <v>38.160000000000082</v>
      </c>
      <c r="M394" s="60">
        <f>_xlfn.XLOOKUP(A394,'[1]FRV Output'!$F:$F,'[1]FRV Output'!$BC:$BC)</f>
        <v>9.6224110549102999</v>
      </c>
      <c r="N394" s="64"/>
      <c r="O394" s="64"/>
      <c r="R394" s="32"/>
      <c r="T394" s="60"/>
      <c r="U394" s="110"/>
      <c r="V394" s="112"/>
    </row>
    <row r="395" spans="1:22" x14ac:dyDescent="0.25">
      <c r="A395">
        <v>1992106348</v>
      </c>
      <c r="B395" s="37">
        <v>0.65</v>
      </c>
      <c r="C395" s="64">
        <v>29521</v>
      </c>
      <c r="D395" s="64">
        <v>29521</v>
      </c>
      <c r="E395" s="32">
        <v>28110</v>
      </c>
      <c r="F395" s="64">
        <v>90</v>
      </c>
      <c r="G395" s="60">
        <v>5.6800000000000637</v>
      </c>
      <c r="H395" s="64">
        <v>61600</v>
      </c>
      <c r="I395" s="60">
        <v>684.44444444444446</v>
      </c>
      <c r="J395" s="110">
        <v>24.38</v>
      </c>
      <c r="K395" s="112">
        <v>1.2603</v>
      </c>
      <c r="L395" s="60">
        <v>5.6800000000000637</v>
      </c>
      <c r="M395" s="60">
        <f>_xlfn.XLOOKUP(A395,'[1]FRV Output'!$F:$F,'[1]FRV Output'!$BC:$BC)</f>
        <v>34.690785186680699</v>
      </c>
      <c r="N395" s="64"/>
      <c r="O395" s="64"/>
      <c r="R395" s="32"/>
      <c r="T395" s="60"/>
      <c r="U395" s="110"/>
      <c r="V395" s="112"/>
    </row>
    <row r="396" spans="1:22" x14ac:dyDescent="0.25">
      <c r="A396">
        <v>1992242119</v>
      </c>
      <c r="B396" s="37">
        <v>0.61314413741598206</v>
      </c>
      <c r="C396" s="64">
        <v>41456</v>
      </c>
      <c r="D396" s="64">
        <v>41456</v>
      </c>
      <c r="E396" s="32">
        <v>27910</v>
      </c>
      <c r="F396" s="64">
        <v>151</v>
      </c>
      <c r="G396" s="60">
        <v>22.150000000000091</v>
      </c>
      <c r="H396" s="64">
        <v>43436</v>
      </c>
      <c r="I396" s="60">
        <v>287.65562913907286</v>
      </c>
      <c r="J396" s="110">
        <v>24.38</v>
      </c>
      <c r="K396" s="112">
        <v>1.1969000000000001</v>
      </c>
      <c r="L396" s="60">
        <v>22.150000000000091</v>
      </c>
      <c r="M396" s="60">
        <f>_xlfn.XLOOKUP(A396,'[1]FRV Output'!$F:$F,'[1]FRV Output'!$BC:$BC)</f>
        <v>13.907975021094515</v>
      </c>
      <c r="N396" s="64"/>
      <c r="O396" s="64"/>
      <c r="R396" s="32"/>
      <c r="T396" s="60"/>
      <c r="U396" s="110"/>
      <c r="V396" s="112"/>
    </row>
    <row r="397" spans="1:22" x14ac:dyDescent="0.25">
      <c r="A397">
        <v>1992724157</v>
      </c>
      <c r="B397" s="37">
        <v>0.66870437956204387</v>
      </c>
      <c r="C397" s="64">
        <v>27610</v>
      </c>
      <c r="D397" s="64">
        <v>27610</v>
      </c>
      <c r="E397" s="32">
        <v>28301</v>
      </c>
      <c r="F397" s="64">
        <v>85</v>
      </c>
      <c r="G397" s="60">
        <v>27.240000000000009</v>
      </c>
      <c r="H397" s="64">
        <v>22680</v>
      </c>
      <c r="I397" s="60">
        <v>266.8235294117647</v>
      </c>
      <c r="J397" s="110">
        <v>24.38</v>
      </c>
      <c r="K397" s="112">
        <v>1.1457999999999999</v>
      </c>
      <c r="L397" s="60">
        <v>27.240000000000009</v>
      </c>
      <c r="M397" s="60">
        <f>_xlfn.XLOOKUP(A397,'[1]FRV Output'!$F:$F,'[1]FRV Output'!$BC:$BC)</f>
        <v>10.686460487979938</v>
      </c>
      <c r="N397" s="64"/>
      <c r="O397" s="64"/>
      <c r="R397" s="32"/>
      <c r="T397" s="60"/>
      <c r="U397" s="110"/>
      <c r="V397" s="112"/>
    </row>
    <row r="398" spans="1:22" x14ac:dyDescent="0.25">
      <c r="A398">
        <v>1992793962</v>
      </c>
      <c r="B398" s="37">
        <v>0.62066225165562916</v>
      </c>
      <c r="C398" s="64">
        <v>37179</v>
      </c>
      <c r="D398" s="64">
        <v>37179</v>
      </c>
      <c r="E398" s="32">
        <v>28443</v>
      </c>
      <c r="F398" s="64">
        <v>112</v>
      </c>
      <c r="G398" s="60">
        <v>18.210000000000036</v>
      </c>
      <c r="H398" s="64">
        <v>54741.65635609204</v>
      </c>
      <c r="I398" s="60">
        <v>488.76478889367894</v>
      </c>
      <c r="J398" s="110">
        <v>24.38</v>
      </c>
      <c r="K398" s="112">
        <v>1.3031999999999999</v>
      </c>
      <c r="L398" s="60">
        <v>18.210000000000036</v>
      </c>
      <c r="M398" s="60">
        <f>_xlfn.XLOOKUP(A398,'[1]FRV Output'!$F:$F,'[1]FRV Output'!$BC:$BC)</f>
        <v>18.196760244728434</v>
      </c>
      <c r="N398" s="64"/>
      <c r="O398" s="64"/>
      <c r="R398" s="32"/>
      <c r="T398" s="60"/>
      <c r="U398" s="110"/>
      <c r="V398" s="112"/>
    </row>
    <row r="399" spans="1:22" x14ac:dyDescent="0.25">
      <c r="A399">
        <v>1992998504</v>
      </c>
      <c r="B399" s="37">
        <v>0.65</v>
      </c>
      <c r="C399" s="64">
        <v>39170</v>
      </c>
      <c r="D399" s="64">
        <v>39170</v>
      </c>
      <c r="E399" s="32">
        <v>28215</v>
      </c>
      <c r="F399" s="64">
        <v>120</v>
      </c>
      <c r="G399" s="60">
        <v>6</v>
      </c>
      <c r="H399" s="64">
        <v>0</v>
      </c>
      <c r="I399" s="60">
        <v>0</v>
      </c>
      <c r="J399" s="110">
        <v>0</v>
      </c>
      <c r="K399" s="112">
        <v>0.97060000000000002</v>
      </c>
      <c r="L399" s="60">
        <v>6</v>
      </c>
      <c r="M399" s="60">
        <f>_xlfn.XLOOKUP(A399,'[1]FRV Output'!$F:$F,'[1]FRV Output'!$BC:$BC)</f>
        <v>22.477153883712024</v>
      </c>
      <c r="N399" s="64"/>
      <c r="O399" s="64"/>
    </row>
    <row r="401" spans="15:15" x14ac:dyDescent="0.25">
      <c r="O401"/>
    </row>
    <row r="402" spans="15:15" x14ac:dyDescent="0.25">
      <c r="O402"/>
    </row>
    <row r="403" spans="15:15" x14ac:dyDescent="0.25">
      <c r="O403"/>
    </row>
    <row r="404" spans="15:15" x14ac:dyDescent="0.25">
      <c r="O404"/>
    </row>
    <row r="405" spans="15:15" x14ac:dyDescent="0.25">
      <c r="O405"/>
    </row>
    <row r="406" spans="15:15" x14ac:dyDescent="0.25">
      <c r="O406"/>
    </row>
    <row r="407" spans="15:15" x14ac:dyDescent="0.25">
      <c r="O407"/>
    </row>
    <row r="408" spans="15:15" x14ac:dyDescent="0.25">
      <c r="O408"/>
    </row>
    <row r="409" spans="15:15" x14ac:dyDescent="0.25">
      <c r="O409"/>
    </row>
    <row r="410" spans="15:15" x14ac:dyDescent="0.25">
      <c r="O410"/>
    </row>
    <row r="411" spans="15:15" x14ac:dyDescent="0.25">
      <c r="O411"/>
    </row>
    <row r="412" spans="15:15" x14ac:dyDescent="0.25">
      <c r="O412"/>
    </row>
    <row r="413" spans="15:15" x14ac:dyDescent="0.25">
      <c r="O413"/>
    </row>
    <row r="414" spans="15:15" x14ac:dyDescent="0.25">
      <c r="O414"/>
    </row>
  </sheetData>
  <autoFilter ref="A1:AA399" xr:uid="{00000000-0001-0000-0700-000000000000}"/>
  <sortState xmlns:xlrd2="http://schemas.microsoft.com/office/spreadsheetml/2017/richdata2" ref="O2:O414">
    <sortCondition ref="O2:O414"/>
  </sortState>
  <phoneticPr fontId="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Read Me</vt:lpstr>
      <vt:lpstr>Rate Calculation</vt:lpstr>
      <vt:lpstr>New Facilities</vt:lpstr>
      <vt:lpstr>FRV Instructions</vt:lpstr>
      <vt:lpstr>FRV Rate Calculation</vt:lpstr>
      <vt:lpstr>Capital Data Survey Info</vt:lpstr>
      <vt:lpstr>2016 and newer renovations</vt:lpstr>
      <vt:lpstr>RSMeans Factors</vt:lpstr>
      <vt:lpstr>Lookup Info</vt:lpstr>
      <vt:lpstr>April 2023 Fee Schedule</vt:lpstr>
      <vt:lpstr>'FRV Rate Calculation'!Print_Area</vt:lpstr>
      <vt:lpstr>'Rate Calculation'!Print_Area</vt:lpstr>
    </vt:vector>
  </TitlesOfParts>
  <Company>UNC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Brookshire</dc:creator>
  <cp:lastModifiedBy>Sam Clark</cp:lastModifiedBy>
  <cp:lastPrinted>2008-01-10T15:29:20Z</cp:lastPrinted>
  <dcterms:created xsi:type="dcterms:W3CDTF">2005-12-22T15:27:23Z</dcterms:created>
  <dcterms:modified xsi:type="dcterms:W3CDTF">2023-04-27T14:04:12Z</dcterms:modified>
</cp:coreProperties>
</file>