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C:\NCHCFA\Medicaid Rates\Rate Calculation\"/>
    </mc:Choice>
  </mc:AlternateContent>
  <xr:revisionPtr revIDLastSave="0" documentId="13_ncr:1_{967F32A4-DE00-4385-B118-A848164BF395}" xr6:coauthVersionLast="47" xr6:coauthVersionMax="47" xr10:uidLastSave="{00000000-0000-0000-0000-000000000000}"/>
  <workbookProtection workbookAlgorithmName="SHA-512" workbookHashValue="uB0eWh3TTPXJ4ztYZIeRTpqDXpy+wxg+i952Y+6n8VKnvrjQXZnuJjn9KFTKtQjexZsO5V3yO2DkyNfoBhgq3g==" workbookSaltValue="pDcMbH3go9ve2CJFESNISQ==" workbookSpinCount="100000" lockStructure="1"/>
  <bookViews>
    <workbookView xWindow="-108" yWindow="-108" windowWidth="23256" windowHeight="12576" tabRatio="789" xr2:uid="{00000000-000D-0000-FFFF-FFFF00000000}"/>
  </bookViews>
  <sheets>
    <sheet name="Read Me" sheetId="11" r:id="rId1"/>
    <sheet name="Rate Calculation" sheetId="10" r:id="rId2"/>
    <sheet name="New Facilities" sheetId="19" state="hidden" r:id="rId3"/>
    <sheet name="FRV Instructions" sheetId="9" r:id="rId4"/>
    <sheet name="FRV Rate Calculation" sheetId="8" r:id="rId5"/>
    <sheet name="Capital Data Survey Info" sheetId="18" r:id="rId6"/>
    <sheet name="2017 and newer renovations" sheetId="17" state="hidden" r:id="rId7"/>
    <sheet name="RSMeans Factors" sheetId="2" state="hidden" r:id="rId8"/>
    <sheet name="Lookup Info" sheetId="14" state="hidden" r:id="rId9"/>
    <sheet name="January 2023 Fee Schedule" sheetId="16" r:id="rId10"/>
  </sheets>
  <externalReferences>
    <externalReference r:id="rId11"/>
    <externalReference r:id="rId12"/>
  </externalReferences>
  <definedNames>
    <definedName name="_xlnm._FilterDatabase" localSheetId="8" hidden="1">'Lookup Info'!$A$1:$D$1</definedName>
    <definedName name="_xlnm.Print_Area" localSheetId="4">'FRV Rate Calculation'!$A$1:$I$63</definedName>
    <definedName name="_xlnm.Print_Area" localSheetId="1">'Rate Calculation'!$F$3:$J$22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0" l="1"/>
  <c r="O403" i="16" l="1"/>
  <c r="N403" i="16"/>
  <c r="L403" i="16"/>
  <c r="G403" i="16"/>
  <c r="F403" i="16"/>
  <c r="E403" i="16"/>
  <c r="D403" i="16"/>
  <c r="C403" i="16"/>
  <c r="B9" i="10" l="1"/>
  <c r="I23" i="10"/>
  <c r="O17" i="10"/>
  <c r="C56" i="8" l="1"/>
  <c r="C2" i="19" l="1"/>
  <c r="I11" i="10" s="1"/>
  <c r="I9" i="10" l="1"/>
  <c r="G7" i="19"/>
  <c r="N15" i="10" l="1"/>
  <c r="H15" i="10"/>
  <c r="H14" i="10"/>
  <c r="N14" i="10"/>
  <c r="N13" i="10"/>
  <c r="H13" i="10"/>
  <c r="F12" i="10"/>
  <c r="L12" i="10" s="1"/>
  <c r="O11" i="10"/>
  <c r="H12" i="10"/>
  <c r="N12" i="10" s="1"/>
  <c r="I12" i="10"/>
  <c r="O12" i="10" s="1"/>
  <c r="F6" i="10"/>
  <c r="L6" i="10" s="1"/>
  <c r="F11" i="10"/>
  <c r="L11" i="10" s="1"/>
  <c r="H11" i="10"/>
  <c r="N11" i="10" s="1"/>
  <c r="G8" i="19"/>
  <c r="G10" i="19" s="1"/>
  <c r="G12" i="19" s="1"/>
  <c r="G15" i="19" s="1"/>
  <c r="B15" i="10" l="1"/>
  <c r="A4" i="18"/>
  <c r="A7" i="10"/>
  <c r="B6" i="18"/>
  <c r="O8" i="10"/>
  <c r="C2" i="8"/>
  <c r="E15" i="8"/>
  <c r="D15" i="8"/>
  <c r="C7" i="8" l="1"/>
  <c r="C14" i="8"/>
  <c r="C55" i="8" s="1"/>
  <c r="C3" i="8"/>
  <c r="C5" i="8"/>
  <c r="E5" i="8" s="1"/>
  <c r="E39" i="8" s="1"/>
  <c r="C4" i="8"/>
  <c r="D4" i="8" s="1"/>
  <c r="C6" i="8"/>
  <c r="C17" i="8" s="1"/>
  <c r="C66" i="8"/>
  <c r="E30" i="8"/>
  <c r="D30" i="8"/>
  <c r="C64" i="8" l="1"/>
  <c r="D69" i="8"/>
  <c r="D55" i="8"/>
  <c r="C59" i="8"/>
  <c r="E7" i="8"/>
  <c r="E12" i="8" s="1"/>
  <c r="B7" i="10"/>
  <c r="F11" i="8"/>
  <c r="D3" i="8"/>
  <c r="D11" i="8" s="1"/>
  <c r="C30" i="8"/>
  <c r="C15" i="8"/>
  <c r="D7" i="8"/>
  <c r="C12" i="8"/>
  <c r="C40" i="8" s="1"/>
  <c r="C39" i="8"/>
  <c r="D2" i="8"/>
  <c r="F2" i="8" s="1"/>
  <c r="E2" i="8"/>
  <c r="E6" i="8"/>
  <c r="E17" i="8" s="1"/>
  <c r="D5" i="8"/>
  <c r="D6" i="8"/>
  <c r="D17" i="8" s="1"/>
  <c r="C11" i="8"/>
  <c r="C13" i="8" s="1"/>
  <c r="D47" i="8"/>
  <c r="E73" i="8" l="1"/>
  <c r="E40" i="8"/>
  <c r="E41" i="8" s="1"/>
  <c r="C65" i="8"/>
  <c r="C67" i="8" s="1"/>
  <c r="C57" i="8"/>
  <c r="E3" i="8"/>
  <c r="E11" i="8" s="1"/>
  <c r="E13" i="8" s="1"/>
  <c r="E16" i="8" s="1"/>
  <c r="E18" i="8" s="1"/>
  <c r="D13" i="8"/>
  <c r="D16" i="8" s="1"/>
  <c r="D18" i="8" s="1"/>
  <c r="E26" i="8"/>
  <c r="C16" i="8"/>
  <c r="C41" i="8"/>
  <c r="C26" i="8"/>
  <c r="F7" i="8"/>
  <c r="D12" i="8"/>
  <c r="D40" i="8" s="1"/>
  <c r="F6" i="8"/>
  <c r="F17" i="8" s="1"/>
  <c r="D39" i="8"/>
  <c r="F5" i="8"/>
  <c r="F39" i="8" s="1"/>
  <c r="H3" i="8" l="1"/>
  <c r="D57" i="8"/>
  <c r="D58" i="8" s="1"/>
  <c r="C58" i="8"/>
  <c r="C61" i="8" s="1"/>
  <c r="F14" i="8" s="1"/>
  <c r="E29" i="8"/>
  <c r="E32" i="8" s="1"/>
  <c r="E33" i="8" s="1"/>
  <c r="E22" i="8"/>
  <c r="C18" i="8"/>
  <c r="C22" i="8" s="1"/>
  <c r="D41" i="8"/>
  <c r="D26" i="8"/>
  <c r="D29" i="8" s="1"/>
  <c r="F12" i="8"/>
  <c r="F40" i="8" s="1"/>
  <c r="F13" i="8"/>
  <c r="D22" i="8"/>
  <c r="D61" i="8" l="1"/>
  <c r="E58" i="8"/>
  <c r="H8" i="8" s="1"/>
  <c r="C69" i="8"/>
  <c r="E69" i="8" s="1"/>
  <c r="F15" i="8"/>
  <c r="F16" i="8" s="1"/>
  <c r="F18" i="8" s="1"/>
  <c r="E34" i="8"/>
  <c r="E38" i="8" s="1"/>
  <c r="E42" i="8" s="1"/>
  <c r="C29" i="8"/>
  <c r="C32" i="8" s="1"/>
  <c r="C33" i="8" s="1"/>
  <c r="C34" i="8" s="1"/>
  <c r="C38" i="8" s="1"/>
  <c r="C42" i="8" s="1"/>
  <c r="F41" i="8"/>
  <c r="F26" i="8"/>
  <c r="D32" i="8"/>
  <c r="D33" i="8" s="1"/>
  <c r="D34" i="8" s="1"/>
  <c r="D38" i="8" s="1"/>
  <c r="D42" i="8" s="1"/>
  <c r="E47" i="8" l="1"/>
  <c r="E44" i="8"/>
  <c r="I18" i="10"/>
  <c r="D44" i="8"/>
  <c r="E55" i="8"/>
  <c r="C70" i="8"/>
  <c r="F30" i="8"/>
  <c r="D45" i="8"/>
  <c r="F29" i="8"/>
  <c r="F22" i="8"/>
  <c r="C71" i="8" l="1"/>
  <c r="E70" i="8"/>
  <c r="E71" i="8" s="1"/>
  <c r="F32" i="8"/>
  <c r="F33" i="8" s="1"/>
  <c r="F34" i="8" s="1"/>
  <c r="F38" i="8" s="1"/>
  <c r="F42" i="8" s="1"/>
  <c r="O18" i="10" s="1"/>
  <c r="E72" i="8" l="1"/>
  <c r="E74" i="8" s="1"/>
  <c r="D49" i="8"/>
  <c r="D48" i="8"/>
  <c r="F16" i="2" l="1"/>
  <c r="F18" i="2" l="1"/>
  <c r="F19" i="2" s="1"/>
  <c r="F15" i="2"/>
  <c r="F20" i="2" l="1"/>
  <c r="F14" i="2"/>
  <c r="F13" i="2" l="1"/>
  <c r="F21" i="2"/>
  <c r="F22" i="2" l="1"/>
  <c r="F12" i="2"/>
  <c r="F11" i="2" l="1"/>
  <c r="F23" i="2"/>
  <c r="F24" i="2" l="1"/>
  <c r="F10" i="2"/>
  <c r="F9" i="2" l="1"/>
  <c r="F25" i="2"/>
  <c r="F26" i="2" l="1"/>
  <c r="F8" i="2"/>
  <c r="F7" i="2" l="1"/>
  <c r="F27" i="2"/>
  <c r="F6" i="2" l="1"/>
  <c r="F28" i="2"/>
  <c r="F29" i="2" l="1"/>
  <c r="F5" i="2"/>
  <c r="F4" i="2" l="1"/>
  <c r="F30" i="2"/>
  <c r="F31" i="2" l="1"/>
  <c r="F3" i="2"/>
  <c r="F32" i="2" l="1"/>
  <c r="F33" i="2" l="1"/>
  <c r="F34" i="2" l="1"/>
  <c r="F35" i="2" l="1"/>
  <c r="F36" i="2" l="1"/>
  <c r="F37" i="2" l="1"/>
  <c r="F38" i="2" l="1"/>
  <c r="F39" i="2" l="1"/>
  <c r="F40" i="2" l="1"/>
  <c r="F41" i="2" l="1"/>
  <c r="F42" i="2" l="1"/>
  <c r="F43" i="2" l="1"/>
  <c r="F44" i="2" l="1"/>
  <c r="F45" i="2" l="1"/>
  <c r="F46" i="2" l="1"/>
  <c r="F47" i="2" l="1"/>
  <c r="F48" i="2" l="1"/>
  <c r="F49" i="2" l="1"/>
  <c r="F50" i="2" l="1"/>
  <c r="F51" i="2" l="1"/>
  <c r="F52" i="2" l="1"/>
  <c r="F53" i="2" l="1"/>
  <c r="F54" i="2" l="1"/>
  <c r="F55" i="2" l="1"/>
  <c r="F56" i="2" l="1"/>
  <c r="F57" i="2" l="1"/>
  <c r="F58" i="2" l="1"/>
  <c r="F59" i="2" l="1"/>
  <c r="F60" i="2" l="1"/>
  <c r="F61" i="2" l="1"/>
  <c r="F62" i="2" l="1"/>
  <c r="F63" i="2" l="1"/>
  <c r="F64" i="2" l="1"/>
  <c r="F65" i="2" l="1"/>
  <c r="F66" i="2" l="1"/>
  <c r="F67" i="2" l="1"/>
  <c r="F68" i="2" l="1"/>
  <c r="F69" i="2" l="1"/>
  <c r="F70" i="2" l="1"/>
  <c r="F71" i="2" l="1"/>
  <c r="F72" i="2" l="1"/>
  <c r="F73" i="2" l="1"/>
  <c r="F74" i="2" l="1"/>
  <c r="I19" i="10" l="1"/>
  <c r="O19" i="10" s="1"/>
  <c r="O9" i="10" l="1"/>
  <c r="O13" i="10" s="1"/>
  <c r="O14" i="10" l="1"/>
  <c r="O15" i="10" s="1"/>
  <c r="O21" i="10" s="1"/>
  <c r="I8" i="10"/>
  <c r="I13" i="10"/>
  <c r="I14" i="10" l="1"/>
  <c r="I15" i="10" s="1"/>
  <c r="I21" i="10" s="1"/>
  <c r="I24" i="10" s="1"/>
  <c r="O22" i="10" l="1"/>
  <c r="I26" i="10"/>
  <c r="G32" i="10" l="1"/>
  <c r="B5" i="17"/>
  <c r="B31" i="17" l="1"/>
  <c r="B32" i="17" l="1"/>
  <c r="B216" i="17"/>
  <c r="B244" i="17" l="1"/>
  <c r="B74" i="17" l="1"/>
  <c r="B24" i="17"/>
  <c r="B131" i="17"/>
  <c r="B209" i="17"/>
  <c r="B8" i="17"/>
  <c r="B66" i="17"/>
  <c r="B39" i="17"/>
  <c r="B17" i="17"/>
  <c r="B77" i="17"/>
  <c r="B73" i="17"/>
  <c r="B68" i="17"/>
  <c r="B64" i="17"/>
  <c r="B245" i="17"/>
  <c r="B63" i="17"/>
  <c r="B247" i="17"/>
  <c r="B70" i="17"/>
  <c r="B86" i="17"/>
  <c r="B53" i="17"/>
  <c r="B42" i="17"/>
  <c r="B84" i="17"/>
  <c r="B75" i="17"/>
  <c r="B27" i="17"/>
  <c r="B46" i="17"/>
  <c r="B7" i="17"/>
  <c r="B69" i="17"/>
  <c r="B19" i="17"/>
  <c r="B49" i="17"/>
  <c r="B71" i="17"/>
  <c r="B94" i="17"/>
  <c r="B16" i="17"/>
  <c r="B93" i="17"/>
  <c r="B57" i="17"/>
  <c r="B124" i="17"/>
  <c r="B281" i="17"/>
  <c r="B18" i="17"/>
  <c r="B83" i="17"/>
  <c r="B22" i="17"/>
  <c r="B82" i="17"/>
  <c r="B51" i="17"/>
  <c r="B47" i="17"/>
  <c r="B52" i="17"/>
  <c r="B48" i="17"/>
  <c r="B167" i="17"/>
  <c r="B248" i="17"/>
  <c r="B81" i="17"/>
  <c r="B162" i="17"/>
  <c r="B79" i="17"/>
  <c r="B10" i="17"/>
  <c r="B365" i="17"/>
  <c r="B139" i="17"/>
  <c r="B76" i="17"/>
  <c r="B25" i="17"/>
  <c r="B29" i="17"/>
  <c r="B40" i="17"/>
  <c r="B85" i="17"/>
  <c r="B44" i="17"/>
  <c r="B72" i="17"/>
  <c r="B14" i="17"/>
  <c r="B78" i="17"/>
  <c r="B45" i="17"/>
  <c r="B58" i="17"/>
  <c r="B325" i="17"/>
  <c r="B80" i="17"/>
  <c r="B50" i="17"/>
  <c r="B28" i="17"/>
  <c r="B396" i="17"/>
  <c r="B101" i="17" l="1"/>
  <c r="B333" i="17"/>
  <c r="B340" i="17"/>
  <c r="B187" i="17"/>
  <c r="B198" i="17"/>
  <c r="B395" i="17"/>
  <c r="B189" i="17"/>
  <c r="B181" i="17"/>
  <c r="B159" i="17"/>
  <c r="B351" i="17"/>
  <c r="B380" i="17"/>
  <c r="B322" i="17"/>
  <c r="B259" i="17"/>
  <c r="B320" i="17"/>
  <c r="B261" i="17"/>
  <c r="B156" i="17"/>
  <c r="B237" i="17"/>
  <c r="B152" i="17"/>
  <c r="B253" i="17"/>
  <c r="B90" i="17"/>
  <c r="B270" i="17"/>
  <c r="B54" i="17"/>
  <c r="B205" i="17"/>
  <c r="B191" i="17"/>
  <c r="B309" i="17"/>
  <c r="B258" i="17"/>
  <c r="B170" i="17"/>
  <c r="B334" i="17"/>
  <c r="B336" i="17"/>
  <c r="B35" i="17"/>
  <c r="B125" i="17"/>
  <c r="B153" i="17"/>
  <c r="B26" i="17"/>
  <c r="B394" i="17"/>
  <c r="B311" i="17"/>
  <c r="B9" i="17"/>
  <c r="B344" i="17"/>
  <c r="B168" i="17"/>
  <c r="B341" i="17"/>
  <c r="B398" i="17"/>
  <c r="B217" i="17"/>
  <c r="B207" i="17"/>
  <c r="B272" i="17"/>
  <c r="B290" i="17"/>
  <c r="B337" i="17"/>
  <c r="B381" i="17"/>
  <c r="B186" i="17"/>
  <c r="B358" i="17"/>
  <c r="B357" i="17"/>
  <c r="B172" i="17"/>
  <c r="B122" i="17"/>
  <c r="B43" i="17"/>
  <c r="B96" i="17"/>
  <c r="B118" i="17"/>
  <c r="B158" i="17"/>
  <c r="B291" i="17"/>
  <c r="B308" i="17"/>
  <c r="B343" i="17"/>
  <c r="B326" i="17"/>
  <c r="B324" i="17"/>
  <c r="B372" i="17"/>
  <c r="B197" i="17"/>
  <c r="B163" i="17"/>
  <c r="B390" i="17"/>
  <c r="B355" i="17"/>
  <c r="B114" i="17"/>
  <c r="B225" i="17"/>
  <c r="B190" i="17"/>
  <c r="B154" i="17"/>
  <c r="B157" i="17"/>
  <c r="B263" i="17"/>
  <c r="B23" i="17"/>
  <c r="B389" i="17"/>
  <c r="B147" i="17"/>
  <c r="B373" i="17"/>
  <c r="B228" i="17"/>
  <c r="B180" i="17"/>
  <c r="B214" i="17"/>
  <c r="B397" i="17"/>
  <c r="B120" i="17"/>
  <c r="B98" i="17"/>
  <c r="B99" i="17"/>
  <c r="B229" i="17"/>
  <c r="B12" i="17"/>
  <c r="B286" i="17"/>
  <c r="B115" i="17"/>
  <c r="B221" i="17"/>
  <c r="B354" i="17"/>
  <c r="B211" i="17"/>
  <c r="B280" i="17"/>
  <c r="B339" i="17"/>
  <c r="B265" i="17"/>
  <c r="B277" i="17"/>
  <c r="B323" i="17"/>
  <c r="B408" i="17"/>
  <c r="B37" i="17"/>
  <c r="B294" i="17"/>
  <c r="B405" i="17"/>
  <c r="B160" i="17"/>
  <c r="B173" i="17"/>
  <c r="B406" i="17"/>
  <c r="B321" i="17"/>
  <c r="B276" i="17"/>
  <c r="B312" i="17"/>
  <c r="B150" i="17"/>
  <c r="B112" i="17"/>
  <c r="B269" i="17"/>
  <c r="B136" i="17"/>
  <c r="B236" i="17"/>
  <c r="B298" i="17"/>
  <c r="B143" i="17"/>
  <c r="B388" i="17"/>
  <c r="B402" i="17"/>
  <c r="B165" i="17"/>
  <c r="B366" i="17"/>
  <c r="B400" i="17"/>
  <c r="B106" i="17"/>
  <c r="B117" i="17"/>
  <c r="B350" i="17"/>
  <c r="B61" i="17"/>
  <c r="B288" i="17"/>
  <c r="B102" i="17"/>
  <c r="B55" i="17"/>
  <c r="B169" i="17"/>
  <c r="B284" i="17"/>
  <c r="B164" i="17"/>
  <c r="B166" i="17"/>
  <c r="B146" i="17"/>
  <c r="B295" i="17"/>
  <c r="B107" i="17"/>
  <c r="B275" i="17"/>
  <c r="B224" i="17"/>
  <c r="B289" i="17"/>
  <c r="B386" i="17"/>
  <c r="B363" i="17"/>
  <c r="B171" i="17"/>
  <c r="B299" i="17"/>
  <c r="B121" i="17"/>
  <c r="B349" i="17"/>
  <c r="B285" i="17"/>
  <c r="B356" i="17"/>
  <c r="B260" i="17"/>
  <c r="B264" i="17"/>
  <c r="B65" i="17"/>
  <c r="B141" i="17"/>
  <c r="B409" i="17"/>
  <c r="B317" i="17"/>
  <c r="B234" i="17"/>
  <c r="B100" i="17"/>
  <c r="B38" i="17"/>
  <c r="B316" i="17"/>
  <c r="B331" i="17"/>
  <c r="B249" i="17"/>
  <c r="B377" i="17"/>
  <c r="B199" i="17"/>
  <c r="B208" i="17"/>
  <c r="B176" i="17"/>
  <c r="B222" i="17"/>
  <c r="B155" i="17"/>
  <c r="B313" i="17"/>
  <c r="B201" i="17"/>
  <c r="B262" i="17"/>
  <c r="B30" i="17"/>
  <c r="B239" i="17"/>
  <c r="B305" i="17"/>
  <c r="B138" i="17"/>
  <c r="B227" i="17"/>
  <c r="B391" i="17"/>
  <c r="B293" i="17"/>
  <c r="B385" i="17"/>
  <c r="B319" i="17"/>
  <c r="B130" i="17"/>
  <c r="B352" i="17"/>
  <c r="B135" i="17"/>
  <c r="B200" i="17"/>
  <c r="B89" i="17"/>
  <c r="B328" i="17"/>
  <c r="B278" i="17"/>
  <c r="B177" i="17"/>
  <c r="B279" i="17"/>
  <c r="B108" i="17"/>
  <c r="B95" i="17"/>
  <c r="B184" i="17"/>
  <c r="B307" i="17"/>
  <c r="B4" i="17"/>
  <c r="B283" i="17"/>
  <c r="B33" i="17"/>
  <c r="B192" i="17"/>
  <c r="B255" i="17"/>
  <c r="B220" i="17"/>
  <c r="B161" i="17"/>
  <c r="B274" i="17"/>
  <c r="B144" i="17"/>
  <c r="B246" i="17"/>
  <c r="B364" i="17"/>
  <c r="B36" i="17"/>
  <c r="B15" i="17"/>
  <c r="B140" i="17"/>
  <c r="B335" i="17"/>
  <c r="B403" i="17"/>
  <c r="B410" i="17"/>
  <c r="B123" i="17"/>
  <c r="B13" i="17"/>
  <c r="B34" i="17"/>
  <c r="B218" i="17"/>
  <c r="B67" i="17"/>
  <c r="B314" i="17"/>
  <c r="B185" i="17"/>
  <c r="B361" i="17"/>
  <c r="B105" i="17"/>
  <c r="B318" i="17"/>
  <c r="B345" i="17"/>
  <c r="B231" i="17"/>
  <c r="B267" i="17"/>
  <c r="B235" i="17"/>
  <c r="B178" i="17"/>
  <c r="B137" i="17"/>
  <c r="B329" i="17"/>
  <c r="B268" i="17"/>
  <c r="B104" i="17"/>
  <c r="B348" i="17"/>
  <c r="B404" i="17"/>
  <c r="B346" i="17"/>
  <c r="B371" i="17"/>
  <c r="B193" i="17"/>
  <c r="B127" i="17"/>
  <c r="B210" i="17"/>
  <c r="B119" i="17"/>
  <c r="B87" i="17"/>
  <c r="B370" i="17"/>
  <c r="B113" i="17"/>
  <c r="B204" i="17"/>
  <c r="B41" i="17"/>
  <c r="B242" i="17"/>
  <c r="B183" i="17"/>
  <c r="B60" i="17"/>
  <c r="B407" i="17"/>
  <c r="B226" i="17"/>
  <c r="B411" i="17"/>
  <c r="B132" i="17"/>
  <c r="B11" i="17"/>
  <c r="B296" i="17"/>
  <c r="B148" i="17"/>
  <c r="B182" i="17"/>
  <c r="B59" i="17"/>
  <c r="B126" i="17"/>
  <c r="B62" i="17"/>
  <c r="B213" i="17"/>
  <c r="B151" i="17"/>
  <c r="B206" i="17"/>
  <c r="B251" i="17"/>
  <c r="B6" i="17"/>
  <c r="B273" i="17"/>
  <c r="B175" i="17"/>
  <c r="B393" i="17"/>
  <c r="B306" i="17"/>
  <c r="B233" i="17"/>
  <c r="B103" i="17"/>
  <c r="B230" i="17"/>
  <c r="B378" i="17"/>
  <c r="B376" i="17"/>
  <c r="B219" i="17"/>
  <c r="B203" i="17"/>
  <c r="B243" i="17"/>
  <c r="B145" i="17"/>
  <c r="B310" i="17"/>
  <c r="B367" i="17"/>
  <c r="B347" i="17"/>
  <c r="B254" i="17"/>
  <c r="B250" i="17"/>
  <c r="B174" i="17"/>
  <c r="B128" i="17"/>
  <c r="B194" i="17"/>
  <c r="B327" i="17"/>
  <c r="B257" i="17"/>
  <c r="B359" i="17"/>
  <c r="B304" i="17"/>
  <c r="B97" i="17"/>
  <c r="B88" i="17"/>
  <c r="B196" i="17"/>
  <c r="B21" i="17"/>
  <c r="B142" i="17"/>
  <c r="B387" i="17"/>
  <c r="B383" i="17"/>
  <c r="B384" i="17"/>
  <c r="B401" i="17"/>
  <c r="B374" i="17"/>
  <c r="B353" i="17"/>
  <c r="B375" i="17"/>
  <c r="B202" i="17"/>
  <c r="B129" i="17"/>
  <c r="B297" i="17"/>
  <c r="B266" i="17"/>
  <c r="B116" i="17"/>
  <c r="B399" i="17"/>
  <c r="B195" i="17"/>
  <c r="B338" i="17"/>
  <c r="B111" i="17"/>
  <c r="B292" i="17"/>
  <c r="B109" i="17"/>
  <c r="B223" i="17"/>
  <c r="B215" i="17"/>
  <c r="B110" i="17"/>
  <c r="B369" i="17"/>
  <c r="B301" i="17"/>
  <c r="B382" i="17"/>
  <c r="B232" i="17"/>
  <c r="B149" i="17"/>
  <c r="B342" i="17"/>
  <c r="B133" i="17"/>
  <c r="B252" i="17"/>
  <c r="B302" i="17"/>
  <c r="B330" i="17"/>
  <c r="B271" i="17"/>
  <c r="B392" i="17"/>
  <c r="B134" i="17"/>
  <c r="B368" i="17"/>
  <c r="B332" i="17"/>
  <c r="B362" i="17"/>
  <c r="B256" i="17"/>
  <c r="B238" i="17"/>
  <c r="B287" i="17"/>
  <c r="B20" i="17"/>
  <c r="B360" i="17"/>
  <c r="B212" i="17"/>
  <c r="B188" i="17"/>
  <c r="B56" i="17"/>
  <c r="B241" i="17"/>
  <c r="B282" i="17"/>
  <c r="B91" i="17"/>
  <c r="B92" i="17"/>
  <c r="B240" i="17"/>
  <c r="B315" i="17"/>
  <c r="B300" i="17"/>
  <c r="B303" i="17"/>
  <c r="B379" i="17"/>
  <c r="D14" i="18" l="1"/>
  <c r="D13" i="18"/>
  <c r="C12" i="18"/>
  <c r="B12" i="18"/>
  <c r="B11" i="18"/>
  <c r="D9" i="18"/>
  <c r="C9" i="18"/>
  <c r="C13" i="18"/>
  <c r="C14" i="18"/>
  <c r="D10" i="18"/>
  <c r="D11" i="18"/>
  <c r="B13" i="18"/>
  <c r="B9" i="18"/>
  <c r="C10" i="18"/>
  <c r="B14" i="18"/>
  <c r="D12" i="18"/>
  <c r="C11" i="18"/>
  <c r="B1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 Clark</author>
  </authors>
  <commentList>
    <comment ref="C1" authorId="0" shapeId="0" xr:uid="{794852A9-F02A-4507-9DF5-177B0B170B94}">
      <text>
        <r>
          <rPr>
            <b/>
            <sz val="9"/>
            <color indexed="81"/>
            <rFont val="Tahoma"/>
            <family val="2"/>
          </rPr>
          <t>This column presents the calculation methodology from the Medicaid rate model.</t>
        </r>
      </text>
    </comment>
    <comment ref="D1" authorId="0" shapeId="0" xr:uid="{AE8B98F3-8159-4C4B-B37D-94F44D44CB8D}">
      <text>
        <r>
          <rPr>
            <sz val="9"/>
            <color indexed="81"/>
            <rFont val="Tahoma"/>
            <family val="2"/>
          </rPr>
          <t>This column shows the FRV calculation of the facility in column C renovated to a "new" facility.</t>
        </r>
      </text>
    </comment>
    <comment ref="E1" authorId="0" shapeId="0" xr:uid="{65917A22-2E71-4CAA-A50E-0E560165C56E}">
      <text>
        <r>
          <rPr>
            <b/>
            <sz val="9"/>
            <color indexed="81"/>
            <rFont val="Tahoma"/>
            <family val="2"/>
          </rPr>
          <t>This column shows the FRV calculation of the facility in column C renovated to a "new" facility with 700 sq ft per bed.</t>
        </r>
      </text>
    </comment>
    <comment ref="E3" authorId="0" shapeId="0" xr:uid="{9FAEEDAD-A1C3-4439-9B9D-71E3E18493EB}">
      <text>
        <r>
          <rPr>
            <b/>
            <sz val="9"/>
            <color indexed="81"/>
            <rFont val="Tahoma"/>
            <family val="2"/>
          </rPr>
          <t>Assumed to be 700 sq ft per bed.</t>
        </r>
      </text>
    </comment>
    <comment ref="F3" authorId="0" shapeId="0" xr:uid="{36224338-39E7-4B63-8144-28DB03C8253D}">
      <text>
        <r>
          <rPr>
            <b/>
            <sz val="9"/>
            <color indexed="81"/>
            <rFont val="Tahoma"/>
            <family val="2"/>
          </rPr>
          <t>Enter the proposed number of square feet attributed to the nursing portion of the facility.</t>
        </r>
      </text>
    </comment>
    <comment ref="F8" authorId="0" shapeId="0" xr:uid="{112FDB47-C5D0-4E28-B2E2-8A10FE8E9FCD}">
      <text>
        <r>
          <rPr>
            <b/>
            <sz val="9"/>
            <color indexed="81"/>
            <rFont val="Tahoma"/>
            <family val="2"/>
          </rPr>
          <t>Enter the amount of a proposed renovation.</t>
        </r>
      </text>
    </comment>
    <comment ref="D14" authorId="0" shapeId="0" xr:uid="{A96D4013-9802-4F15-9BFF-D997A15E112B}">
      <text>
        <r>
          <rPr>
            <b/>
            <sz val="9"/>
            <color indexed="81"/>
            <rFont val="Tahoma"/>
            <family val="2"/>
          </rPr>
          <t>Assumed to be age of 1 for a completely renovated facility.</t>
        </r>
      </text>
    </comment>
    <comment ref="E14" authorId="0" shapeId="0" xr:uid="{90060E3C-53E4-46D0-9EE6-0B00AD95D5CE}">
      <text>
        <r>
          <rPr>
            <b/>
            <sz val="9"/>
            <color indexed="81"/>
            <rFont val="Tahoma"/>
            <family val="2"/>
          </rPr>
          <t>Assumed to be age of 1 for a new facility.</t>
        </r>
      </text>
    </comment>
    <comment ref="F14" authorId="0" shapeId="0" xr:uid="{5CC7D6DA-0389-426B-863D-04C723486F2F}">
      <text>
        <r>
          <rPr>
            <b/>
            <sz val="9"/>
            <color indexed="81"/>
            <rFont val="Tahoma"/>
            <family val="2"/>
          </rPr>
          <t>Estimated facility age after proposed renovation.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 Clark</author>
  </authors>
  <commentList>
    <comment ref="H26" authorId="0" shapeId="0" xr:uid="{0236A97C-0A20-43F5-B0FF-E52438CFE40B}">
      <text>
        <r>
          <rPr>
            <b/>
            <sz val="9"/>
            <color indexed="81"/>
            <rFont val="Tahoma"/>
            <family val="2"/>
          </rPr>
          <t>Sam Clark:</t>
        </r>
        <r>
          <rPr>
            <sz val="9"/>
            <color indexed="81"/>
            <rFont val="Tahoma"/>
            <family val="2"/>
          </rPr>
          <t xml:space="preserve">
Dropped from current book.  Previous year carried forward.</t>
        </r>
      </text>
    </comment>
  </commentList>
</comments>
</file>

<file path=xl/sharedStrings.xml><?xml version="1.0" encoding="utf-8"?>
<sst xmlns="http://schemas.openxmlformats.org/spreadsheetml/2006/main" count="3204" uniqueCount="813">
  <si>
    <t>City</t>
  </si>
  <si>
    <t>Greensboro</t>
  </si>
  <si>
    <t>Winston-Salem</t>
  </si>
  <si>
    <t>Raleigh</t>
  </si>
  <si>
    <t>Rocky Mount</t>
  </si>
  <si>
    <t>Elizabeth City</t>
  </si>
  <si>
    <t>Gastonia</t>
  </si>
  <si>
    <t>Charlotte</t>
  </si>
  <si>
    <t>Fayetteville</t>
  </si>
  <si>
    <t>Wilmington</t>
  </si>
  <si>
    <t>Kinston</t>
  </si>
  <si>
    <t>Hickory</t>
  </si>
  <si>
    <t>Asheville</t>
  </si>
  <si>
    <t>Murphy</t>
  </si>
  <si>
    <t>Zip Factor</t>
  </si>
  <si>
    <t>Year</t>
  </si>
  <si>
    <t>Type (1-3)</t>
  </si>
  <si>
    <t>Nursing Days</t>
  </si>
  <si>
    <t>Location Factor</t>
  </si>
  <si>
    <t>Land Percentage</t>
  </si>
  <si>
    <t>ZIP Code</t>
  </si>
  <si>
    <t>Cost per Square Foot</t>
  </si>
  <si>
    <t>Durham</t>
  </si>
  <si>
    <t>Instructions for Use:</t>
  </si>
  <si>
    <t>Facility Name</t>
  </si>
  <si>
    <t>North Carolina Nursing Facility Fair Rental Value</t>
  </si>
  <si>
    <t>Medicaid Rate Calculation</t>
  </si>
  <si>
    <t>FRV Daily Rate</t>
  </si>
  <si>
    <t>Provider Assessment</t>
  </si>
  <si>
    <t xml:space="preserve">     i.  CCRC - $0 per day </t>
  </si>
  <si>
    <t>North Carolina Nursing Facility</t>
  </si>
  <si>
    <t>Rate Calculation</t>
  </si>
  <si>
    <t>% of Rate to Case-Mix Adjust</t>
  </si>
  <si>
    <t>Medicaid Case-Mix Index</t>
  </si>
  <si>
    <t>Indirect Rate</t>
  </si>
  <si>
    <t>Provider Assessment Daily Rate***</t>
  </si>
  <si>
    <t>*** - The Provider Assessment daily rate is determined as follows:</t>
  </si>
  <si>
    <t>Fair Rental Value Daily Rate**</t>
  </si>
  <si>
    <t>a</t>
  </si>
  <si>
    <t>b</t>
  </si>
  <si>
    <t>c</t>
  </si>
  <si>
    <t>d</t>
  </si>
  <si>
    <t>e</t>
  </si>
  <si>
    <t>f</t>
  </si>
  <si>
    <t>g</t>
  </si>
  <si>
    <t>h</t>
  </si>
  <si>
    <t>i</t>
  </si>
  <si>
    <t xml:space="preserve">The North Carolina nursing facility Medicaid rate uses a Fair Rental Value (FRV) system of capital reimbursement.  Under the FRV system, facilities will receive individualized rates based on the characteristics of their buildings. </t>
  </si>
  <si>
    <t>Please direct any questions or comments on the use of this rate calculation spreadsheet to Sam Clark, NCHCFA Vice President of Finance, at samc@nchcfa.org.</t>
  </si>
  <si>
    <t xml:space="preserve">     ii.  48,000 or fewer total nursing days per year - $13.68 per day</t>
  </si>
  <si>
    <t xml:space="preserve">     iii.  More than 48,000 nursing days per year - $7.18 per day</t>
  </si>
  <si>
    <t>NPI</t>
  </si>
  <si>
    <t>Enter the Facility Name (optional)</t>
  </si>
  <si>
    <t>4/1/22-3/31/23</t>
  </si>
  <si>
    <t>Historical Cost Index</t>
  </si>
  <si>
    <t>Average</t>
  </si>
  <si>
    <t>Bed Value</t>
  </si>
  <si>
    <t>Actual Facility Data</t>
  </si>
  <si>
    <t>Current Facility Renovated to the Age of a New Building</t>
  </si>
  <si>
    <t>Replacement Building w/ 700 sq ft per bed</t>
  </si>
  <si>
    <t>User Defined Variables</t>
  </si>
  <si>
    <t>Facility NPI</t>
  </si>
  <si>
    <t>Total nursing square feet</t>
  </si>
  <si>
    <t>Nursing Beds</t>
  </si>
  <si>
    <t>BUILDING</t>
  </si>
  <si>
    <t>Renovation $</t>
  </si>
  <si>
    <t>Years</t>
  </si>
  <si>
    <t>450 FRV Age</t>
  </si>
  <si>
    <t>450 FRV Rate</t>
  </si>
  <si>
    <t>Sq Ft per Bed (b/c)</t>
  </si>
  <si>
    <t>Facility Age (imported from rate model)</t>
  </si>
  <si>
    <t>Sq Footage Floor (based on age)</t>
  </si>
  <si>
    <t>Calculation Sq Ft (max of f or (min of 700 or d))</t>
  </si>
  <si>
    <t>Location Factor (based on ZIP)</t>
  </si>
  <si>
    <t>Replacement Value (a*c*g*h)</t>
  </si>
  <si>
    <t xml:space="preserve">LAND  </t>
  </si>
  <si>
    <t>j</t>
  </si>
  <si>
    <t>k</t>
  </si>
  <si>
    <t>Land Value (i*j)</t>
  </si>
  <si>
    <t>350 FRV Age</t>
  </si>
  <si>
    <t>350 FRV Rate</t>
  </si>
  <si>
    <t>EQUIPMENT</t>
  </si>
  <si>
    <t>l</t>
  </si>
  <si>
    <t>Equipment Allowance per Bed</t>
  </si>
  <si>
    <t>m</t>
  </si>
  <si>
    <t>Replacement Value (c*l)</t>
  </si>
  <si>
    <t>REPLACEMENT VALUE</t>
  </si>
  <si>
    <t>n</t>
  </si>
  <si>
    <t>Bldg/Equip Replacement Value (i+m)</t>
  </si>
  <si>
    <t>o</t>
  </si>
  <si>
    <t>Age</t>
  </si>
  <si>
    <t>p</t>
  </si>
  <si>
    <t>Depreciation per Year</t>
  </si>
  <si>
    <t>q</t>
  </si>
  <si>
    <t>Depreciation (n*o*p)</t>
  </si>
  <si>
    <t>r</t>
  </si>
  <si>
    <t>Depreciated Replacement Value (n-q)</t>
  </si>
  <si>
    <t>s</t>
  </si>
  <si>
    <t>Total Replacement Value+Land (k+r)</t>
  </si>
  <si>
    <t>RATE PER DAY</t>
  </si>
  <si>
    <t>t</t>
  </si>
  <si>
    <t>Rental Rate</t>
  </si>
  <si>
    <t>u</t>
  </si>
  <si>
    <t>Rental Amount (s*t)</t>
  </si>
  <si>
    <t>v</t>
  </si>
  <si>
    <t>w</t>
  </si>
  <si>
    <t>x</t>
  </si>
  <si>
    <t>Calculation Days (min of v or w)</t>
  </si>
  <si>
    <t>y</t>
  </si>
  <si>
    <t>FRV Rate per Day (u/x)</t>
  </si>
  <si>
    <t>Estimated cost to renovate this facility to the age of a new facility:</t>
  </si>
  <si>
    <t>Estimated rate difference between current age and "new" facility age:</t>
  </si>
  <si>
    <t>Amount of proposed renovation:</t>
  </si>
  <si>
    <t>Estimated FRV rate after proposed renovation:</t>
  </si>
  <si>
    <t>Estimated rate difference between current age and renovated facility:</t>
  </si>
  <si>
    <t>R=A x (E/(S x C x AD))</t>
  </si>
  <si>
    <t>Assumptions</t>
  </si>
  <si>
    <r>
      <t xml:space="preserve">Age </t>
    </r>
    <r>
      <rPr>
        <b/>
        <sz val="11"/>
        <color theme="1"/>
        <rFont val="Calibri"/>
        <family val="2"/>
        <scheme val="minor"/>
      </rPr>
      <t>(A)</t>
    </r>
  </si>
  <si>
    <r>
      <t xml:space="preserve">Expenditure </t>
    </r>
    <r>
      <rPr>
        <b/>
        <sz val="11"/>
        <color theme="1"/>
        <rFont val="Calibri"/>
        <family val="2"/>
        <scheme val="minor"/>
      </rPr>
      <t>(E)</t>
    </r>
  </si>
  <si>
    <r>
      <t xml:space="preserve">Accumulated Depreciation Percent </t>
    </r>
    <r>
      <rPr>
        <b/>
        <sz val="11"/>
        <color theme="1"/>
        <rFont val="Calibri"/>
        <family val="2"/>
        <scheme val="minor"/>
      </rPr>
      <t>(AD)</t>
    </r>
  </si>
  <si>
    <t>Depreciation rate/year</t>
  </si>
  <si>
    <t>Proof</t>
  </si>
  <si>
    <t>Beds</t>
  </si>
  <si>
    <t>Acc Depr/Bed</t>
  </si>
  <si>
    <t>Cost</t>
  </si>
  <si>
    <t>New Bed Equivalent</t>
  </si>
  <si>
    <t>Old</t>
  </si>
  <si>
    <t>New</t>
  </si>
  <si>
    <t>Prior Age</t>
  </si>
  <si>
    <t>Difference</t>
  </si>
  <si>
    <t>FRV Age</t>
  </si>
  <si>
    <t>Minimum Age (includes ages above this amount)</t>
  </si>
  <si>
    <t>Sq Ft Floor</t>
  </si>
  <si>
    <t>-----&gt;</t>
  </si>
  <si>
    <t>COVID-19 Final Rate</t>
  </si>
  <si>
    <t>Abbotts Creek Care and Rehabilition Center</t>
  </si>
  <si>
    <t>Abernethy Laurels</t>
  </si>
  <si>
    <t>Accordius Health at Aberdeen</t>
  </si>
  <si>
    <t>Accordius Health at Brevard</t>
  </si>
  <si>
    <t>Accordius Health at Charlotte</t>
  </si>
  <si>
    <t>Accordius Health at Clemmons</t>
  </si>
  <si>
    <t>Accordius Health At Concord</t>
  </si>
  <si>
    <t>Accordius Health at Creekside</t>
  </si>
  <si>
    <t>Accordius Health at Gastonia</t>
  </si>
  <si>
    <t>Accordius Health at Gatesville</t>
  </si>
  <si>
    <t>Accordius Health at Greensboro</t>
  </si>
  <si>
    <t>Accordius Health at Hendersonville</t>
  </si>
  <si>
    <t>Accordius Health at Lexington</t>
  </si>
  <si>
    <t>Accordius Health at Midwood</t>
  </si>
  <si>
    <t>Accordius Health at Monroe</t>
  </si>
  <si>
    <t>Accordius Health at Mooresville</t>
  </si>
  <si>
    <t>Accordius Health at Rose Manor</t>
  </si>
  <si>
    <t>Accordius Health at Rutherfordton</t>
  </si>
  <si>
    <t>ACCORDIUS HEALTH AT SALISBURY</t>
  </si>
  <si>
    <t>Accordius Health at Scotland Manor</t>
  </si>
  <si>
    <t>Accordius Health at Statesville</t>
  </si>
  <si>
    <t>ACCORDIUS HEALTH AT WILKESBORO</t>
  </si>
  <si>
    <t>Accordius Health at Wilmington</t>
  </si>
  <si>
    <t>ACCORDIUS HEALTH AT WILSON</t>
  </si>
  <si>
    <t>Accordius Health at Winston-Salem</t>
  </si>
  <si>
    <t>Accordius Heath at Asheville</t>
  </si>
  <si>
    <t>Adams Farm and Living Rehab</t>
  </si>
  <si>
    <t>Alamance Health Care Center</t>
  </si>
  <si>
    <t>Alexandria Place</t>
  </si>
  <si>
    <t>Alleghany Care and Rehabilitation Center</t>
  </si>
  <si>
    <t>Alpine Health and Rehab</t>
  </si>
  <si>
    <t>Alston Brook</t>
  </si>
  <si>
    <t>Anson Health and Rehabilitation, LLC</t>
  </si>
  <si>
    <t>Asbury Health and Rehabilitation Center</t>
  </si>
  <si>
    <t>Ashton Health and Rehabilitation</t>
  </si>
  <si>
    <t>Aston Park Health Care, Inc.</t>
  </si>
  <si>
    <t>Autumn Care Of Biscoe</t>
  </si>
  <si>
    <t>Autumn Care of Cornelius</t>
  </si>
  <si>
    <t>Autumn Care Of Drexel</t>
  </si>
  <si>
    <t>Autumn Care of Fayetteville</t>
  </si>
  <si>
    <t>Autumn Care Of Marion</t>
  </si>
  <si>
    <t>Autumn Care Of Marshville</t>
  </si>
  <si>
    <t>Autumn Care Of Myrtle Grove</t>
  </si>
  <si>
    <t>Autumn Care Of Nash</t>
  </si>
  <si>
    <t>Autumn Care Of Raeford</t>
  </si>
  <si>
    <t>Autumn Care Of Salisbury</t>
  </si>
  <si>
    <t>Autumn Care Of Saluda</t>
  </si>
  <si>
    <t>Autumn Care Of Shallotte</t>
  </si>
  <si>
    <t>Autumn Care Of Statesville</t>
  </si>
  <si>
    <t>Autumn Care Of Waynesville</t>
  </si>
  <si>
    <t>Ayden Court Nursing and Rehabilitation Center</t>
  </si>
  <si>
    <t>Azalea Health and Rehab Center</t>
  </si>
  <si>
    <t>Barbour Court Nursing and Rehabilitation Center</t>
  </si>
  <si>
    <t>Bayview Nursing &amp; Rehabilitation Center</t>
  </si>
  <si>
    <t>Belaire Health Care Center</t>
  </si>
  <si>
    <t>Bellarose Nursing and Rehabilitation Center</t>
  </si>
  <si>
    <t>Bermuda Commons</t>
  </si>
  <si>
    <t>Bethany Woods Nursing and Rehabilitation Center</t>
  </si>
  <si>
    <t>Bethesda Health Care Facility</t>
  </si>
  <si>
    <t>Big Elm Retirement And Nursing Ctr, Inc</t>
  </si>
  <si>
    <t>Bladen East Health and Rehabilitation Center</t>
  </si>
  <si>
    <t xml:space="preserve">Blue Ridge Health and Rehabilitation Center </t>
  </si>
  <si>
    <t>Brantwood Nursing &amp; Retirement Center</t>
  </si>
  <si>
    <t>Brian Center Health &amp; Rehab / Hickory Viewmo</t>
  </si>
  <si>
    <t>Brian Center Health &amp; Rehab/Eden</t>
  </si>
  <si>
    <t>Brian Center Health &amp; Rehab/Gastonia</t>
  </si>
  <si>
    <t>Brian Center Health &amp; Rehab/Goldsboro</t>
  </si>
  <si>
    <t>Brian Center Health &amp; Rehab/Hertford</t>
  </si>
  <si>
    <t>Brian Center Health &amp; Rehab/Hickory East</t>
  </si>
  <si>
    <t>Brian Center Health &amp; Rehab/Spruce Pine</t>
  </si>
  <si>
    <t>Brian Center Health &amp; Rehab/Wallace</t>
  </si>
  <si>
    <t>Brian Center Health &amp; Rehab/Weaverville</t>
  </si>
  <si>
    <t>Brian Center Health &amp; Rehab/Wilson</t>
  </si>
  <si>
    <t>Brian Center Health &amp; Rehab/Windsor</t>
  </si>
  <si>
    <t>Brian Center Health &amp; Rehab/Yanceyville</t>
  </si>
  <si>
    <t>Brian Center Health &amp; Retire/Cabarrus</t>
  </si>
  <si>
    <t>Brian Center Health &amp; Retire/Clayton</t>
  </si>
  <si>
    <t>Brian Center Health &amp; Retire/Lincolnton</t>
  </si>
  <si>
    <t>Brian Center Hlth &amp; Rehab/Hendersonville</t>
  </si>
  <si>
    <t>Brian Center Southpoint</t>
  </si>
  <si>
    <t>Brightmoor Nursing Center</t>
  </si>
  <si>
    <t>Brookridge Retirement Community</t>
  </si>
  <si>
    <t>Brunswick Cove Nursing Center</t>
  </si>
  <si>
    <t>Brunswick Health and Rehabilitation Center</t>
  </si>
  <si>
    <t>Camden Health and Rehabilitation</t>
  </si>
  <si>
    <t xml:space="preserve">Capital Nursing and Rehabilitation </t>
  </si>
  <si>
    <t>Cardinal Healthcare &amp; Rehab Center</t>
  </si>
  <si>
    <t>Carolina Care Health and Rehabilitation</t>
  </si>
  <si>
    <t>Carolina Pines at Asheville</t>
  </si>
  <si>
    <t>Carolina Pines at Greensboro</t>
  </si>
  <si>
    <t>Carolina Rehab Center Of Burke</t>
  </si>
  <si>
    <t>Carolina Rivers Nursing and Rehabilitation Center</t>
  </si>
  <si>
    <t>Carrington Place</t>
  </si>
  <si>
    <t>Carver Living Center</t>
  </si>
  <si>
    <t>Cary Health &amp; Rehab Center</t>
  </si>
  <si>
    <t>Central Continuing Care</t>
  </si>
  <si>
    <t>Charlotte Health &amp; Rehab Center</t>
  </si>
  <si>
    <t>Cherry Point Bay Nursing and Rehabilitation Center</t>
  </si>
  <si>
    <t>Chowan River Nursing and Rehabilitation Center</t>
  </si>
  <si>
    <t>Clapp's Convalescent Nursing Home, Inc.</t>
  </si>
  <si>
    <t>CLAPP'S NURSING CENTER, INC.</t>
  </si>
  <si>
    <t>Clay County Care Center</t>
  </si>
  <si>
    <t>Clear Creek Nursing &amp; Rehabilitation Center</t>
  </si>
  <si>
    <t>Cleveland Pines</t>
  </si>
  <si>
    <t>College Pines Rehabilitation and Skilled Nursing Facility</t>
  </si>
  <si>
    <t xml:space="preserve">Compass Healthcare and Rehab Guilford </t>
  </si>
  <si>
    <t>COMPASS HEALTHCARE AND REHAB HAWFIE</t>
  </si>
  <si>
    <t>Compass Healthcare and Rehab Rowan</t>
  </si>
  <si>
    <t>Conover Nursing &amp; Rehab Center</t>
  </si>
  <si>
    <t>Courtland Terrace</t>
  </si>
  <si>
    <t>Croasdaile Village</t>
  </si>
  <si>
    <t>Croatan Ridge Nursing and Rehabilitation Center</t>
  </si>
  <si>
    <t>Cross Creek Health Care</t>
  </si>
  <si>
    <t>Crystal Bluffs Rehabilitation &amp; Health Care Center</t>
  </si>
  <si>
    <t>The Carrolton of Fayetteville</t>
  </si>
  <si>
    <t>Currituck Health &amp; Rehab Center</t>
  </si>
  <si>
    <t>Cypress Pointe Rehabilitation Center</t>
  </si>
  <si>
    <t>Davie Nursing &amp; Rehabilitation Center</t>
  </si>
  <si>
    <t>Davis Health and Wellness Center at Cambridge Village</t>
  </si>
  <si>
    <t>Davis Health Care Center</t>
  </si>
  <si>
    <t>Deer Park Health &amp; Rehabilitation</t>
  </si>
  <si>
    <t>East Carolina Rehab and Wellness</t>
  </si>
  <si>
    <t xml:space="preserve">Eckerd Living Center </t>
  </si>
  <si>
    <t>Edgewood Place At The Village-Brookwood</t>
  </si>
  <si>
    <t>Elderberry Health Care</t>
  </si>
  <si>
    <t>Elizabeth City Health and Rehabilitation Center</t>
  </si>
  <si>
    <t>Emerald Health &amp; Rehab Center</t>
  </si>
  <si>
    <t>Emerald Ridge Rehab &amp; Care Center</t>
  </si>
  <si>
    <t>Enfield Oaks Nursing and Rehabilitation Center</t>
  </si>
  <si>
    <t>Fair Haven at Forest City</t>
  </si>
  <si>
    <t>Fair Haven Home, Inc.</t>
  </si>
  <si>
    <t>Five Oaks Manor</t>
  </si>
  <si>
    <t>Flesher'S Fairview Healthcare Center</t>
  </si>
  <si>
    <t>Forrest Oakes Healthcare Center</t>
  </si>
  <si>
    <t>Fountains At The Albemarle</t>
  </si>
  <si>
    <t>Franklin Oaks Nursing and Rehabilitation Center</t>
  </si>
  <si>
    <t>Friends Homes - Guilford</t>
  </si>
  <si>
    <t>Friends Homes - West</t>
  </si>
  <si>
    <t>Gateway Rehabilitation and Healthcare</t>
  </si>
  <si>
    <t>Givens Health Center</t>
  </si>
  <si>
    <t xml:space="preserve">Givens Highland Farms </t>
  </si>
  <si>
    <t>Glenaire, Inc.</t>
  </si>
  <si>
    <t>Glenbridge Health And Rehabilitation</t>
  </si>
  <si>
    <t>Glenflora</t>
  </si>
  <si>
    <t>Golden Years Nursing Home</t>
  </si>
  <si>
    <t xml:space="preserve">Grace Heights Rehabilitation and Skilled Nursing Facility </t>
  </si>
  <si>
    <t>Graham Healthcare and Rehabilitation Center</t>
  </si>
  <si>
    <t>Grantsbrook Nursing and Rehabilitation Center</t>
  </si>
  <si>
    <t>Graybrier Nursing And Retirement Center</t>
  </si>
  <si>
    <t>Greendale Forest Nursing and Rehabilitation Center</t>
  </si>
  <si>
    <t>Greenhaven Health and Rehabilitation Center</t>
  </si>
  <si>
    <t>Guilford Health Care Center</t>
  </si>
  <si>
    <t xml:space="preserve">Harborview Rehabilitation and Healthcare </t>
  </si>
  <si>
    <t>Harmony Hall Nursing and Rehabilitation Center</t>
  </si>
  <si>
    <t>Harnett Woods Nursing and Rehabilitation Center</t>
  </si>
  <si>
    <t>Haymount Rehab &amp; Nursing Center</t>
  </si>
  <si>
    <t>Haywood Nursing &amp; Rehabilitation Center</t>
  </si>
  <si>
    <t>Heartland Living &amp; Rehab @ The Moses H Cone Mem</t>
  </si>
  <si>
    <t>Hendersonville Health and Rehabilitation</t>
  </si>
  <si>
    <t>Hickory Falls Health and Rehabilitation</t>
  </si>
  <si>
    <t>Highland House Rehabilitation and Healthcare</t>
  </si>
  <si>
    <t>Hillcrest Convalescent Center, Inc.</t>
  </si>
  <si>
    <t xml:space="preserve">Hillcrest Raleigh at Crabtree Valley </t>
  </si>
  <si>
    <t>Hillside Nursing Center</t>
  </si>
  <si>
    <t>Hugh Chatham Memorial Hospital</t>
  </si>
  <si>
    <t>Hunter Woods Nursing And Rehab Center</t>
  </si>
  <si>
    <t>Huntersville Health &amp; Rehab</t>
  </si>
  <si>
    <t>Huntersville Oaks</t>
  </si>
  <si>
    <t>Iredell Memorial Hospital, Incorporated</t>
  </si>
  <si>
    <t>Jacob's Creek Nursing and Rehabilitation Center</t>
  </si>
  <si>
    <t>Jesse Helms Nursing Center</t>
  </si>
  <si>
    <t>Kenansville  Health &amp; Rehab Center</t>
  </si>
  <si>
    <t>Kerr Lake Nursing and Rehabilitation Center</t>
  </si>
  <si>
    <t>Kindred Hospital-Greensboro</t>
  </si>
  <si>
    <t>Lake Park Nursing And Rehab Center</t>
  </si>
  <si>
    <t>Lenoir Healthcare Center</t>
  </si>
  <si>
    <t>Lexington Health Care Center</t>
  </si>
  <si>
    <t>Liberty Commons N&amp;R Ctr Of Columbus Cty</t>
  </si>
  <si>
    <t>Liberty Commons N&amp;R Ctr. Of Halifax Cty</t>
  </si>
  <si>
    <t>Liberty Commons N&amp;R Ctr. Of Johnston Cty</t>
  </si>
  <si>
    <t>Liberty Commons N&amp;R Ctr. Of Lee County</t>
  </si>
  <si>
    <t>Liberty Commons N&amp;R Ctr. Of Rowan County</t>
  </si>
  <si>
    <t>Liberty Commons Nursing &amp; Rehab Center of Alamance Cty</t>
  </si>
  <si>
    <t>Liberty Commons Nursing &amp; Rehab Center of Southport</t>
  </si>
  <si>
    <t>Liberty Commons Nursing &amp; Rehab Center of Watauga County</t>
  </si>
  <si>
    <t>Liberty Commons Nursing &amp; Rehab Ctr of Person Cty</t>
  </si>
  <si>
    <t>Liberty Commons Nursing And Rehab Center Of Bladen County</t>
  </si>
  <si>
    <t>Liberty Commons Nursing And Rehab Center Of Franklin County</t>
  </si>
  <si>
    <t>Liberty Commons Nursing And Rehab Center Of Moore County</t>
  </si>
  <si>
    <t>Liberty Commons Rehabilitation Center</t>
  </si>
  <si>
    <t>Life Care Center Of Banner Elk</t>
  </si>
  <si>
    <t>Life Care Center Of Hendersonville</t>
  </si>
  <si>
    <t>Lincolnton Rehabilitation Center</t>
  </si>
  <si>
    <t>Litchford Falls Healthcare &amp; Rehab</t>
  </si>
  <si>
    <t>Lutheran Home At Trinity Oaks, Inc.</t>
  </si>
  <si>
    <t>Macon Valley Nursing and Rehabilitation Center</t>
  </si>
  <si>
    <t>Madison Manor Rehabilitation and Nursing Center</t>
  </si>
  <si>
    <t>Maggie Valley Nursing and Rehabilitation</t>
  </si>
  <si>
    <t>Magnolia Lane Nursing and Rehabilitation Center</t>
  </si>
  <si>
    <t>Maple Grove Health and Rehabilitation Center</t>
  </si>
  <si>
    <t>Maple Leaf Health Care</t>
  </si>
  <si>
    <t>Mary Gran Nursing Center</t>
  </si>
  <si>
    <t>Maryfield Nursing Home</t>
  </si>
  <si>
    <t xml:space="preserve">Mecklenburg Health and Rehabilitation Center </t>
  </si>
  <si>
    <t>Monroe Rehabilitation center</t>
  </si>
  <si>
    <t>Mount Olive Care and Rehabilitation Center</t>
  </si>
  <si>
    <t>Mountain Ridge Wellness Center</t>
  </si>
  <si>
    <t>Mountain View Manor</t>
  </si>
  <si>
    <t>Mountain Vista Health Park</t>
  </si>
  <si>
    <t xml:space="preserve">Murphy Rehabilitation and Nursing </t>
  </si>
  <si>
    <t>NorthChase Nursing and Rehabilitation Center</t>
  </si>
  <si>
    <t>Northern Hospital Of Surry County-Ltc</t>
  </si>
  <si>
    <t>Northhampton Nursing and Rehabilitation Center</t>
  </si>
  <si>
    <t>Oak Forest Health and Rehabilitation</t>
  </si>
  <si>
    <t>Oak Grove Health Care Center</t>
  </si>
  <si>
    <t xml:space="preserve">Olde Knox Commons </t>
  </si>
  <si>
    <t>Our Community Hospital-Ltc</t>
  </si>
  <si>
    <t>Parkview Health and Rehabilitation</t>
  </si>
  <si>
    <t>Pavillion Health Center at Brightmore</t>
  </si>
  <si>
    <t>Peak Resources - Brookshire</t>
  </si>
  <si>
    <t>Peak Resources - Charlotte</t>
  </si>
  <si>
    <t>Peak Resources - Cherryville</t>
  </si>
  <si>
    <t>Peak Resources - Gastonia</t>
  </si>
  <si>
    <t>Peak Resources - Pinelake</t>
  </si>
  <si>
    <t>Peak Resources - Shelby</t>
  </si>
  <si>
    <t>Peak Resources Alamance</t>
  </si>
  <si>
    <t>Peak Resources Outer Banks</t>
  </si>
  <si>
    <t>Peak Resources-Wilmington</t>
  </si>
  <si>
    <t>Pelican Health at Asheville</t>
  </si>
  <si>
    <t xml:space="preserve">Pelican Health at Charlotte </t>
  </si>
  <si>
    <t>Pelican Health Henderson</t>
  </si>
  <si>
    <t>Pelican Health Randolph</t>
  </si>
  <si>
    <t>Pelican Health Reidsville</t>
  </si>
  <si>
    <t>Pelican Health Thomasville</t>
  </si>
  <si>
    <t>Pembroke Care and Rehabilitation Center</t>
  </si>
  <si>
    <t>Pender Memorial Hospital Snf</t>
  </si>
  <si>
    <t>Penick Village</t>
  </si>
  <si>
    <t>Penn Nursing Center</t>
  </si>
  <si>
    <t xml:space="preserve">Person Memorial Hospital </t>
  </si>
  <si>
    <t>Pettigrew Rehabilitation Center</t>
  </si>
  <si>
    <t>Piedmont Crossing</t>
  </si>
  <si>
    <t>Pine Ridge Health and Rehabilitation Center</t>
  </si>
  <si>
    <t>Pineville Rehab &amp; Living Center</t>
  </si>
  <si>
    <t>Piney Grove Nursing and Rehabilitation Center</t>
  </si>
  <si>
    <t>Pisgah Manor, Inc.</t>
  </si>
  <si>
    <t>Premier Nursing and Rehabilitation Center</t>
  </si>
  <si>
    <t>Prodigy Transitional Rehab</t>
  </si>
  <si>
    <t>PruittHealth-Carolina Point</t>
  </si>
  <si>
    <t>PruittHealth-Durham LLC</t>
  </si>
  <si>
    <t>PruittHealth-Elkin</t>
  </si>
  <si>
    <t>PruittHealth-Farmville</t>
  </si>
  <si>
    <t>PruittHealth-Neuse</t>
  </si>
  <si>
    <t>PruittHealth-Raleigh</t>
  </si>
  <si>
    <t>PruittHealth-Rockingham</t>
  </si>
  <si>
    <t>PruittHealth-SeaLevel</t>
  </si>
  <si>
    <t>PruittHealth-Town Center</t>
  </si>
  <si>
    <t>PruittHealth-Trent</t>
  </si>
  <si>
    <t>PruittHealth-Union Pointe</t>
  </si>
  <si>
    <t>Quail Haven Healthcare Center of Pinehurst</t>
  </si>
  <si>
    <t>Raleigh Rehabilitation Center</t>
  </si>
  <si>
    <t>Rex Rehab &amp; Nursing Center of Apex</t>
  </si>
  <si>
    <t>Rex Rehab &amp; Nursing Center of Raleigh</t>
  </si>
  <si>
    <t>Rich Square Nursing and Rehabilitation</t>
  </si>
  <si>
    <t>Richmond Pines Heathcare and Rehabilitation Center</t>
  </si>
  <si>
    <t>Rickman Nursing Care Center</t>
  </si>
  <si>
    <t>Ridgewood Living &amp; Rehabilitation Center</t>
  </si>
  <si>
    <t>River Landing At Sandy Ridge</t>
  </si>
  <si>
    <t>River Trace Nursing and Rehabilitation Center</t>
  </si>
  <si>
    <t>Riverpoint Crest Nursing and Rehabilitation Center</t>
  </si>
  <si>
    <t>Rocky Mount Rehabilitation Center</t>
  </si>
  <si>
    <t xml:space="preserve">Royal Park Rehabilitation &amp; Health Center of Matthews </t>
  </si>
  <si>
    <t>Salemtowne</t>
  </si>
  <si>
    <t>Sanford Health And Rehabilitation</t>
  </si>
  <si>
    <t>Sardis Oaks</t>
  </si>
  <si>
    <t>Saturn Nursing And Rehabilitation</t>
  </si>
  <si>
    <t>Scotia Village</t>
  </si>
  <si>
    <t>Scottish Pines Rehabilitation and Nursing Center</t>
  </si>
  <si>
    <t>Senior Citizen's Home, Inc.</t>
  </si>
  <si>
    <t>Shaire Nursing Center</t>
  </si>
  <si>
    <t>Shoreland Healthcare</t>
  </si>
  <si>
    <t>Signature HealthCARE of Chapel Hill</t>
  </si>
  <si>
    <t>Signature HealthCARE of Kinston</t>
  </si>
  <si>
    <t>Signature HealthCARE of Roanoke Rapids</t>
  </si>
  <si>
    <t>Silas Creek Rehabilitation Center</t>
  </si>
  <si>
    <t>Siler City Care and Rehabilitation Center</t>
  </si>
  <si>
    <t>Silver Bluff, Inc.</t>
  </si>
  <si>
    <t>Skyland Care Center</t>
  </si>
  <si>
    <t>Smithfield Manor Nursing and Rehab</t>
  </si>
  <si>
    <t>Smoky Mountain Health and Rehabilitation Center</t>
  </si>
  <si>
    <t>Smoky Ridge Health &amp; Rehabilitation</t>
  </si>
  <si>
    <t>Southwood Nursing &amp; Retirement Center</t>
  </si>
  <si>
    <t>Springbrook Nursing and Rehabilitation Center</t>
  </si>
  <si>
    <t>St Joseph Of The Pines</t>
  </si>
  <si>
    <t>Stanley Total Living Center</t>
  </si>
  <si>
    <t>Stanly Manor,Inc.</t>
  </si>
  <si>
    <t>Stokes County Nursing Home</t>
  </si>
  <si>
    <t>Stone Creek Health and Rehabilitation</t>
  </si>
  <si>
    <t>Summerstone Health and Rehabilitation Center</t>
  </si>
  <si>
    <t>Sunnybrook Rehabilitation Center</t>
  </si>
  <si>
    <t>The Carrolton of Dunn</t>
  </si>
  <si>
    <t>The Carrolton of Lumberton</t>
  </si>
  <si>
    <t>The Carrolton of Nash</t>
  </si>
  <si>
    <t>The Carrolton of Plymouth</t>
  </si>
  <si>
    <t>The Carrolton of Williamston</t>
  </si>
  <si>
    <t>THE CITADEL AT MOORESVILLE</t>
  </si>
  <si>
    <t>The Citadel at Myers Park</t>
  </si>
  <si>
    <t>THE CITADEL AT SALISBURY</t>
  </si>
  <si>
    <t>The Citadel at Winston Salem</t>
  </si>
  <si>
    <t>The Citadel Elizabeth City</t>
  </si>
  <si>
    <t>The Greens at Pinehurst Rehab &amp; Living Center</t>
  </si>
  <si>
    <t>The Ivy at Gastonia</t>
  </si>
  <si>
    <t>The Laurels Of Chatham</t>
  </si>
  <si>
    <t>The Laurels Of Forest Glenn</t>
  </si>
  <si>
    <t>The Laurels Of Greentree Ridge</t>
  </si>
  <si>
    <t>The Laurels Of Hendersonville</t>
  </si>
  <si>
    <t>The Laurels of Pender</t>
  </si>
  <si>
    <t>The Laurels Of Salisbury</t>
  </si>
  <si>
    <t>The Laurels Of Summit Ridge</t>
  </si>
  <si>
    <t>The Lodge at Mills River</t>
  </si>
  <si>
    <t>The Lodge at Rocky Mount</t>
  </si>
  <si>
    <t>The Margate Health &amp; Rehab Center</t>
  </si>
  <si>
    <t>The Oaks</t>
  </si>
  <si>
    <t>The Oaks At Sweeten Creek</t>
  </si>
  <si>
    <t>The Oaks at Whitaker Glen-Mayview</t>
  </si>
  <si>
    <t>The Oaks-Brevard</t>
  </si>
  <si>
    <t>The Shannon Gray Rehab &amp; Recovery Center</t>
  </si>
  <si>
    <t>Three Rivers Health And Rehab Center</t>
  </si>
  <si>
    <t>Ths Of Kannapolis</t>
  </si>
  <si>
    <t>Tower Nursing and Rehabilitation Center</t>
  </si>
  <si>
    <t>Trent Village Nursing Home</t>
  </si>
  <si>
    <t>Treyburn Rehabilitation Center</t>
  </si>
  <si>
    <t>Triad Care and Rehabilitation Center</t>
  </si>
  <si>
    <t>Trinity Elms</t>
  </si>
  <si>
    <t>Trinity Glen</t>
  </si>
  <si>
    <t>Trinity Grove</t>
  </si>
  <si>
    <t>Trinity Place</t>
  </si>
  <si>
    <t>Trinity Ridge</t>
  </si>
  <si>
    <t>Trinity Village</t>
  </si>
  <si>
    <t>Twin Lakes Community</t>
  </si>
  <si>
    <t>UNC Rockingham Rehabilitation &amp; Nursing Care Center</t>
  </si>
  <si>
    <t>Universal Health Care Greenville</t>
  </si>
  <si>
    <t>Universal Health Care Lillington</t>
  </si>
  <si>
    <t>Universal Health Care Oxford</t>
  </si>
  <si>
    <t>Universal Healthcare - Blumenthal</t>
  </si>
  <si>
    <t>Universal Healthcare - King</t>
  </si>
  <si>
    <t>Universal Healthcare - North Raleigh</t>
  </si>
  <si>
    <t>Universal Healthcare / Brunswick Inc.</t>
  </si>
  <si>
    <t>Universal Healthcare And Rehabilitation</t>
  </si>
  <si>
    <t>Universal Healthcare Of Fletcher</t>
  </si>
  <si>
    <t>Universal Healthcare Of Ramseur</t>
  </si>
  <si>
    <t>Universal Healthcare/Fuquay-Varina</t>
  </si>
  <si>
    <t>University Place Nursing and Rehabiliation Center</t>
  </si>
  <si>
    <t>Valley Nursing Center</t>
  </si>
  <si>
    <t>Valley View Care &amp; Rehab Center</t>
  </si>
  <si>
    <t>Vero Health &amp; Rehab of Sylva</t>
  </si>
  <si>
    <t>Village Care Of King</t>
  </si>
  <si>
    <t>Village Green Health and Rehabilitation</t>
  </si>
  <si>
    <t>Wadesboro Health &amp; Rehab Center</t>
  </si>
  <si>
    <t>Walnut Cove Healthcare Center</t>
  </si>
  <si>
    <t>Warren Hills Nursing Center</t>
  </si>
  <si>
    <t>Warsaw Health and Rehab</t>
  </si>
  <si>
    <t>Wellington Nursing and Rehab Center</t>
  </si>
  <si>
    <t>Wesley Pines</t>
  </si>
  <si>
    <t>Westchester Manor At Providence Place</t>
  </si>
  <si>
    <t>Westfield Rehabilitation and Health Center</t>
  </si>
  <si>
    <t>Westwood Health &amp; Rehab Center</t>
  </si>
  <si>
    <t>Westwood Hills Nursing and Rehabilitation Center</t>
  </si>
  <si>
    <t>Whispering Pines Nursing Home</t>
  </si>
  <si>
    <t>White Oak Manor Burlington Inc</t>
  </si>
  <si>
    <t>White Oak Manor Charlotte Inc</t>
  </si>
  <si>
    <t>White Oak Manor Kings Mountain Inc</t>
  </si>
  <si>
    <t>White Oak Manor Shelby Inc</t>
  </si>
  <si>
    <t>White Oak Manor Tryon Inc</t>
  </si>
  <si>
    <t>White Oak of Waxhaw</t>
  </si>
  <si>
    <t>WhiteStone:  A Masonic and Eastern Star Community</t>
  </si>
  <si>
    <t>Wilkes Regional Medical Center</t>
  </si>
  <si>
    <t>Wilkesboro Health &amp; Rehab</t>
  </si>
  <si>
    <t>Willow Creek Nursing and Rehabilitation Center</t>
  </si>
  <si>
    <t>Willow Ridge Of North Carolina, Llc</t>
  </si>
  <si>
    <t>Willowbrook Healthcare Center</t>
  </si>
  <si>
    <t>Wilora Lake Healthcare Center</t>
  </si>
  <si>
    <t>Wilson Pines Nursing and Rehabilitation Center</t>
  </si>
  <si>
    <t>Wilson Rehabilitation and Nursing Ctr</t>
  </si>
  <si>
    <t>Woodbury Wellness Center</t>
  </si>
  <si>
    <t>Woodhaven Nursing &amp; Alzheimer's Care Ctr</t>
  </si>
  <si>
    <t xml:space="preserve">Woodland Hill Center </t>
  </si>
  <si>
    <t>Woodlands Nursing &amp; Rehabilitation Center</t>
  </si>
  <si>
    <t>Yadkin Nursing Care Center, Inc.</t>
  </si>
  <si>
    <t>Zebulon Rehabilitation Center</t>
  </si>
  <si>
    <t>Premier Living And Rehab Center</t>
  </si>
  <si>
    <t>NA</t>
  </si>
  <si>
    <t>% of Neutralized Direct_CMI to Total</t>
  </si>
  <si>
    <t>Sq Ft per Bed</t>
  </si>
  <si>
    <t/>
  </si>
  <si>
    <t>Total Square Feet</t>
  </si>
  <si>
    <t>Total nursing sq ft per bed</t>
  </si>
  <si>
    <t>Nursing Square Feet</t>
  </si>
  <si>
    <t>Enter the facility NPI</t>
  </si>
  <si>
    <t>Hypothetical Medicaid CMI*</t>
  </si>
  <si>
    <t>Difference between Hypothetical Model and Normal Rate Model</t>
  </si>
  <si>
    <t>HYPOTHETICAL RATE CALCULATION</t>
  </si>
  <si>
    <t>Note - This calculation reflects the hypothetical Medicaid case-mix that was entered in addition to any FRV changes made on the "FRV Rate Calculation" tab.</t>
  </si>
  <si>
    <t>(optional)</t>
  </si>
  <si>
    <t>For convenience, the official state rate file has been included in one of the tabs of this file.</t>
  </si>
  <si>
    <t>Uniform COVID Add-on - see Note</t>
  </si>
  <si>
    <t xml:space="preserve">  The patient days used are from the 2019 cost report.  </t>
  </si>
  <si>
    <t>Only cells that are shaded can be safely modified.  Editing of any others cells is done so at the risk of the user.  Although some worksheets may be protected, this protection can be removed without a password.</t>
  </si>
  <si>
    <t>FRV Rate Calculation tab</t>
  </si>
  <si>
    <t>The figures on this tab that are in bold and italics are imported from the Medicaid rate model data based on the NPI that was entered on the Rate Calculation tab.</t>
  </si>
  <si>
    <r>
      <rPr>
        <b/>
        <sz val="10"/>
        <rFont val="Arial"/>
        <family val="2"/>
      </rPr>
      <t>Actual Facility Data:</t>
    </r>
    <r>
      <rPr>
        <sz val="10"/>
        <rFont val="Arial"/>
        <family val="2"/>
      </rPr>
      <t xml:space="preserve"> This column presents the calculation methodology from the Medicaid rate model.</t>
    </r>
  </si>
  <si>
    <r>
      <rPr>
        <b/>
        <sz val="10"/>
        <rFont val="Arial"/>
        <family val="2"/>
      </rPr>
      <t>Current Facility Renovated to the Age of a New Building:</t>
    </r>
    <r>
      <rPr>
        <sz val="10"/>
        <rFont val="Arial"/>
        <family val="2"/>
      </rPr>
      <t xml:space="preserve"> This column shows the FRV calculation of this facility renovated to a "new" facility.</t>
    </r>
  </si>
  <si>
    <r>
      <rPr>
        <b/>
        <sz val="10"/>
        <rFont val="Arial"/>
        <family val="2"/>
      </rPr>
      <t xml:space="preserve">Replacement Building w/ 700 sq ft per bed: </t>
    </r>
    <r>
      <rPr>
        <sz val="10"/>
        <rFont val="Arial"/>
        <family val="2"/>
      </rPr>
      <t>This column shows the FRV calculation of this facility renovated to a "new" facility with 700 sq ft per bed.</t>
    </r>
  </si>
  <si>
    <t>Several columns of calculations are presented:</t>
  </si>
  <si>
    <t>Modification 1</t>
  </si>
  <si>
    <t>Modification 2</t>
  </si>
  <si>
    <t>Modification 3</t>
  </si>
  <si>
    <t>Modification 4</t>
  </si>
  <si>
    <t>Modification 5</t>
  </si>
  <si>
    <t>Modification 6</t>
  </si>
  <si>
    <t>add=1. Replacement=2, renov=3</t>
  </si>
  <si>
    <t>Facility</t>
  </si>
  <si>
    <t>Abbotts Creek Care And Rehabilition Center</t>
  </si>
  <si>
    <t>Accordius Health At Brevard</t>
  </si>
  <si>
    <t>Accordius Health At Clemmons</t>
  </si>
  <si>
    <t>Accordius Health At Creekside</t>
  </si>
  <si>
    <t>Accordius Health At Gastonia</t>
  </si>
  <si>
    <t>Accordius Health At Lexington</t>
  </si>
  <si>
    <t>Accordius Health At Salisbury</t>
  </si>
  <si>
    <t>Accordius Health At Scotland Manor</t>
  </si>
  <si>
    <t>Accordius Health At Wilmington</t>
  </si>
  <si>
    <t>Accordius Health At Winston-Salem</t>
  </si>
  <si>
    <t>Accordius Heath At Asheville</t>
  </si>
  <si>
    <t>Adams Farm And Living Rehab</t>
  </si>
  <si>
    <t>Alleghany Care And Rehabilitation Center</t>
  </si>
  <si>
    <t>Anson Health And Rehabilitation, Llc</t>
  </si>
  <si>
    <t>Asbury Health And Rehabilitation Center</t>
  </si>
  <si>
    <t>Ashton Health And Rehabilitation</t>
  </si>
  <si>
    <t>Autumn Care Of Cornelius</t>
  </si>
  <si>
    <t>Autumn Care Of Fayetteville</t>
  </si>
  <si>
    <t>Ayden Court Nursing And Rehabilitation Center</t>
  </si>
  <si>
    <t>Azalea Health And Rehab Center</t>
  </si>
  <si>
    <t>Barbour Court Nursing And Rehabilitation Center</t>
  </si>
  <si>
    <t>Bellarose Nursing And Rehabilitation Center</t>
  </si>
  <si>
    <t>Bermuda Village Retirement Center</t>
  </si>
  <si>
    <t>no data at this time</t>
  </si>
  <si>
    <t>Bethany Woods Nursing And Rehabilitation Center</t>
  </si>
  <si>
    <t>Bladen East Health And Rehabilitation Center</t>
  </si>
  <si>
    <t xml:space="preserve">Blue Ridge Health And Rehabilitation Center </t>
  </si>
  <si>
    <t>Brunswick Health And Rehabilitation Center</t>
  </si>
  <si>
    <t>Camden Health And Rehabilitation</t>
  </si>
  <si>
    <t xml:space="preserve">Capital Nursing And Rehabilitation </t>
  </si>
  <si>
    <t>Carolina Care Health And Rehabilitation</t>
  </si>
  <si>
    <t>Carolina Pines At Asheville</t>
  </si>
  <si>
    <t>Carolina Rehab Center of Cumberland</t>
  </si>
  <si>
    <t>Carolina Rivers Nursing And Rehabilitation Center</t>
  </si>
  <si>
    <t>Cherry Point Bay Nursing And Rehabilitation Center</t>
  </si>
  <si>
    <t>Chowan River Nursing And Rehabilitation Center</t>
  </si>
  <si>
    <t>Clapp'S Convalescent Nursing Home, Inc.</t>
  </si>
  <si>
    <t>Clapp'S Nursing Center, Inc.</t>
  </si>
  <si>
    <t>Cornerstone Nursing And Rehabilitation Center</t>
  </si>
  <si>
    <t>Croatan Ridge Nursing And Rehabilitation Center</t>
  </si>
  <si>
    <t>Cumberland Nursing And Rehabilitation Center</t>
  </si>
  <si>
    <t>Davis Health And Wellness Center At Cambridge Village</t>
  </si>
  <si>
    <t>Durham Nursing And Rehabilitation Center</t>
  </si>
  <si>
    <t>East Carolina Rehab And Wellness</t>
  </si>
  <si>
    <t>Edgecombe Health &amp; Rehab Ctr by Harborview</t>
  </si>
  <si>
    <t>Edwin Morgan Center/Scotland Mem Hosp</t>
  </si>
  <si>
    <t>Elizabeth City Health And Rehabilitation Center</t>
  </si>
  <si>
    <t>I</t>
  </si>
  <si>
    <t>Enfield Oaks Nursing And Rehabilitation Center</t>
  </si>
  <si>
    <t>Fair Haven At Forest City</t>
  </si>
  <si>
    <t>Franklin Oaks Nursing And Rehabilitation Center</t>
  </si>
  <si>
    <t>Gateway Rehabilitation And Healthcare</t>
  </si>
  <si>
    <t>Graham Healthcare And Rehabilitation Center</t>
  </si>
  <si>
    <t>Grantsbrook Nursing And Rehabilitation Center</t>
  </si>
  <si>
    <t>Greendale Forest Nursing And Rehabilitation Center</t>
  </si>
  <si>
    <t>Greenhaven Health And Rehabilitation Center</t>
  </si>
  <si>
    <t>Harborview Lumberton</t>
  </si>
  <si>
    <t xml:space="preserve">Harborview Rehabilitation And Healthcare </t>
  </si>
  <si>
    <t>Harmony Hall Nursing And Rehabilitation Center</t>
  </si>
  <si>
    <t>Harnett Woods Nursing And Rehabilitation Center</t>
  </si>
  <si>
    <t>Hendersonville Health And Rehabilitation</t>
  </si>
  <si>
    <t>Hickory Falls Health And Rehabilitation</t>
  </si>
  <si>
    <t>Highland Acres Nursing And Rehabilitation Center</t>
  </si>
  <si>
    <t>Highland House Rehabilitation And Healthcare</t>
  </si>
  <si>
    <t>Hunter Hills Nursing And Rehabilitation Center</t>
  </si>
  <si>
    <t>1477137628</t>
  </si>
  <si>
    <t>Jacob'S Creek Nursing And Rehabilitation Center</t>
  </si>
  <si>
    <t>Kerr Lake Nursing And Rehabilitation Center</t>
  </si>
  <si>
    <t>Lenoir Memorial Hospital-Nf</t>
  </si>
  <si>
    <t>D</t>
  </si>
  <si>
    <t>MacGregor Downs Health Center by Harborview</t>
  </si>
  <si>
    <t>Macon Valley Nursing And Rehabilitation Center</t>
  </si>
  <si>
    <t>Madison Manor Rehabilitation And Nursing Center</t>
  </si>
  <si>
    <t>Maggie Valley Nursing And Rehabilitation</t>
  </si>
  <si>
    <t>Magnolia Lane Nursing And Rehabilitation Center</t>
  </si>
  <si>
    <t>Maple Grove Health And Rehabilitation Center</t>
  </si>
  <si>
    <t xml:space="preserve">Mecklenburg Health And Rehabilitation Center </t>
  </si>
  <si>
    <t>Monroe Rehabilitation Center</t>
  </si>
  <si>
    <t>Mount Olive Care And Rehabilitation Center</t>
  </si>
  <si>
    <t xml:space="preserve">Murphy Rehabilitation And Nursing </t>
  </si>
  <si>
    <t>Northchase Nursing And Rehabilitation Center</t>
  </si>
  <si>
    <t>Northhampton Nursing And Rehabilitation Center</t>
  </si>
  <si>
    <t>Oak Forest Health And Rehabilitation</t>
  </si>
  <si>
    <t>Parkview Health And Rehabilitation</t>
  </si>
  <si>
    <t>Pavillion Health Center At Brightmore</t>
  </si>
  <si>
    <t>Pembroke Care And Rehabilitation Center</t>
  </si>
  <si>
    <t>Pine Ridge Health And Rehabilitation Center</t>
  </si>
  <si>
    <t>Piney Grove Nursing And Rehabilitation Center</t>
  </si>
  <si>
    <t>Premier Nursing And Rehabilitation Center</t>
  </si>
  <si>
    <t>Presbyterian Orthopaedic Hospital, Llc</t>
  </si>
  <si>
    <t>Pruitthealth-Carolina Point</t>
  </si>
  <si>
    <t>Pruitthealth-Durham Llc</t>
  </si>
  <si>
    <t>Pruitthealth-Elkin</t>
  </si>
  <si>
    <t>Pruitthealth-Farmville</t>
  </si>
  <si>
    <t>Pruitthealth-High Point</t>
  </si>
  <si>
    <t>Pruitthealth-Neuse</t>
  </si>
  <si>
    <t>Pruitthealth-Raleigh</t>
  </si>
  <si>
    <t>Pruitthealth-Rockingham</t>
  </si>
  <si>
    <t>Pruitthealth-Sealevel</t>
  </si>
  <si>
    <t>Pruitthealth-Town Center</t>
  </si>
  <si>
    <t>Pruitthealth-Trent</t>
  </si>
  <si>
    <t>Pruitthealth-Union Pointe</t>
  </si>
  <si>
    <t>Quail Haven Healthcare Center Of Pinehurst</t>
  </si>
  <si>
    <t>Rich Square Nursing And Rehabilitation</t>
  </si>
  <si>
    <t>Richmond Pines Heathcare And Rehabilitation Center</t>
  </si>
  <si>
    <t>River Trace Nursing And Rehabilitation Center</t>
  </si>
  <si>
    <t>Riverpoint Crest Nursing And Rehabilitation Center</t>
  </si>
  <si>
    <t>Roanoke River Nursing And Rehabilitation Center</t>
  </si>
  <si>
    <t xml:space="preserve">Royal Park Rehabilitation &amp; Health Center Of Matthews </t>
  </si>
  <si>
    <t>Sampson Regional Medical Center</t>
  </si>
  <si>
    <t>Scottish Pines Rehabilitation And Nursing Center</t>
  </si>
  <si>
    <t>Senior Citizen'S Home, Inc.</t>
  </si>
  <si>
    <t>Signature Healthcare Of Chapel Hill</t>
  </si>
  <si>
    <t>Signature Healthcare Of Kinston</t>
  </si>
  <si>
    <t>Signature Healthcare Of Roanoke Rapids</t>
  </si>
  <si>
    <t>Siler City Care And Rehabilitation Center</t>
  </si>
  <si>
    <t>Smithfield Manor Nursing And Rehab</t>
  </si>
  <si>
    <t>Smoky Mountain Health And Rehabilitation Center</t>
  </si>
  <si>
    <t>Snug Harbor</t>
  </si>
  <si>
    <t>Southport Nursing Center</t>
  </si>
  <si>
    <t>Springbrook Nursing And Rehabilitation Center</t>
  </si>
  <si>
    <t>Stone Creek Health And Rehabilitation</t>
  </si>
  <si>
    <t>Summerstone Health And Rehabilitation Center</t>
  </si>
  <si>
    <t>Surry Community Health Ctr of Harborview</t>
  </si>
  <si>
    <t>The Greens At Pinehurst Rehab &amp; Living Center</t>
  </si>
  <si>
    <t>The Laurels Of Pender</t>
  </si>
  <si>
    <t>The Lodge At Mills River</t>
  </si>
  <si>
    <t>The Oaks At Whitaker Glen-Mayview</t>
  </si>
  <si>
    <t>Tower Nursing And Rehabilitation Center</t>
  </si>
  <si>
    <t>Triad Care And Rehabilitation Center</t>
  </si>
  <si>
    <t>Tsali Care Center</t>
  </si>
  <si>
    <t>Twin Lakes Community Memory Care</t>
  </si>
  <si>
    <t>Universal Health Care - Nashville</t>
  </si>
  <si>
    <t>Universal Healthcare of Fletcher</t>
  </si>
  <si>
    <t>Universal Healthcare of Ramseur</t>
  </si>
  <si>
    <t>University Place Nursing And Rehabiliation Center</t>
  </si>
  <si>
    <t>Village Green Health And Rehabilitation</t>
  </si>
  <si>
    <t>Wake Med For Zebulon</t>
  </si>
  <si>
    <t>Wakemed Fuquay Varina</t>
  </si>
  <si>
    <t>Warsaw Health And Rehab</t>
  </si>
  <si>
    <t>Wellington Nursing And Rehab Center</t>
  </si>
  <si>
    <t>Westfield Rehabilitation And Health Center</t>
  </si>
  <si>
    <t>Westwood Hills Nursing And Rehabilitation Center</t>
  </si>
  <si>
    <t>White Oak Of Waxhaw</t>
  </si>
  <si>
    <t>Whitestone:  A Masonic And Eastern Star Community</t>
  </si>
  <si>
    <t>Willow Creek Nursing And Rehabilitation Center</t>
  </si>
  <si>
    <t>Wilson Pines Nursing And Rehabilitation Center</t>
  </si>
  <si>
    <t>Wilson Rehabilitation And Nursing Ctr</t>
  </si>
  <si>
    <t>Woodhaven Nursing &amp; Alzheimer'S Care Ctr</t>
  </si>
  <si>
    <t>Renovation 1</t>
  </si>
  <si>
    <t>Type of Submission</t>
  </si>
  <si>
    <t>Year of Renovation</t>
  </si>
  <si>
    <t>Cost/# of Beds</t>
  </si>
  <si>
    <t>Renovation 2</t>
  </si>
  <si>
    <t>Renovation 3</t>
  </si>
  <si>
    <t>Renovation 4</t>
  </si>
  <si>
    <t>Renovation 5</t>
  </si>
  <si>
    <t>Renovation 6</t>
  </si>
  <si>
    <t>Types of Submissions:</t>
  </si>
  <si>
    <t>1 - bed addition</t>
  </si>
  <si>
    <t>2 - bed replacement</t>
  </si>
  <si>
    <t>3 - renovation</t>
  </si>
  <si>
    <t>Rate Calculation tab</t>
  </si>
  <si>
    <t>This tab shows the calculation of the total rate, including COVID rate enhancements and the rate hold harmless comparison.</t>
  </si>
  <si>
    <t>FRV Instructions tab</t>
  </si>
  <si>
    <t>This tab providers instructions on the completion of the FRV Rate Calculation tab.</t>
  </si>
  <si>
    <t>This tab shows the calculation of the current FRV rates as well as several FRV calculations, including those for a new facility of the same square footage, a new facility with the maximum square footage, and one reflecting user input variables.</t>
  </si>
  <si>
    <t>Capital Data Survey Information</t>
  </si>
  <si>
    <t>July 2022 Fee Schedule</t>
  </si>
  <si>
    <t>New Age - post renovation</t>
  </si>
  <si>
    <t>Below are the Capital Data Survey items submitted for years 2016 and later.  This information comes from the Medicaid rate model.</t>
  </si>
  <si>
    <t>This tab shows the Capital Data Survey items submitted for 2016 and later that are included in the Medicaid rate model.</t>
  </si>
  <si>
    <t>Facility Name (optional)</t>
  </si>
  <si>
    <t>Rate Model 3/31/2022 Medicaid CMI</t>
  </si>
  <si>
    <t>NPIs of "new" facilities in the rate model.</t>
  </si>
  <si>
    <t>Average Direct Rate</t>
  </si>
  <si>
    <t xml:space="preserve">This value changes each quarter.  </t>
  </si>
  <si>
    <t>Average CMI</t>
  </si>
  <si>
    <t>This value is used to normalize the average direct rate.</t>
  </si>
  <si>
    <t>CMI Percentage</t>
  </si>
  <si>
    <t>New facilities have 65% of the ceiling adjusted.</t>
  </si>
  <si>
    <t>CMI Portion</t>
  </si>
  <si>
    <t>Non-CMI Portion</t>
  </si>
  <si>
    <t>Medicaid CMI</t>
  </si>
  <si>
    <t>&lt;------- Enter the facility Medicaid CMI here.</t>
  </si>
  <si>
    <t>Direct Rate</t>
  </si>
  <si>
    <t>Total Direct and Indirect Rate</t>
  </si>
  <si>
    <t>FRV Rate</t>
  </si>
  <si>
    <t>&lt;----FRV rate goes here</t>
  </si>
  <si>
    <t>&lt;----Provider Assessment goes here</t>
  </si>
  <si>
    <t>Total Rate</t>
  </si>
  <si>
    <t>NOTE - Due to differences in the rate calculations, this direct rate calculation may not be suitable for facilities considered by the state to be "waiver hospitals".</t>
  </si>
  <si>
    <t>Changes made in this column will be reflected below and in the Hypothetical Rate Calculation in the Rate Calculation tab.</t>
  </si>
  <si>
    <t>2021 Historical Cost Index from Rate Model</t>
  </si>
  <si>
    <t>Accumulated Depreciation per Bed</t>
  </si>
  <si>
    <t>Revised Age</t>
  </si>
  <si>
    <t>Zip</t>
  </si>
  <si>
    <t>pt days</t>
  </si>
  <si>
    <t>annualized days</t>
  </si>
  <si>
    <t>beds</t>
  </si>
  <si>
    <t>1/1/23 to 3/31/2023</t>
  </si>
  <si>
    <t>Assessment Funded Rate Increase</t>
  </si>
  <si>
    <t>Medicaid Per Diem Rate (f+g+h+i+j)</t>
  </si>
  <si>
    <t>9/30/22 Medicaid CMI</t>
  </si>
  <si>
    <t>Nov-Dec Base Rate</t>
  </si>
  <si>
    <t>Minimum Days (c*366*.85)</t>
  </si>
  <si>
    <t>* Note: If the 01/01/2023 rates calculated to be lower than the 11/01/2022 rates, the 11/01/2022 rate remains effective 01/01/2023.</t>
  </si>
  <si>
    <r>
      <rPr>
        <b/>
        <sz val="10"/>
        <color rgb="FFFF0000"/>
        <rFont val="Arial"/>
        <family val="2"/>
      </rPr>
      <t>11/01/2022</t>
    </r>
    <r>
      <rPr>
        <b/>
        <sz val="10"/>
        <rFont val="Arial"/>
        <family val="2"/>
      </rPr>
      <t xml:space="preserve"> Final Rate
</t>
    </r>
  </si>
  <si>
    <t>01/01/2023 CMI</t>
  </si>
  <si>
    <t>01/01/2023 Indirect</t>
  </si>
  <si>
    <t>01/01/2023 Direct</t>
  </si>
  <si>
    <t>01/01/2023
FRV</t>
  </si>
  <si>
    <t>01/01/2023 Assessment</t>
  </si>
  <si>
    <r>
      <rPr>
        <b/>
        <sz val="10"/>
        <color rgb="FFFF0000"/>
        <rFont val="Arial"/>
        <family val="2"/>
      </rPr>
      <t>MM/DD/YYYY</t>
    </r>
    <r>
      <rPr>
        <b/>
        <sz val="10"/>
        <rFont val="Arial"/>
        <family val="2"/>
      </rPr>
      <t xml:space="preserve"> Rate
w/5% &amp; 10% Increases</t>
    </r>
  </si>
  <si>
    <r>
      <t xml:space="preserve">FINAL RATE
</t>
    </r>
    <r>
      <rPr>
        <b/>
        <sz val="10"/>
        <color rgb="FFFF0000"/>
        <rFont val="Arial"/>
        <family val="2"/>
      </rPr>
      <t>01/01/2023</t>
    </r>
  </si>
  <si>
    <t>COVID-19
Add-on</t>
  </si>
  <si>
    <t>COVID-19 Enhanced Rate</t>
  </si>
  <si>
    <t>Clayton Rehab and Healthcare Center</t>
  </si>
  <si>
    <t>Durham Rehab Operations, LLC</t>
  </si>
  <si>
    <t xml:space="preserve">Eden Rehab and Healthcare Center </t>
  </si>
  <si>
    <t>Goldsboro Rehab and Healthcare Center</t>
  </si>
  <si>
    <t xml:space="preserve">Greens at Cabarrus </t>
  </si>
  <si>
    <t>Hertford Rehab and Healthcare Center</t>
  </si>
  <si>
    <t xml:space="preserve">The Greens at Gastonia </t>
  </si>
  <si>
    <t xml:space="preserve">The Greens at Hendersonville </t>
  </si>
  <si>
    <t xml:space="preserve">The Greens at Hickory </t>
  </si>
  <si>
    <t xml:space="preserve">The Greens at Lincolnton </t>
  </si>
  <si>
    <t xml:space="preserve">The Greens at Maple Leaf </t>
  </si>
  <si>
    <t xml:space="preserve">The Greens at Spruce Pines </t>
  </si>
  <si>
    <t xml:space="preserve">The Greens at Viewmont </t>
  </si>
  <si>
    <t xml:space="preserve">The Greens at Weaverville </t>
  </si>
  <si>
    <t>Wallace Rehab and Healthcare Center</t>
  </si>
  <si>
    <t>Wilson Healthcare and Rehab Center</t>
  </si>
  <si>
    <t>Yanceyville Rehab and Healthcare Center</t>
  </si>
  <si>
    <t>IHS Skilled Nursing Facility</t>
  </si>
  <si>
    <t>11/1/2022 Final Rate</t>
  </si>
  <si>
    <t>CMI</t>
  </si>
  <si>
    <t xml:space="preserve"> Indirect</t>
  </si>
  <si>
    <t xml:space="preserve"> Direct</t>
  </si>
  <si>
    <t xml:space="preserve">
FRV</t>
  </si>
  <si>
    <t xml:space="preserve"> Assessment</t>
  </si>
  <si>
    <r>
      <rPr>
        <b/>
        <sz val="10"/>
        <color rgb="FFFF0000"/>
        <rFont val="Arial"/>
        <family val="2"/>
      </rPr>
      <t>7/1/XXXX</t>
    </r>
    <r>
      <rPr>
        <b/>
        <sz val="10"/>
        <rFont val="Arial"/>
        <family val="2"/>
      </rPr>
      <t xml:space="preserve"> Rate
w/5% &amp; 10% Increases</t>
    </r>
  </si>
  <si>
    <t>01/01/2023 FINAL RATE</t>
  </si>
  <si>
    <t>Cherokee Indian Hospital Authority</t>
  </si>
  <si>
    <t>Greater of k or l</t>
  </si>
  <si>
    <t>Jan 1-Mar 31, 2023 Medicaid Rate (m+n)</t>
  </si>
  <si>
    <r>
      <t xml:space="preserve">This spreadsheet allows the user to calculate nursing facility Medicaid rates according to the retroactively implemented rate changes effective January 1, 2023.  These rates include the modernized FRV system, time weighted case-mix and modified COVID rate enhancements. These rates use the Medicaid case-mix index for the quarter ending September 30, 2022.  </t>
    </r>
    <r>
      <rPr>
        <b/>
        <sz val="10"/>
        <rFont val="Arial"/>
        <family val="2"/>
      </rPr>
      <t>In order to use these worksheets, simply supply the requested information in the corresponding shaded cells.</t>
    </r>
  </si>
  <si>
    <t>This tab shows the January 2022 nursing facility Medicaid rate schedule prepared by NC Medicaid.</t>
  </si>
  <si>
    <t>The following schedule of the January-March 2023 nursing facility rates was prepared by the North Carolina Health Care Facilities Association (NCHCFA).  The original rate schedule posted by Medicaid included the provider assessment and the assessment funded rate increase in the direct rate amount.  The original rate schedule also included a column that listed the superseded assessment rates, however this column was not used in the calculation of the total rates.</t>
  </si>
  <si>
    <t>01/01/2023 Assessment Funded $31.90 Increase</t>
  </si>
  <si>
    <t>Note - The 5%, 10% and $47.50 were ended as of 12/31/2022.  A temporary $37.74 add-on started on 1/1/2023.  If the January base rate is less than the Nov-Dec base rate, the Nov-Dec rate is carried forward.</t>
  </si>
  <si>
    <t>**** - The direct rate calculation is different for "new" facilities.  A "new" facility is one that did not file a 2005 Medicaid cost report.  In addition, this calculation is not accurate for facilities considered by the state to be "waiver hospitals".</t>
  </si>
  <si>
    <t>* - A hypothetical rate can be calculated by entering any Medicaid CMI value.</t>
  </si>
  <si>
    <t>** - The FRV rate is inserted in the calculation based on the information NPI entered above.  There may be a minor difference due to specific facility situations.  To estimate impact of future FRV projects, enter the information on the FRV Rate Calculation tab.  Prior to using the FRV Rate Calculation tab, please read the FRV Instructions tab.</t>
  </si>
  <si>
    <t xml:space="preserve">Calculation of the FRV rates can be complex.  This Excel spreadsheet is designed to assist providers in the calculation and understanding of their FRV rates with minimal input.  </t>
  </si>
  <si>
    <t>This spreadsheet uses the same rate calculation methodology as the rate model used by the Division of Health Benefits (DHB), however, there may be minor differences due to rounding.  There may also be differences due to rate increase restrictions for providers above the maximum FRV age.  Only DHB can provide official notification of facility rates.</t>
  </si>
  <si>
    <r>
      <rPr>
        <b/>
        <sz val="10"/>
        <rFont val="Arial"/>
        <family val="2"/>
      </rPr>
      <t>User Defined Variables:</t>
    </r>
    <r>
      <rPr>
        <sz val="10"/>
        <rFont val="Arial"/>
        <family val="2"/>
      </rPr>
      <t xml:space="preserve"> This column allows the user to enter a hytpothetical square footage total and/or hypothetical renovation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</si>
</sst>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_);\(0\)"/>
    <numFmt numFmtId="166" formatCode="_(* #,##0.0_);_(* \(#,##0.0\);_(* &quot;-&quot;??_);_(@_)"/>
    <numFmt numFmtId="167" formatCode="0.000"/>
    <numFmt numFmtId="168" formatCode="0.0%"/>
    <numFmt numFmtId="169" formatCode="_(&quot;$&quot;* #,##0_);_(&quot;$&quot;* \(#,##0\);_(&quot;$&quot;* &quot;-&quot;??_);_(@_)"/>
    <numFmt numFmtId="170" formatCode="_(* #,##0.0000_);_(* \(#,##0.0000\);_(* &quot;-&quot;??_);_(@_)"/>
    <numFmt numFmtId="171" formatCode="&quot;$&quot;#,##0.00"/>
    <numFmt numFmtId="172" formatCode="_(* #,##0.0000000_);_(* \(#,##0.0000000\);_(* &quot;-&quot;??_);_(@_)"/>
  </numFmts>
  <fonts count="34"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color indexed="8"/>
      <name val="Arial"/>
      <family val="2"/>
    </font>
    <font>
      <b/>
      <sz val="10"/>
      <name val="Arial"/>
      <family val="2"/>
    </font>
    <font>
      <sz val="10"/>
      <name val="Arial"/>
      <family val="2"/>
    </font>
    <font>
      <b/>
      <sz val="8"/>
      <color indexed="8"/>
      <name val="Arial"/>
      <family val="2"/>
    </font>
    <font>
      <sz val="8"/>
      <color indexed="10"/>
      <name val="Arial"/>
      <family val="2"/>
    </font>
    <font>
      <sz val="8"/>
      <color indexed="8"/>
      <name val="Arial"/>
      <family val="2"/>
    </font>
    <font>
      <b/>
      <sz val="10"/>
      <color indexed="9"/>
      <name val="Arial"/>
      <family val="2"/>
    </font>
    <font>
      <sz val="10"/>
      <color indexed="9"/>
      <name val="Arial"/>
      <family val="2"/>
    </font>
    <font>
      <b/>
      <sz val="8"/>
      <color indexed="9"/>
      <name val="Arial"/>
      <family val="2"/>
    </font>
    <font>
      <b/>
      <sz val="18"/>
      <name val="Arial"/>
      <family val="2"/>
    </font>
    <font>
      <b/>
      <u/>
      <sz val="12"/>
      <name val="Arial"/>
      <family val="2"/>
    </font>
    <font>
      <sz val="10"/>
      <color indexed="8"/>
      <name val="Arial"/>
      <family val="2"/>
    </font>
    <font>
      <b/>
      <sz val="10"/>
      <color rgb="FFFF0000"/>
      <name val="Arial"/>
      <family val="2"/>
    </font>
    <font>
      <sz val="10"/>
      <color rgb="FFFF0000"/>
      <name val="Arial"/>
      <family val="2"/>
    </font>
    <font>
      <sz val="10"/>
      <color indexed="8"/>
      <name val="MS Sans Serif"/>
    </font>
    <font>
      <b/>
      <sz val="11"/>
      <color theme="1"/>
      <name val="Calibri"/>
      <family val="2"/>
      <scheme val="minor"/>
    </font>
    <font>
      <b/>
      <sz val="9"/>
      <color indexed="81"/>
      <name val="Tahoma"/>
      <family val="2"/>
    </font>
    <font>
      <sz val="9"/>
      <color indexed="81"/>
      <name val="Tahoma"/>
      <family val="2"/>
    </font>
    <font>
      <b/>
      <u/>
      <sz val="11"/>
      <color theme="1"/>
      <name val="Calibri"/>
      <family val="2"/>
      <scheme val="minor"/>
    </font>
    <font>
      <sz val="10"/>
      <color theme="1"/>
      <name val="Arial"/>
      <family val="2"/>
    </font>
    <font>
      <b/>
      <i/>
      <sz val="10"/>
      <color rgb="FFFF0000"/>
      <name val="Arial"/>
      <family val="2"/>
    </font>
    <font>
      <b/>
      <i/>
      <sz val="10"/>
      <name val="Arial"/>
      <family val="2"/>
    </font>
    <font>
      <sz val="9"/>
      <name val="Arial"/>
      <family val="2"/>
    </font>
    <font>
      <sz val="9"/>
      <name val="Times New Roman"/>
      <family val="1"/>
    </font>
    <font>
      <b/>
      <sz val="10"/>
      <color indexed="8"/>
      <name val="Arial"/>
      <family val="2"/>
    </font>
    <font>
      <sz val="9"/>
      <color rgb="FFFF0000"/>
      <name val="Arial"/>
      <family val="2"/>
    </font>
    <font>
      <sz val="10"/>
      <color indexed="8"/>
      <name val="Arial"/>
      <family val="2"/>
    </font>
    <font>
      <strike/>
      <sz val="10"/>
      <name val="Arial"/>
      <family val="2"/>
    </font>
    <font>
      <b/>
      <sz val="10"/>
      <color theme="8" tint="-0.249977111117893"/>
      <name val="Arial"/>
      <family val="2"/>
    </font>
  </fonts>
  <fills count="16">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indexed="43"/>
        <bgColor indexed="64"/>
      </patternFill>
    </fill>
    <fill>
      <patternFill patternType="solid">
        <fgColor rgb="FFFFFF9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4" tint="0.59999389629810485"/>
        <bgColor indexed="64"/>
      </patternFill>
    </fill>
  </fills>
  <borders count="19">
    <border>
      <left/>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9">
    <xf numFmtId="0" fontId="0" fillId="0" borderId="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16" fillId="0" borderId="0"/>
    <xf numFmtId="0" fontId="3" fillId="0" borderId="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19" fillId="0" borderId="0"/>
    <xf numFmtId="0" fontId="2" fillId="0" borderId="0"/>
    <xf numFmtId="44" fontId="2" fillId="0" borderId="0" applyFont="0" applyFill="0" applyBorder="0" applyAlignment="0" applyProtection="0"/>
    <xf numFmtId="0" fontId="5" fillId="0" borderId="0"/>
    <xf numFmtId="0" fontId="28" fillId="0" borderId="0"/>
    <xf numFmtId="0" fontId="31" fillId="0" borderId="0"/>
    <xf numFmtId="43" fontId="5" fillId="0" borderId="0" applyFont="0" applyFill="0" applyBorder="0" applyAlignment="0" applyProtection="0"/>
    <xf numFmtId="43" fontId="5"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cellStyleXfs>
  <cellXfs count="221">
    <xf numFmtId="0" fontId="0" fillId="0" borderId="0" xfId="0"/>
    <xf numFmtId="0" fontId="0" fillId="0" borderId="0" xfId="0" applyAlignment="1">
      <alignment horizontal="left"/>
    </xf>
    <xf numFmtId="0" fontId="12" fillId="0" borderId="0" xfId="0" applyFont="1"/>
    <xf numFmtId="164" fontId="0" fillId="0" borderId="0" xfId="0" applyNumberFormat="1"/>
    <xf numFmtId="43" fontId="0" fillId="0" borderId="0" xfId="0" applyNumberFormat="1"/>
    <xf numFmtId="0" fontId="6" fillId="0" borderId="0" xfId="0" applyFont="1"/>
    <xf numFmtId="0" fontId="14" fillId="0" borderId="0" xfId="0" applyFont="1" applyAlignment="1">
      <alignment horizontal="centerContinuous"/>
    </xf>
    <xf numFmtId="43" fontId="0" fillId="0" borderId="0" xfId="1" applyFont="1"/>
    <xf numFmtId="0" fontId="15"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1" xfId="0" applyBorder="1"/>
    <xf numFmtId="0" fontId="0" fillId="0" borderId="6" xfId="0" applyBorder="1"/>
    <xf numFmtId="164" fontId="0" fillId="0" borderId="0" xfId="1" applyNumberFormat="1" applyFont="1" applyFill="1"/>
    <xf numFmtId="0" fontId="0" fillId="0" borderId="7" xfId="0" applyBorder="1"/>
    <xf numFmtId="0" fontId="0" fillId="0" borderId="8" xfId="0" applyBorder="1"/>
    <xf numFmtId="170" fontId="0" fillId="0" borderId="0" xfId="1" applyNumberFormat="1" applyFont="1" applyBorder="1"/>
    <xf numFmtId="43" fontId="0" fillId="0" borderId="0" xfId="1" applyFont="1" applyFill="1"/>
    <xf numFmtId="10" fontId="0" fillId="0" borderId="0" xfId="10" applyNumberFormat="1" applyFont="1" applyBorder="1"/>
    <xf numFmtId="170" fontId="0" fillId="0" borderId="0" xfId="1" applyNumberFormat="1" applyFont="1" applyFill="1"/>
    <xf numFmtId="44" fontId="0" fillId="0" borderId="0" xfId="0" applyNumberFormat="1"/>
    <xf numFmtId="0" fontId="12" fillId="2" borderId="0" xfId="9" applyFont="1" applyFill="1"/>
    <xf numFmtId="0" fontId="12" fillId="2" borderId="0" xfId="9" applyFont="1" applyFill="1" applyAlignment="1">
      <alignment horizontal="left"/>
    </xf>
    <xf numFmtId="0" fontId="13" fillId="2" borderId="10" xfId="9" applyFont="1" applyFill="1" applyBorder="1" applyAlignment="1">
      <alignment horizontal="center"/>
    </xf>
    <xf numFmtId="0" fontId="13" fillId="2" borderId="10" xfId="9" applyFont="1" applyFill="1" applyBorder="1" applyAlignment="1">
      <alignment horizontal="left"/>
    </xf>
    <xf numFmtId="0" fontId="9" fillId="0" borderId="11" xfId="9" applyFont="1" applyBorder="1" applyAlignment="1">
      <alignment horizontal="center"/>
    </xf>
    <xf numFmtId="0" fontId="8" fillId="0" borderId="11" xfId="9" applyFont="1" applyBorder="1" applyAlignment="1">
      <alignment horizontal="left"/>
    </xf>
    <xf numFmtId="0" fontId="8" fillId="0" borderId="10" xfId="9" applyFont="1" applyBorder="1" applyAlignment="1">
      <alignment horizontal="left"/>
    </xf>
    <xf numFmtId="0" fontId="7" fillId="0" borderId="0" xfId="0" applyFont="1"/>
    <xf numFmtId="44" fontId="0" fillId="0" borderId="0" xfId="4" applyFont="1" applyBorder="1"/>
    <xf numFmtId="0" fontId="3" fillId="0" borderId="0" xfId="0" applyFont="1"/>
    <xf numFmtId="0" fontId="3" fillId="0" borderId="7" xfId="0" applyFont="1" applyBorder="1" applyAlignment="1">
      <alignment horizontal="center"/>
    </xf>
    <xf numFmtId="0" fontId="0" fillId="0" borderId="7" xfId="0" applyBorder="1" applyAlignment="1">
      <alignment horizontal="center"/>
    </xf>
    <xf numFmtId="44" fontId="3" fillId="0" borderId="0" xfId="4" applyFont="1" applyBorder="1"/>
    <xf numFmtId="44" fontId="3" fillId="0" borderId="0" xfId="4" applyFont="1" applyFill="1" applyBorder="1"/>
    <xf numFmtId="10" fontId="3" fillId="0" borderId="0" xfId="10" applyNumberFormat="1" applyFont="1"/>
    <xf numFmtId="44" fontId="0" fillId="0" borderId="0" xfId="4" applyFont="1"/>
    <xf numFmtId="0" fontId="0" fillId="0" borderId="0" xfId="0" applyAlignment="1">
      <alignment horizontal="center"/>
    </xf>
    <xf numFmtId="0" fontId="11" fillId="2" borderId="12" xfId="9" applyFont="1" applyFill="1" applyBorder="1" applyAlignment="1">
      <alignment horizontal="center"/>
    </xf>
    <xf numFmtId="165" fontId="0" fillId="3" borderId="0" xfId="1" applyNumberFormat="1" applyFont="1" applyFill="1" applyProtection="1">
      <protection locked="0"/>
    </xf>
    <xf numFmtId="0" fontId="0" fillId="0" borderId="0" xfId="0" applyAlignment="1">
      <alignment wrapText="1"/>
    </xf>
    <xf numFmtId="0" fontId="3" fillId="3" borderId="0" xfId="0" applyFont="1" applyFill="1" applyProtection="1">
      <protection locked="0"/>
    </xf>
    <xf numFmtId="0" fontId="0" fillId="0" borderId="0" xfId="0" applyProtection="1">
      <protection locked="0"/>
    </xf>
    <xf numFmtId="9" fontId="0" fillId="0" borderId="0" xfId="10" applyFont="1"/>
    <xf numFmtId="168" fontId="0" fillId="0" borderId="0" xfId="10" applyNumberFormat="1" applyFont="1"/>
    <xf numFmtId="166" fontId="0" fillId="0" borderId="0" xfId="1" applyNumberFormat="1" applyFont="1"/>
    <xf numFmtId="164" fontId="0" fillId="0" borderId="0" xfId="1" applyNumberFormat="1" applyFont="1"/>
    <xf numFmtId="4" fontId="10" fillId="0" borderId="10" xfId="9" applyNumberFormat="1" applyFont="1" applyBorder="1"/>
    <xf numFmtId="166" fontId="0" fillId="4" borderId="0" xfId="1" applyNumberFormat="1" applyFont="1" applyFill="1"/>
    <xf numFmtId="0" fontId="0" fillId="0" borderId="0" xfId="0" applyAlignment="1">
      <alignment horizontal="center" wrapText="1"/>
    </xf>
    <xf numFmtId="165" fontId="0" fillId="0" borderId="0" xfId="1" applyNumberFormat="1" applyFont="1" applyFill="1"/>
    <xf numFmtId="0" fontId="0" fillId="0" borderId="0" xfId="0" applyAlignment="1">
      <alignment horizontal="right"/>
    </xf>
    <xf numFmtId="0" fontId="23" fillId="0" borderId="0" xfId="0" applyFont="1"/>
    <xf numFmtId="39" fontId="20" fillId="0" borderId="0" xfId="1" applyNumberFormat="1" applyFont="1" applyFill="1"/>
    <xf numFmtId="169" fontId="0" fillId="0" borderId="0" xfId="4" applyNumberFormat="1" applyFont="1"/>
    <xf numFmtId="169" fontId="0" fillId="0" borderId="0" xfId="0" applyNumberFormat="1"/>
    <xf numFmtId="44" fontId="20" fillId="0" borderId="1" xfId="4" applyFont="1" applyBorder="1"/>
    <xf numFmtId="0" fontId="20" fillId="0" borderId="0" xfId="0" applyFont="1"/>
    <xf numFmtId="0" fontId="20" fillId="0" borderId="12" xfId="0" applyFont="1" applyBorder="1"/>
    <xf numFmtId="2" fontId="0" fillId="0" borderId="0" xfId="0" applyNumberFormat="1"/>
    <xf numFmtId="2" fontId="0" fillId="0" borderId="12" xfId="0" applyNumberFormat="1" applyBorder="1"/>
    <xf numFmtId="43" fontId="3" fillId="0" borderId="0" xfId="1" applyFont="1"/>
    <xf numFmtId="164" fontId="0" fillId="5" borderId="0" xfId="1" applyNumberFormat="1" applyFont="1" applyFill="1" applyProtection="1">
      <protection locked="0"/>
    </xf>
    <xf numFmtId="169" fontId="0" fillId="5" borderId="0" xfId="4" applyNumberFormat="1" applyFont="1" applyFill="1" applyProtection="1">
      <protection locked="0"/>
    </xf>
    <xf numFmtId="0" fontId="3" fillId="0" borderId="0" xfId="0" quotePrefix="1" applyFont="1"/>
    <xf numFmtId="164" fontId="3" fillId="0" borderId="0" xfId="1" applyNumberFormat="1" applyFont="1"/>
    <xf numFmtId="10" fontId="3" fillId="0" borderId="0" xfId="10" applyNumberFormat="1" applyFont="1" applyAlignment="1">
      <alignment wrapText="1"/>
    </xf>
    <xf numFmtId="0" fontId="6" fillId="6" borderId="14" xfId="14" applyFont="1" applyFill="1" applyBorder="1" applyAlignment="1">
      <alignment horizontal="center" wrapText="1"/>
    </xf>
    <xf numFmtId="15" fontId="6" fillId="6" borderId="14" xfId="7" quotePrefix="1" applyNumberFormat="1" applyFont="1" applyFill="1" applyBorder="1" applyAlignment="1">
      <alignment horizontal="center" wrapText="1"/>
    </xf>
    <xf numFmtId="15" fontId="6" fillId="6" borderId="10" xfId="7" quotePrefix="1" applyNumberFormat="1" applyFont="1" applyFill="1" applyBorder="1" applyAlignment="1">
      <alignment horizontal="center" wrapText="1"/>
    </xf>
    <xf numFmtId="0" fontId="6" fillId="0" borderId="10" xfId="7" applyFont="1" applyBorder="1" applyAlignment="1">
      <alignment horizontal="center" wrapText="1"/>
    </xf>
    <xf numFmtId="0" fontId="3" fillId="0" borderId="10" xfId="17" applyFont="1" applyBorder="1" applyAlignment="1">
      <alignment wrapText="1"/>
    </xf>
    <xf numFmtId="0" fontId="3" fillId="0" borderId="10" xfId="17" applyFont="1" applyBorder="1"/>
    <xf numFmtId="171" fontId="3" fillId="0" borderId="10" xfId="7" applyNumberFormat="1" applyFont="1" applyBorder="1"/>
    <xf numFmtId="43" fontId="3" fillId="0" borderId="15" xfId="7" applyNumberFormat="1" applyFont="1" applyBorder="1"/>
    <xf numFmtId="0" fontId="3" fillId="0" borderId="10" xfId="7" applyFont="1" applyBorder="1"/>
    <xf numFmtId="171" fontId="3" fillId="0" borderId="10" xfId="7" applyNumberFormat="1" applyFont="1" applyBorder="1" applyAlignment="1">
      <alignment horizontal="center"/>
    </xf>
    <xf numFmtId="44" fontId="6" fillId="6" borderId="10" xfId="13" applyFont="1" applyFill="1" applyBorder="1" applyAlignment="1">
      <alignment horizontal="center" wrapText="1"/>
    </xf>
    <xf numFmtId="43" fontId="3" fillId="0" borderId="0" xfId="1" applyFont="1" applyAlignment="1">
      <alignment wrapText="1"/>
    </xf>
    <xf numFmtId="164" fontId="3" fillId="0" borderId="0" xfId="1" applyNumberFormat="1" applyFont="1" applyAlignment="1">
      <alignment wrapText="1"/>
    </xf>
    <xf numFmtId="8" fontId="0" fillId="0" borderId="9" xfId="0" applyNumberFormat="1" applyBorder="1"/>
    <xf numFmtId="8" fontId="0" fillId="0" borderId="0" xfId="0" applyNumberFormat="1"/>
    <xf numFmtId="170" fontId="0" fillId="7" borderId="0" xfId="1" applyNumberFormat="1" applyFont="1" applyFill="1" applyProtection="1">
      <protection locked="0"/>
    </xf>
    <xf numFmtId="164" fontId="3" fillId="0" borderId="0" xfId="1" applyNumberFormat="1" applyFont="1" applyFill="1"/>
    <xf numFmtId="165" fontId="26" fillId="0" borderId="0" xfId="1" applyNumberFormat="1" applyFont="1" applyFill="1"/>
    <xf numFmtId="37" fontId="26" fillId="0" borderId="0" xfId="1" applyNumberFormat="1" applyFont="1" applyFill="1"/>
    <xf numFmtId="39" fontId="26" fillId="0" borderId="0" xfId="1" applyNumberFormat="1" applyFont="1" applyFill="1"/>
    <xf numFmtId="44" fontId="0" fillId="0" borderId="0" xfId="4" applyFont="1" applyFill="1"/>
    <xf numFmtId="164" fontId="0" fillId="0" borderId="0" xfId="1" applyNumberFormat="1" applyFont="1" applyFill="1" applyProtection="1">
      <protection locked="0"/>
    </xf>
    <xf numFmtId="0" fontId="3" fillId="0" borderId="0" xfId="0" applyFont="1" applyAlignment="1">
      <alignment horizontal="center" wrapText="1"/>
    </xf>
    <xf numFmtId="0" fontId="3" fillId="0" borderId="0" xfId="0" applyFont="1" applyAlignment="1">
      <alignment horizontal="left"/>
    </xf>
    <xf numFmtId="0" fontId="3" fillId="0" borderId="0" xfId="9" applyAlignment="1">
      <alignment horizontal="left"/>
    </xf>
    <xf numFmtId="0" fontId="11" fillId="2" borderId="0" xfId="18" applyFont="1" applyFill="1" applyAlignment="1" applyProtection="1">
      <alignment horizontal="centerContinuous" wrapText="1"/>
      <protection locked="0"/>
    </xf>
    <xf numFmtId="37" fontId="11" fillId="2" borderId="0" xfId="18" applyNumberFormat="1" applyFont="1" applyFill="1" applyAlignment="1" applyProtection="1">
      <alignment horizontal="centerContinuous" wrapText="1"/>
      <protection locked="0"/>
    </xf>
    <xf numFmtId="0" fontId="29" fillId="0" borderId="0" xfId="18" applyFont="1" applyAlignment="1">
      <alignment horizontal="center" wrapText="1"/>
    </xf>
    <xf numFmtId="0" fontId="6" fillId="0" borderId="0" xfId="18" applyFont="1" applyAlignment="1" applyProtection="1">
      <alignment horizontal="left" wrapText="1"/>
      <protection locked="0"/>
    </xf>
    <xf numFmtId="0" fontId="6" fillId="0" borderId="0" xfId="18" applyFont="1" applyAlignment="1" applyProtection="1">
      <alignment horizontal="centerContinuous" wrapText="1"/>
      <protection locked="0"/>
    </xf>
    <xf numFmtId="0" fontId="29" fillId="0" borderId="0" xfId="18" applyFont="1" applyAlignment="1" applyProtection="1">
      <alignment horizontal="centerContinuous" wrapText="1"/>
      <protection locked="0"/>
    </xf>
    <xf numFmtId="37" fontId="29" fillId="0" borderId="0" xfId="18" applyNumberFormat="1" applyFont="1" applyAlignment="1" applyProtection="1">
      <alignment horizontal="centerContinuous" wrapText="1"/>
      <protection locked="0"/>
    </xf>
    <xf numFmtId="0" fontId="29" fillId="0" borderId="0" xfId="18" applyFont="1" applyAlignment="1">
      <alignment wrapText="1"/>
    </xf>
    <xf numFmtId="0" fontId="6" fillId="0" borderId="0" xfId="18" applyFont="1" applyAlignment="1" applyProtection="1">
      <alignment horizontal="center" wrapText="1"/>
      <protection locked="0"/>
    </xf>
    <xf numFmtId="0" fontId="24" fillId="0" borderId="0" xfId="18" applyFont="1" applyAlignment="1" applyProtection="1">
      <alignment horizontal="left"/>
      <protection locked="0"/>
    </xf>
    <xf numFmtId="0" fontId="24" fillId="8" borderId="0" xfId="18" applyFont="1" applyFill="1" applyProtection="1">
      <protection locked="0"/>
    </xf>
    <xf numFmtId="37" fontId="24" fillId="8" borderId="0" xfId="18" applyNumberFormat="1" applyFont="1" applyFill="1" applyProtection="1">
      <protection locked="0"/>
    </xf>
    <xf numFmtId="0" fontId="24" fillId="0" borderId="0" xfId="18" applyFont="1"/>
    <xf numFmtId="0" fontId="24" fillId="0" borderId="0" xfId="9" applyFont="1" applyAlignment="1">
      <alignment horizontal="left"/>
    </xf>
    <xf numFmtId="0" fontId="24" fillId="9" borderId="0" xfId="18" applyFont="1" applyFill="1" applyProtection="1">
      <protection locked="0"/>
    </xf>
    <xf numFmtId="37" fontId="24" fillId="9" borderId="0" xfId="18" applyNumberFormat="1" applyFont="1" applyFill="1" applyProtection="1">
      <protection locked="0"/>
    </xf>
    <xf numFmtId="0" fontId="24" fillId="9" borderId="0" xfId="18" applyFont="1" applyFill="1"/>
    <xf numFmtId="0" fontId="24" fillId="0" borderId="0" xfId="18" applyFont="1" applyProtection="1">
      <protection locked="0"/>
    </xf>
    <xf numFmtId="37" fontId="24" fillId="0" borderId="0" xfId="18" applyNumberFormat="1" applyFont="1" applyProtection="1">
      <protection locked="0"/>
    </xf>
    <xf numFmtId="0" fontId="24" fillId="0" borderId="0" xfId="9" applyFont="1"/>
    <xf numFmtId="0" fontId="4" fillId="0" borderId="16" xfId="0" applyFont="1" applyBorder="1" applyAlignment="1">
      <alignment wrapText="1"/>
    </xf>
    <xf numFmtId="0" fontId="4" fillId="0" borderId="0" xfId="0" applyFont="1"/>
    <xf numFmtId="0" fontId="4" fillId="0" borderId="0" xfId="17" quotePrefix="1" applyFont="1" applyAlignment="1">
      <alignment wrapText="1"/>
    </xf>
    <xf numFmtId="0" fontId="4" fillId="0" borderId="16" xfId="17" applyFont="1" applyBorder="1" applyAlignment="1">
      <alignment wrapText="1"/>
    </xf>
    <xf numFmtId="0" fontId="24" fillId="0" borderId="0" xfId="0" applyFont="1"/>
    <xf numFmtId="0" fontId="24" fillId="10" borderId="0" xfId="18" applyFont="1" applyFill="1" applyProtection="1">
      <protection locked="0"/>
    </xf>
    <xf numFmtId="0" fontId="24" fillId="0" borderId="16" xfId="18" applyFont="1" applyBorder="1" applyAlignment="1" applyProtection="1">
      <alignment horizontal="left"/>
      <protection locked="0"/>
    </xf>
    <xf numFmtId="0" fontId="24" fillId="0" borderId="16" xfId="9" applyFont="1" applyBorder="1" applyAlignment="1">
      <alignment horizontal="left"/>
    </xf>
    <xf numFmtId="0" fontId="3" fillId="0" borderId="0" xfId="9"/>
    <xf numFmtId="165" fontId="0" fillId="0" borderId="0" xfId="1" applyNumberFormat="1" applyFont="1" applyFill="1" applyProtection="1">
      <protection locked="0"/>
    </xf>
    <xf numFmtId="165" fontId="0" fillId="0" borderId="0" xfId="1" applyNumberFormat="1" applyFont="1"/>
    <xf numFmtId="165" fontId="0" fillId="0" borderId="0" xfId="0" applyNumberFormat="1"/>
    <xf numFmtId="167" fontId="20" fillId="0" borderId="0" xfId="0" applyNumberFormat="1" applyFont="1"/>
    <xf numFmtId="2" fontId="6" fillId="11" borderId="0" xfId="0" applyNumberFormat="1" applyFont="1" applyFill="1"/>
    <xf numFmtId="167" fontId="2" fillId="4" borderId="0" xfId="0" applyNumberFormat="1" applyFont="1" applyFill="1"/>
    <xf numFmtId="0" fontId="3" fillId="0" borderId="0" xfId="0" applyFont="1" applyAlignment="1">
      <alignment horizontal="right"/>
    </xf>
    <xf numFmtId="165" fontId="6" fillId="0" borderId="0" xfId="1" applyNumberFormat="1" applyFont="1" applyFill="1" applyProtection="1">
      <protection locked="0"/>
    </xf>
    <xf numFmtId="165" fontId="6" fillId="0" borderId="0" xfId="1" applyNumberFormat="1" applyFont="1" applyFill="1" applyProtection="1"/>
    <xf numFmtId="44" fontId="3" fillId="0" borderId="0" xfId="4" applyFont="1"/>
    <xf numFmtId="43" fontId="0" fillId="0" borderId="0" xfId="1" applyFont="1" applyFill="1" applyProtection="1"/>
    <xf numFmtId="170" fontId="3" fillId="0" borderId="0" xfId="1" applyNumberFormat="1" applyFont="1"/>
    <xf numFmtId="170" fontId="0" fillId="0" borderId="0" xfId="1" applyNumberFormat="1" applyFont="1" applyFill="1" applyProtection="1"/>
    <xf numFmtId="0" fontId="4" fillId="0" borderId="0" xfId="17" applyFont="1" applyAlignment="1">
      <alignment wrapText="1"/>
    </xf>
    <xf numFmtId="0" fontId="20" fillId="0" borderId="0" xfId="0" applyFont="1" applyAlignment="1">
      <alignment horizontal="center"/>
    </xf>
    <xf numFmtId="14" fontId="20" fillId="0" borderId="0" xfId="0" applyNumberFormat="1" applyFont="1" applyAlignment="1">
      <alignment horizontal="center"/>
    </xf>
    <xf numFmtId="44" fontId="0" fillId="12" borderId="0" xfId="0" applyNumberFormat="1" applyFill="1" applyAlignment="1">
      <alignment horizontal="center"/>
    </xf>
    <xf numFmtId="0" fontId="0" fillId="12" borderId="0" xfId="0" applyFill="1"/>
    <xf numFmtId="170" fontId="0" fillId="13" borderId="0" xfId="1" applyNumberFormat="1" applyFont="1" applyFill="1" applyAlignment="1">
      <alignment horizontal="center"/>
    </xf>
    <xf numFmtId="44" fontId="0" fillId="13" borderId="0" xfId="0" applyNumberFormat="1" applyFill="1" applyAlignment="1">
      <alignment horizontal="center"/>
    </xf>
    <xf numFmtId="0" fontId="0" fillId="13" borderId="0" xfId="0" applyFill="1"/>
    <xf numFmtId="10" fontId="0" fillId="14" borderId="0" xfId="10" applyNumberFormat="1" applyFont="1" applyFill="1"/>
    <xf numFmtId="10" fontId="0" fillId="14" borderId="0" xfId="10" applyNumberFormat="1" applyFont="1" applyFill="1" applyAlignment="1">
      <alignment horizontal="right"/>
    </xf>
    <xf numFmtId="44" fontId="0" fillId="14" borderId="0" xfId="0" applyNumberFormat="1" applyFill="1" applyAlignment="1">
      <alignment horizontal="center"/>
    </xf>
    <xf numFmtId="0" fontId="0" fillId="14" borderId="0" xfId="0" applyFill="1"/>
    <xf numFmtId="44" fontId="0" fillId="0" borderId="0" xfId="4" applyFont="1" applyAlignment="1">
      <alignment horizontal="center"/>
    </xf>
    <xf numFmtId="170" fontId="0" fillId="0" borderId="0" xfId="1" applyNumberFormat="1" applyFont="1"/>
    <xf numFmtId="170" fontId="0" fillId="5" borderId="0" xfId="1" applyNumberFormat="1" applyFont="1" applyFill="1"/>
    <xf numFmtId="0" fontId="0" fillId="0" borderId="0" xfId="0" quotePrefix="1"/>
    <xf numFmtId="44" fontId="20" fillId="0" borderId="0" xfId="0" applyNumberFormat="1" applyFont="1"/>
    <xf numFmtId="44" fontId="0" fillId="5" borderId="0" xfId="4" applyFont="1" applyFill="1"/>
    <xf numFmtId="44" fontId="0" fillId="0" borderId="9" xfId="0" applyNumberFormat="1" applyBorder="1"/>
    <xf numFmtId="170" fontId="3" fillId="0" borderId="0" xfId="1" applyNumberFormat="1" applyFont="1" applyBorder="1"/>
    <xf numFmtId="0" fontId="3" fillId="0" borderId="0" xfId="0" applyFont="1" applyProtection="1">
      <protection locked="0"/>
    </xf>
    <xf numFmtId="44" fontId="0" fillId="0" borderId="0" xfId="10" applyNumberFormat="1" applyFont="1" applyBorder="1" applyAlignment="1">
      <alignment horizontal="center"/>
    </xf>
    <xf numFmtId="0" fontId="3" fillId="6" borderId="0" xfId="0" applyFont="1" applyFill="1" applyAlignment="1">
      <alignment horizontal="center" wrapText="1"/>
    </xf>
    <xf numFmtId="0" fontId="6" fillId="6" borderId="0" xfId="0" applyFont="1" applyFill="1" applyAlignment="1">
      <alignment horizontal="left" wrapText="1"/>
    </xf>
    <xf numFmtId="43" fontId="2" fillId="4" borderId="0" xfId="0" applyNumberFormat="1" applyFont="1" applyFill="1"/>
    <xf numFmtId="172" fontId="0" fillId="0" borderId="0" xfId="1" applyNumberFormat="1" applyFont="1"/>
    <xf numFmtId="0" fontId="3" fillId="0" borderId="0" xfId="7" applyFont="1"/>
    <xf numFmtId="15" fontId="6" fillId="15" borderId="14" xfId="7" quotePrefix="1" applyNumberFormat="1" applyFont="1" applyFill="1" applyBorder="1" applyAlignment="1">
      <alignment horizontal="center" wrapText="1"/>
    </xf>
    <xf numFmtId="15" fontId="6" fillId="0" borderId="13" xfId="7" quotePrefix="1" applyNumberFormat="1" applyFont="1" applyBorder="1" applyAlignment="1">
      <alignment horizontal="center" wrapText="1"/>
    </xf>
    <xf numFmtId="171" fontId="3" fillId="0" borderId="0" xfId="7" applyNumberFormat="1" applyFont="1"/>
    <xf numFmtId="43" fontId="3" fillId="0" borderId="0" xfId="7" applyNumberFormat="1" applyFont="1"/>
    <xf numFmtId="0" fontId="32" fillId="0" borderId="0" xfId="0" applyFont="1"/>
    <xf numFmtId="9" fontId="32" fillId="0" borderId="0" xfId="10" applyFont="1" applyBorder="1"/>
    <xf numFmtId="165" fontId="3" fillId="0" borderId="0" xfId="1" applyNumberFormat="1" applyFont="1" applyAlignment="1">
      <alignment wrapText="1"/>
    </xf>
    <xf numFmtId="165" fontId="3" fillId="0" borderId="0" xfId="1" applyNumberFormat="1" applyFont="1"/>
    <xf numFmtId="164" fontId="3" fillId="0" borderId="0" xfId="1" applyNumberFormat="1" applyFont="1" applyFill="1" applyAlignment="1">
      <alignment wrapText="1"/>
    </xf>
    <xf numFmtId="10" fontId="3" fillId="0" borderId="0" xfId="10" applyNumberFormat="1" applyFont="1" applyFill="1" applyAlignment="1">
      <alignment wrapText="1"/>
    </xf>
    <xf numFmtId="43" fontId="3" fillId="0" borderId="0" xfId="1" applyFont="1" applyFill="1" applyAlignment="1">
      <alignment wrapText="1"/>
    </xf>
    <xf numFmtId="0" fontId="6" fillId="6" borderId="14" xfId="14" applyFont="1" applyFill="1" applyBorder="1" applyAlignment="1" applyProtection="1">
      <alignment horizontal="center" wrapText="1"/>
      <protection locked="0"/>
    </xf>
    <xf numFmtId="15" fontId="6" fillId="15" borderId="14" xfId="7" quotePrefix="1" applyNumberFormat="1" applyFont="1" applyFill="1" applyBorder="1" applyAlignment="1" applyProtection="1">
      <alignment horizontal="center" wrapText="1"/>
      <protection locked="0"/>
    </xf>
    <xf numFmtId="15" fontId="6" fillId="6" borderId="14" xfId="7" quotePrefix="1" applyNumberFormat="1" applyFont="1" applyFill="1" applyBorder="1" applyAlignment="1" applyProtection="1">
      <alignment horizontal="center" wrapText="1"/>
      <protection locked="0"/>
    </xf>
    <xf numFmtId="15" fontId="6" fillId="0" borderId="13" xfId="7" quotePrefix="1" applyNumberFormat="1" applyFont="1" applyBorder="1" applyAlignment="1" applyProtection="1">
      <alignment horizontal="center" wrapText="1"/>
      <protection locked="0"/>
    </xf>
    <xf numFmtId="15" fontId="6" fillId="6" borderId="10" xfId="7" quotePrefix="1" applyNumberFormat="1" applyFont="1" applyFill="1" applyBorder="1" applyAlignment="1" applyProtection="1">
      <alignment horizontal="center" wrapText="1"/>
      <protection locked="0"/>
    </xf>
    <xf numFmtId="0" fontId="6" fillId="0" borderId="10" xfId="7" applyFont="1" applyBorder="1" applyAlignment="1" applyProtection="1">
      <alignment horizontal="center" wrapText="1"/>
      <protection locked="0"/>
    </xf>
    <xf numFmtId="0" fontId="6" fillId="6" borderId="10" xfId="7" applyFont="1" applyFill="1" applyBorder="1" applyAlignment="1" applyProtection="1">
      <alignment horizontal="center" wrapText="1"/>
      <protection locked="0"/>
    </xf>
    <xf numFmtId="170" fontId="3" fillId="0" borderId="10" xfId="2" applyNumberFormat="1" applyFont="1" applyFill="1" applyBorder="1" applyProtection="1"/>
    <xf numFmtId="43" fontId="3" fillId="0" borderId="10" xfId="2" applyFont="1" applyFill="1" applyBorder="1" applyProtection="1"/>
    <xf numFmtId="0" fontId="3" fillId="0" borderId="0" xfId="17" applyFont="1" applyAlignment="1">
      <alignment wrapText="1"/>
    </xf>
    <xf numFmtId="0" fontId="3" fillId="0" borderId="0" xfId="17" applyFont="1"/>
    <xf numFmtId="170" fontId="3" fillId="0" borderId="0" xfId="2" applyNumberFormat="1" applyFont="1" applyFill="1" applyBorder="1"/>
    <xf numFmtId="43" fontId="3" fillId="0" borderId="0" xfId="2" applyFont="1" applyFill="1" applyBorder="1"/>
    <xf numFmtId="171" fontId="3" fillId="0" borderId="0" xfId="7" applyNumberFormat="1" applyFont="1" applyAlignment="1">
      <alignment horizontal="center"/>
    </xf>
    <xf numFmtId="0" fontId="33" fillId="0" borderId="0" xfId="7" applyFont="1"/>
    <xf numFmtId="8" fontId="3" fillId="0" borderId="10" xfId="2" applyNumberFormat="1" applyFont="1" applyBorder="1" applyProtection="1">
      <protection locked="0"/>
    </xf>
    <xf numFmtId="8" fontId="3" fillId="0" borderId="10" xfId="2" applyNumberFormat="1" applyFont="1" applyBorder="1" applyAlignment="1" applyProtection="1">
      <alignment horizontal="center"/>
      <protection locked="0"/>
    </xf>
    <xf numFmtId="43" fontId="3" fillId="0" borderId="10" xfId="2" applyFont="1" applyFill="1" applyBorder="1" applyProtection="1">
      <protection locked="0"/>
    </xf>
    <xf numFmtId="44" fontId="3" fillId="0" borderId="10" xfId="13" applyFont="1" applyFill="1" applyBorder="1" applyProtection="1">
      <protection locked="0"/>
    </xf>
    <xf numFmtId="171" fontId="0" fillId="0" borderId="0" xfId="0" applyNumberFormat="1"/>
    <xf numFmtId="0" fontId="3" fillId="0" borderId="0" xfId="0" applyFont="1" applyAlignment="1">
      <alignment wrapText="1"/>
    </xf>
    <xf numFmtId="0" fontId="0" fillId="0" borderId="0" xfId="0" applyAlignment="1">
      <alignment wrapText="1"/>
    </xf>
    <xf numFmtId="0" fontId="17" fillId="0" borderId="0" xfId="0" applyFont="1" applyAlignment="1">
      <alignment wrapText="1"/>
    </xf>
    <xf numFmtId="0" fontId="3" fillId="0" borderId="0" xfId="0" applyFont="1" applyAlignment="1">
      <alignment vertical="top" wrapText="1"/>
    </xf>
    <xf numFmtId="0" fontId="0" fillId="0" borderId="0" xfId="0" applyAlignment="1">
      <alignment vertical="top" wrapText="1"/>
    </xf>
    <xf numFmtId="0" fontId="30" fillId="0" borderId="0" xfId="0" applyFont="1" applyAlignment="1">
      <alignment vertical="top" wrapText="1"/>
    </xf>
    <xf numFmtId="0" fontId="18" fillId="0" borderId="0" xfId="0" applyFont="1" applyAlignment="1">
      <alignment vertical="top" wrapText="1"/>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17" fillId="0" borderId="7" xfId="0" applyFont="1" applyBorder="1" applyAlignment="1">
      <alignment horizontal="center"/>
    </xf>
    <xf numFmtId="0" fontId="17" fillId="0" borderId="0" xfId="0" applyFont="1" applyAlignment="1">
      <alignment horizontal="center"/>
    </xf>
    <xf numFmtId="0" fontId="17" fillId="0" borderId="8" xfId="0" applyFont="1" applyBorder="1" applyAlignment="1">
      <alignment horizontal="center"/>
    </xf>
    <xf numFmtId="0" fontId="27" fillId="0" borderId="0" xfId="0" applyFont="1" applyAlignment="1">
      <alignment vertical="top" wrapText="1"/>
    </xf>
    <xf numFmtId="0" fontId="3" fillId="0" borderId="0" xfId="0" applyFont="1" applyAlignment="1">
      <alignment horizontal="left" wrapText="1"/>
    </xf>
    <xf numFmtId="0" fontId="6" fillId="0" borderId="0" xfId="0" applyFont="1" applyAlignment="1">
      <alignment wrapText="1"/>
    </xf>
    <xf numFmtId="0" fontId="6" fillId="0" borderId="0" xfId="0" applyFont="1" applyAlignment="1">
      <alignment vertical="top" wrapText="1"/>
    </xf>
    <xf numFmtId="0" fontId="3" fillId="0" borderId="0" xfId="7" applyFont="1" applyAlignment="1">
      <alignment wrapText="1"/>
    </xf>
    <xf numFmtId="44" fontId="25" fillId="6" borderId="15" xfId="13" applyFont="1" applyFill="1" applyBorder="1" applyAlignment="1" applyProtection="1">
      <alignment horizontal="center" vertical="center"/>
      <protection locked="0"/>
    </xf>
    <xf numFmtId="44" fontId="25" fillId="6" borderId="18" xfId="13" applyFont="1" applyFill="1" applyBorder="1" applyAlignment="1" applyProtection="1">
      <alignment horizontal="center" vertical="center"/>
      <protection locked="0"/>
    </xf>
    <xf numFmtId="44" fontId="25" fillId="6" borderId="17" xfId="13" applyFont="1" applyFill="1" applyBorder="1" applyAlignment="1" applyProtection="1">
      <alignment horizontal="center" vertical="center"/>
      <protection locked="0"/>
    </xf>
    <xf numFmtId="44" fontId="0" fillId="0" borderId="0" xfId="4" applyFont="1" applyFill="1" applyProtection="1">
      <protection locked="0"/>
    </xf>
    <xf numFmtId="0" fontId="3" fillId="0" borderId="0" xfId="0" applyFont="1" applyFill="1"/>
    <xf numFmtId="44" fontId="0" fillId="0" borderId="0" xfId="0" applyNumberFormat="1" applyFill="1"/>
    <xf numFmtId="43" fontId="0" fillId="0" borderId="0" xfId="0" applyNumberFormat="1" applyFill="1"/>
    <xf numFmtId="43" fontId="0" fillId="0" borderId="0" xfId="1" applyNumberFormat="1" applyFont="1" applyFill="1" applyProtection="1"/>
    <xf numFmtId="0" fontId="17" fillId="0" borderId="0" xfId="0" applyFont="1" applyAlignment="1">
      <alignment vertical="top" wrapText="1"/>
    </xf>
  </cellXfs>
  <cellStyles count="29">
    <cellStyle name="Comma" xfId="1" builtinId="3"/>
    <cellStyle name="Comma [0] 2" xfId="26" xr:uid="{ACF77B07-F192-43DD-A6C0-E0EBF60102AA}"/>
    <cellStyle name="Comma [0] 3" xfId="27" xr:uid="{C4D65B8C-FC9D-4E38-AE29-365254A2A232}"/>
    <cellStyle name="Comma 2" xfId="2" xr:uid="{00000000-0005-0000-0000-000001000000}"/>
    <cellStyle name="Comma 3" xfId="3" xr:uid="{00000000-0005-0000-0000-000002000000}"/>
    <cellStyle name="Comma 4" xfId="20" xr:uid="{0301D432-E72B-4502-A6AF-F999537EA0EF}"/>
    <cellStyle name="Comma 5" xfId="28" xr:uid="{EBAB7BC5-C1D1-4D4C-B3F1-27EDDD2198BB}"/>
    <cellStyle name="Comma 6" xfId="21" xr:uid="{1C3BFF46-F95C-4FC6-AAED-20B23B0D7DC6}"/>
    <cellStyle name="Currency" xfId="4" builtinId="4"/>
    <cellStyle name="Currency 2" xfId="5" xr:uid="{00000000-0005-0000-0000-000004000000}"/>
    <cellStyle name="Currency 2 2" xfId="13" xr:uid="{FFDD835F-5613-48AE-9646-6FE079AFEABA}"/>
    <cellStyle name="Currency 3" xfId="6" xr:uid="{00000000-0005-0000-0000-000005000000}"/>
    <cellStyle name="Currency 3 2" xfId="16" xr:uid="{4AD5E9E2-6D49-4BF3-A58A-5EC1DC4CDBB3}"/>
    <cellStyle name="Currency 3 2 2" xfId="25" xr:uid="{83338403-799C-4897-9BC5-9EDBF4B37B90}"/>
    <cellStyle name="Currency 3 3" xfId="23" xr:uid="{2C5EB816-E6B0-43D8-88D2-B11BD16832C0}"/>
    <cellStyle name="Normal" xfId="0" builtinId="0"/>
    <cellStyle name="Normal 2" xfId="7" xr:uid="{00000000-0005-0000-0000-000007000000}"/>
    <cellStyle name="Normal 3" xfId="8" xr:uid="{00000000-0005-0000-0000-000008000000}"/>
    <cellStyle name="Normal 3 2" xfId="14" xr:uid="{85730629-C653-4F47-B5E6-D996F2C8AB3A}"/>
    <cellStyle name="Normal 4" xfId="15" xr:uid="{D8BBB2D4-4EEB-4BBA-9ABA-7C17F1352AA5}"/>
    <cellStyle name="Normal 4 2" xfId="24" xr:uid="{12E246F9-9A38-4B04-AD72-A8E36D64DEE2}"/>
    <cellStyle name="Normal 4 3" xfId="22" xr:uid="{E9794E69-6C81-47EB-9290-EDA75A83FBEA}"/>
    <cellStyle name="Normal 5" xfId="19" xr:uid="{CFD19096-342A-492F-B9B4-7A9CF8D0966C}"/>
    <cellStyle name="Normal_DMA FRV Model with 2006 Capital Data Survey" xfId="9" xr:uid="{00000000-0005-0000-0000-000009000000}"/>
    <cellStyle name="Normal_Property Survey Results 1999 Survey" xfId="18" xr:uid="{2AEBA2B6-F987-48EC-9504-A6C6F156C11E}"/>
    <cellStyle name="Normal_Sheet1" xfId="17" xr:uid="{75484D53-5095-4736-9737-242B37E990B0}"/>
    <cellStyle name="Percent" xfId="10" builtinId="5"/>
    <cellStyle name="Percent 2" xfId="11" xr:uid="{00000000-0005-0000-0000-000010000000}"/>
    <cellStyle name="Percent 3" xfId="12"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30</a:t>
            </a:r>
            <a:r>
              <a:rPr lang="en-US" baseline="0"/>
              <a:t> year, 100 bed, 85% occupancy, 350 sq ft per bed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'[1]FRV Scenarios'!$K$8</c:f>
              <c:strCache>
                <c:ptCount val="1"/>
                <c:pt idx="0">
                  <c:v>550 FRV Age</c:v>
                </c:pt>
              </c:strCache>
            </c:strRef>
          </c:tx>
          <c:spPr>
            <a:solidFill>
              <a:schemeClr val="accent2"/>
            </a:solidFill>
            <a:ln>
              <a:noFill/>
            </a:ln>
            <a:effectLst/>
          </c:spPr>
          <c:invertIfNegative val="0"/>
          <c:cat>
            <c:numRef>
              <c:f>'[1]FRV Scenarios'!$J$9:$J$18</c:f>
              <c:numCache>
                <c:formatCode>General</c:formatCode>
                <c:ptCount val="10"/>
                <c:pt idx="0">
                  <c:v>0</c:v>
                </c:pt>
                <c:pt idx="1">
                  <c:v>500000</c:v>
                </c:pt>
                <c:pt idx="2">
                  <c:v>1000000</c:v>
                </c:pt>
                <c:pt idx="3">
                  <c:v>1500000</c:v>
                </c:pt>
                <c:pt idx="4">
                  <c:v>2000000</c:v>
                </c:pt>
                <c:pt idx="5">
                  <c:v>2500000</c:v>
                </c:pt>
                <c:pt idx="6">
                  <c:v>3000000</c:v>
                </c:pt>
                <c:pt idx="7">
                  <c:v>3500000</c:v>
                </c:pt>
                <c:pt idx="8">
                  <c:v>4000000</c:v>
                </c:pt>
                <c:pt idx="9">
                  <c:v>4500000</c:v>
                </c:pt>
              </c:numCache>
            </c:numRef>
          </c:cat>
          <c:val>
            <c:numRef>
              <c:f>'[1]FRV Scenarios'!$K$9:$K$18</c:f>
              <c:numCache>
                <c:formatCode>General</c:formatCode>
                <c:ptCount val="10"/>
                <c:pt idx="0">
                  <c:v>30</c:v>
                </c:pt>
                <c:pt idx="1">
                  <c:v>27.79</c:v>
                </c:pt>
                <c:pt idx="2">
                  <c:v>25.58</c:v>
                </c:pt>
                <c:pt idx="3">
                  <c:v>23.38</c:v>
                </c:pt>
                <c:pt idx="4">
                  <c:v>21.17</c:v>
                </c:pt>
                <c:pt idx="5">
                  <c:v>18.96</c:v>
                </c:pt>
                <c:pt idx="6">
                  <c:v>16.75</c:v>
                </c:pt>
                <c:pt idx="7">
                  <c:v>14.54</c:v>
                </c:pt>
                <c:pt idx="8">
                  <c:v>12.34</c:v>
                </c:pt>
                <c:pt idx="9">
                  <c:v>10.130000000000001</c:v>
                </c:pt>
              </c:numCache>
            </c:numRef>
          </c:val>
          <c:extLst>
            <c:ext xmlns:c16="http://schemas.microsoft.com/office/drawing/2014/chart" uri="{C3380CC4-5D6E-409C-BE32-E72D297353CC}">
              <c16:uniqueId val="{00000000-C781-4403-9BA3-1559B5F72896}"/>
            </c:ext>
          </c:extLst>
        </c:ser>
        <c:ser>
          <c:idx val="2"/>
          <c:order val="1"/>
          <c:tx>
            <c:strRef>
              <c:f>'[1]FRV Scenarios'!$L$8</c:f>
              <c:strCache>
                <c:ptCount val="1"/>
                <c:pt idx="0">
                  <c:v>550 FRV Rate</c:v>
                </c:pt>
              </c:strCache>
            </c:strRef>
          </c:tx>
          <c:spPr>
            <a:solidFill>
              <a:schemeClr val="accent3"/>
            </a:solidFill>
            <a:ln>
              <a:noFill/>
            </a:ln>
            <a:effectLst/>
          </c:spPr>
          <c:invertIfNegative val="0"/>
          <c:cat>
            <c:numRef>
              <c:f>'[1]FRV Scenarios'!$J$9:$J$18</c:f>
              <c:numCache>
                <c:formatCode>General</c:formatCode>
                <c:ptCount val="10"/>
                <c:pt idx="0">
                  <c:v>0</c:v>
                </c:pt>
                <c:pt idx="1">
                  <c:v>500000</c:v>
                </c:pt>
                <c:pt idx="2">
                  <c:v>1000000</c:v>
                </c:pt>
                <c:pt idx="3">
                  <c:v>1500000</c:v>
                </c:pt>
                <c:pt idx="4">
                  <c:v>2000000</c:v>
                </c:pt>
                <c:pt idx="5">
                  <c:v>2500000</c:v>
                </c:pt>
                <c:pt idx="6">
                  <c:v>3000000</c:v>
                </c:pt>
                <c:pt idx="7">
                  <c:v>3500000</c:v>
                </c:pt>
                <c:pt idx="8">
                  <c:v>4000000</c:v>
                </c:pt>
                <c:pt idx="9">
                  <c:v>4500000</c:v>
                </c:pt>
              </c:numCache>
            </c:numRef>
          </c:cat>
          <c:val>
            <c:numRef>
              <c:f>'[1]FRV Scenarios'!$L$9:$L$18</c:f>
              <c:numCache>
                <c:formatCode>General</c:formatCode>
                <c:ptCount val="10"/>
                <c:pt idx="0">
                  <c:v>14.73</c:v>
                </c:pt>
                <c:pt idx="1">
                  <c:v>15.94</c:v>
                </c:pt>
                <c:pt idx="2">
                  <c:v>17.149999999999999</c:v>
                </c:pt>
                <c:pt idx="3">
                  <c:v>18.350000000000001</c:v>
                </c:pt>
                <c:pt idx="4">
                  <c:v>19.559999999999999</c:v>
                </c:pt>
                <c:pt idx="5">
                  <c:v>20.77</c:v>
                </c:pt>
                <c:pt idx="6">
                  <c:v>21.98</c:v>
                </c:pt>
                <c:pt idx="7">
                  <c:v>23.19</c:v>
                </c:pt>
                <c:pt idx="8">
                  <c:v>24.4</c:v>
                </c:pt>
                <c:pt idx="9">
                  <c:v>25.61</c:v>
                </c:pt>
              </c:numCache>
            </c:numRef>
          </c:val>
          <c:extLst>
            <c:ext xmlns:c16="http://schemas.microsoft.com/office/drawing/2014/chart" uri="{C3380CC4-5D6E-409C-BE32-E72D297353CC}">
              <c16:uniqueId val="{00000001-C781-4403-9BA3-1559B5F72896}"/>
            </c:ext>
          </c:extLst>
        </c:ser>
        <c:ser>
          <c:idx val="3"/>
          <c:order val="2"/>
          <c:tx>
            <c:strRef>
              <c:f>'[1]FRV Scenarios'!$M$8</c:f>
              <c:strCache>
                <c:ptCount val="1"/>
                <c:pt idx="0">
                  <c:v>Years</c:v>
                </c:pt>
              </c:strCache>
            </c:strRef>
          </c:tx>
          <c:spPr>
            <a:solidFill>
              <a:schemeClr val="accent4"/>
            </a:solidFill>
            <a:ln>
              <a:noFill/>
            </a:ln>
            <a:effectLst/>
          </c:spPr>
          <c:invertIfNegative val="0"/>
          <c:cat>
            <c:numRef>
              <c:f>'[1]FRV Scenarios'!$J$9:$J$18</c:f>
              <c:numCache>
                <c:formatCode>General</c:formatCode>
                <c:ptCount val="10"/>
                <c:pt idx="0">
                  <c:v>0</c:v>
                </c:pt>
                <c:pt idx="1">
                  <c:v>500000</c:v>
                </c:pt>
                <c:pt idx="2">
                  <c:v>1000000</c:v>
                </c:pt>
                <c:pt idx="3">
                  <c:v>1500000</c:v>
                </c:pt>
                <c:pt idx="4">
                  <c:v>2000000</c:v>
                </c:pt>
                <c:pt idx="5">
                  <c:v>2500000</c:v>
                </c:pt>
                <c:pt idx="6">
                  <c:v>3000000</c:v>
                </c:pt>
                <c:pt idx="7">
                  <c:v>3500000</c:v>
                </c:pt>
                <c:pt idx="8">
                  <c:v>4000000</c:v>
                </c:pt>
                <c:pt idx="9">
                  <c:v>4500000</c:v>
                </c:pt>
              </c:numCache>
            </c:numRef>
          </c:cat>
          <c:val>
            <c:numRef>
              <c:f>'[1]FRV Scenarios'!$M$9:$M$18</c:f>
              <c:numCache>
                <c:formatCode>General</c:formatCode>
                <c:ptCount val="10"/>
                <c:pt idx="0">
                  <c:v>0</c:v>
                </c:pt>
                <c:pt idx="1">
                  <c:v>13.33</c:v>
                </c:pt>
              </c:numCache>
            </c:numRef>
          </c:val>
          <c:extLst>
            <c:ext xmlns:c16="http://schemas.microsoft.com/office/drawing/2014/chart" uri="{C3380CC4-5D6E-409C-BE32-E72D297353CC}">
              <c16:uniqueId val="{00000002-C781-4403-9BA3-1559B5F72896}"/>
            </c:ext>
          </c:extLst>
        </c:ser>
        <c:dLbls>
          <c:showLegendKey val="0"/>
          <c:showVal val="0"/>
          <c:showCatName val="0"/>
          <c:showSerName val="0"/>
          <c:showPercent val="0"/>
          <c:showBubbleSize val="0"/>
        </c:dLbls>
        <c:gapWidth val="150"/>
        <c:axId val="643492783"/>
        <c:axId val="643523151"/>
      </c:barChart>
      <c:catAx>
        <c:axId val="643492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523151"/>
        <c:crosses val="autoZero"/>
        <c:auto val="1"/>
        <c:lblAlgn val="ctr"/>
        <c:lblOffset val="100"/>
        <c:noMultiLvlLbl val="0"/>
      </c:catAx>
      <c:valAx>
        <c:axId val="6435231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492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167640</xdr:colOff>
      <xdr:row>22</xdr:row>
      <xdr:rowOff>30480</xdr:rowOff>
    </xdr:from>
    <xdr:to>
      <xdr:col>22</xdr:col>
      <xdr:colOff>281940</xdr:colOff>
      <xdr:row>35</xdr:row>
      <xdr:rowOff>121920</xdr:rowOff>
    </xdr:to>
    <xdr:graphicFrame macro="">
      <xdr:nvGraphicFramePr>
        <xdr:cNvPr id="2" name="Chart 1">
          <a:extLst>
            <a:ext uri="{FF2B5EF4-FFF2-40B4-BE49-F238E27FC236}">
              <a16:creationId xmlns:a16="http://schemas.microsoft.com/office/drawing/2014/main" id="{79AD7DB3-0916-4EAD-8407-A28C49780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CHCFA/Modernized%20FRV/Modernized%20FRV%20Rate%20Calculation%20version%202%20-%20VLOOKUP%20-%20scenar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CHCFA/Provider%20Tax/Jul-Sept%202022%20Rate%20Model_KB_7.7.22%20with%20provider%20assessment%20chan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FRV Scenarios"/>
      <sheetName val="Location factor"/>
      <sheetName val="Sq Ft Floor"/>
      <sheetName val="Lookup Info"/>
    </sheetNames>
    <sheetDataSet>
      <sheetData sheetId="0"/>
      <sheetData sheetId="1">
        <row r="8">
          <cell r="K8" t="str">
            <v>550 FRV Age</v>
          </cell>
          <cell r="L8" t="str">
            <v>550 FRV Rate</v>
          </cell>
          <cell r="M8" t="str">
            <v>Years</v>
          </cell>
        </row>
        <row r="9">
          <cell r="J9">
            <v>0</v>
          </cell>
          <cell r="K9">
            <v>30</v>
          </cell>
          <cell r="L9">
            <v>14.73</v>
          </cell>
          <cell r="M9">
            <v>0</v>
          </cell>
        </row>
        <row r="10">
          <cell r="J10">
            <v>500000</v>
          </cell>
          <cell r="K10">
            <v>27.79</v>
          </cell>
          <cell r="L10">
            <v>15.94</v>
          </cell>
          <cell r="M10">
            <v>13.33</v>
          </cell>
        </row>
        <row r="11">
          <cell r="J11">
            <v>1000000</v>
          </cell>
          <cell r="K11">
            <v>25.58</v>
          </cell>
          <cell r="L11">
            <v>17.149999999999999</v>
          </cell>
          <cell r="M11"/>
        </row>
        <row r="12">
          <cell r="J12">
            <v>1500000</v>
          </cell>
          <cell r="K12">
            <v>23.38</v>
          </cell>
          <cell r="L12">
            <v>18.350000000000001</v>
          </cell>
          <cell r="M12"/>
        </row>
        <row r="13">
          <cell r="J13">
            <v>2000000</v>
          </cell>
          <cell r="K13">
            <v>21.17</v>
          </cell>
          <cell r="L13">
            <v>19.559999999999999</v>
          </cell>
          <cell r="M13"/>
        </row>
        <row r="14">
          <cell r="J14">
            <v>2500000</v>
          </cell>
          <cell r="K14">
            <v>18.96</v>
          </cell>
          <cell r="L14">
            <v>20.77</v>
          </cell>
          <cell r="M14"/>
        </row>
        <row r="15">
          <cell r="J15">
            <v>3000000</v>
          </cell>
          <cell r="K15">
            <v>16.75</v>
          </cell>
          <cell r="L15">
            <v>21.98</v>
          </cell>
          <cell r="M15"/>
        </row>
        <row r="16">
          <cell r="J16">
            <v>3500000</v>
          </cell>
          <cell r="K16">
            <v>14.54</v>
          </cell>
          <cell r="L16">
            <v>23.19</v>
          </cell>
          <cell r="M16"/>
        </row>
        <row r="17">
          <cell r="J17">
            <v>4000000</v>
          </cell>
          <cell r="K17">
            <v>12.34</v>
          </cell>
          <cell r="L17">
            <v>24.4</v>
          </cell>
          <cell r="M17"/>
        </row>
        <row r="18">
          <cell r="J18">
            <v>4500000</v>
          </cell>
          <cell r="K18">
            <v>10.130000000000001</v>
          </cell>
          <cell r="L18">
            <v>25.61</v>
          </cell>
          <cell r="M18"/>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structions"/>
      <sheetName val="Rate Sheet"/>
      <sheetName val="Rate Calculation"/>
      <sheetName val="RATE REDUCTIONS"/>
      <sheetName val="State Owned Facilitys"/>
      <sheetName val="Changes"/>
      <sheetName val="Aging Sch Prior to 2016"/>
      <sheetName val="Tsali Care"/>
      <sheetName val="FRV Output"/>
      <sheetName val="Aging Schedule"/>
      <sheetName val="fac_cmi_3.31.2022"/>
      <sheetName val="Audited Free Standing "/>
      <sheetName val="CDS 2018"/>
      <sheetName val="CDS 2019"/>
      <sheetName val="CDS "/>
      <sheetName val="Hist. Cost Index"/>
      <sheetName val="Square Footage"/>
      <sheetName val="Sq Ft Per Bed"/>
      <sheetName val="Location Factor"/>
      <sheetName val="Maximum Age"/>
      <sheetName val="Inflation"/>
      <sheetName val="Provider Tax"/>
      <sheetName val="Audited Hospital Based"/>
      <sheetName val="Audited FS Medicare Days"/>
      <sheetName val="Audited Hosp Medicare Days"/>
      <sheetName val="2005 Data"/>
      <sheetName val="Options"/>
      <sheetName val="direct array"/>
      <sheetName val="indirect array"/>
      <sheetName val="Schedule A Data"/>
      <sheetName val="Schedule B Allocations"/>
      <sheetName val="Schedule B Data"/>
      <sheetName val="Schedule E Data"/>
      <sheetName val="Facility CMI Summary"/>
      <sheetName val="TW Annual CMI 2005"/>
      <sheetName val="Inflaton 2"/>
      <sheetName val="Sheet1"/>
      <sheetName val="Avg Medicaid - Medicare Days"/>
      <sheetName val="vlookup data"/>
      <sheetName val="Sheet3"/>
    </sheetNames>
    <sheetDataSet>
      <sheetData sheetId="0"/>
      <sheetData sheetId="1"/>
      <sheetData sheetId="2"/>
      <sheetData sheetId="3">
        <row r="1">
          <cell r="T1">
            <v>1</v>
          </cell>
        </row>
      </sheetData>
      <sheetData sheetId="4"/>
      <sheetData sheetId="5"/>
      <sheetData sheetId="6"/>
      <sheetData sheetId="7"/>
      <sheetData sheetId="8"/>
      <sheetData sheetId="9">
        <row r="1">
          <cell r="B1" t="str">
            <v>FRV Computation</v>
          </cell>
        </row>
        <row r="2">
          <cell r="B2"/>
        </row>
        <row r="3">
          <cell r="B3" t="str">
            <v>Input Assumptions</v>
          </cell>
        </row>
        <row r="4">
          <cell r="B4" t="str">
            <v>RS Means Hist Cost Factor (psf)</v>
          </cell>
          <cell r="F4">
            <v>170.02</v>
          </cell>
        </row>
        <row r="5">
          <cell r="B5" t="str">
            <v>RS Means Hist Cost Index Factor</v>
          </cell>
        </row>
        <row r="6">
          <cell r="B6" t="str">
            <v>Land Factor</v>
          </cell>
        </row>
        <row r="7">
          <cell r="B7" t="str">
            <v>RS Means Location Factor</v>
          </cell>
        </row>
        <row r="8">
          <cell r="B8" t="str">
            <v>Imputed Square Feet, less than 90 beds</v>
          </cell>
        </row>
        <row r="9">
          <cell r="B9" t="str">
            <v>Imputed Square Feet, greater than 90 beds</v>
          </cell>
        </row>
        <row r="10">
          <cell r="B10" t="str">
            <v>Implied Per Bed Value of Moveable Equipment</v>
          </cell>
        </row>
        <row r="11">
          <cell r="B11" t="str">
            <v>RS Means Equipment Replacement Factor</v>
          </cell>
        </row>
        <row r="12">
          <cell r="B12" t="str">
            <v>Depreciation Rate</v>
          </cell>
        </row>
        <row r="13">
          <cell r="B13" t="str">
            <v>Maximum Depreciable Value</v>
          </cell>
        </row>
        <row r="14">
          <cell r="B14" t="str">
            <v>FRV Rental Rate (10-Year USTB (3 yr. rolling avg) + 300 bps)</v>
          </cell>
        </row>
        <row r="15">
          <cell r="B15" t="str">
            <v>Occupancy Assumption for FRV per bed</v>
          </cell>
        </row>
        <row r="16">
          <cell r="B16" t="str">
            <v>Capital Cost</v>
          </cell>
        </row>
        <row r="17">
          <cell r="B17" t="str">
            <v>Max Allowable Facility Age, Default Facility Age (no info)</v>
          </cell>
        </row>
        <row r="18">
          <cell r="B18" t="str">
            <v>Indirect Rate Carveout</v>
          </cell>
        </row>
        <row r="19">
          <cell r="B19" t="str">
            <v>Current Year For Aging Purposes</v>
          </cell>
        </row>
        <row r="20">
          <cell r="B20" t="str">
            <v>Days in Cost Report Year</v>
          </cell>
        </row>
        <row r="21">
          <cell r="B21" t="str">
            <v>Use Updated FRV Methodology Effective 10/1/2021</v>
          </cell>
        </row>
        <row r="22">
          <cell r="B22" t="str">
            <v>Use Updated TW CMIsfor Rates Effective 4/1/2022</v>
          </cell>
        </row>
        <row r="28">
          <cell r="F28"/>
        </row>
        <row r="29">
          <cell r="F29"/>
        </row>
        <row r="30">
          <cell r="F30"/>
        </row>
        <row r="31">
          <cell r="F31"/>
        </row>
        <row r="32">
          <cell r="B32" t="str">
            <v>Facility Name</v>
          </cell>
          <cell r="F32" t="str">
            <v>NPI</v>
          </cell>
        </row>
        <row r="33">
          <cell r="B33" t="str">
            <v>Abernethy Laurels</v>
          </cell>
          <cell r="F33">
            <v>1245227578</v>
          </cell>
        </row>
        <row r="34">
          <cell r="B34" t="str">
            <v>Alamance Health Care Center</v>
          </cell>
          <cell r="F34">
            <v>1114501442</v>
          </cell>
        </row>
        <row r="35">
          <cell r="B35" t="str">
            <v>Alexandria Place</v>
          </cell>
          <cell r="F35">
            <v>1245337880</v>
          </cell>
        </row>
        <row r="36">
          <cell r="B36" t="str">
            <v>THE MARGATE HEALTH &amp; REHAB CENTER</v>
          </cell>
          <cell r="F36">
            <v>1962505313</v>
          </cell>
        </row>
        <row r="37">
          <cell r="B37" t="str">
            <v>Pelican Health at Asheville</v>
          </cell>
          <cell r="F37">
            <v>1396202024</v>
          </cell>
        </row>
        <row r="38">
          <cell r="B38" t="str">
            <v>Aston Park Health Care, Inc.</v>
          </cell>
          <cell r="F38">
            <v>1194722629</v>
          </cell>
        </row>
        <row r="39">
          <cell r="B39" t="str">
            <v>Autumn Care Of Biscoe</v>
          </cell>
          <cell r="F39">
            <v>1255878245</v>
          </cell>
        </row>
        <row r="40">
          <cell r="B40" t="str">
            <v>Autumn Care Of Drexel</v>
          </cell>
          <cell r="F40">
            <v>1275519506</v>
          </cell>
        </row>
        <row r="41">
          <cell r="B41" t="str">
            <v>FAIR HAVEN AT FOREST CITY</v>
          </cell>
          <cell r="F41">
            <v>1770995094</v>
          </cell>
        </row>
        <row r="42">
          <cell r="B42" t="str">
            <v>Autumn Care Of Marion</v>
          </cell>
          <cell r="F42">
            <v>1609852375</v>
          </cell>
        </row>
        <row r="43">
          <cell r="B43" t="str">
            <v>Autumn Care Of Marshville</v>
          </cell>
          <cell r="F43">
            <v>1093791337</v>
          </cell>
        </row>
        <row r="44">
          <cell r="B44" t="str">
            <v>Davie Nursing &amp; Rehabilitation Center</v>
          </cell>
          <cell r="F44">
            <v>1912485517</v>
          </cell>
        </row>
        <row r="45">
          <cell r="B45" t="str">
            <v>Autumn Care Of Myrtle Grove</v>
          </cell>
          <cell r="F45">
            <v>1073599635</v>
          </cell>
        </row>
        <row r="46">
          <cell r="B46" t="str">
            <v>Autumn Care Of Nash</v>
          </cell>
          <cell r="F46">
            <v>1053396788</v>
          </cell>
        </row>
        <row r="47">
          <cell r="B47" t="str">
            <v>Autumn Care Of Raeford</v>
          </cell>
          <cell r="F47">
            <v>1851377543</v>
          </cell>
        </row>
        <row r="48">
          <cell r="B48" t="str">
            <v>Rich Square Nursing And Rehabilitation</v>
          </cell>
          <cell r="F48">
            <v>1598127276</v>
          </cell>
        </row>
        <row r="49">
          <cell r="B49" t="str">
            <v>Autumn Care Of Salisbury</v>
          </cell>
          <cell r="F49">
            <v>1508842295</v>
          </cell>
        </row>
        <row r="50">
          <cell r="B50" t="str">
            <v>Autumn Care Of Saluda</v>
          </cell>
          <cell r="F50">
            <v>1639155302</v>
          </cell>
        </row>
        <row r="51">
          <cell r="B51" t="str">
            <v>Autumn Care Of Shallotte</v>
          </cell>
          <cell r="F51">
            <v>1346226040</v>
          </cell>
        </row>
        <row r="52">
          <cell r="B52" t="str">
            <v>Autumn Care Of Statesville</v>
          </cell>
          <cell r="F52">
            <v>1730722240</v>
          </cell>
        </row>
        <row r="53">
          <cell r="B53" t="str">
            <v>Autumn Care Of Waynesville</v>
          </cell>
          <cell r="F53">
            <v>1528044294</v>
          </cell>
        </row>
        <row r="54">
          <cell r="B54" t="str">
            <v>Pelican Health Randolph</v>
          </cell>
          <cell r="F54">
            <v>1962052498</v>
          </cell>
        </row>
        <row r="55">
          <cell r="B55" t="str">
            <v>Accordius Health At Concord</v>
          </cell>
          <cell r="F55">
            <v>1871143305</v>
          </cell>
        </row>
        <row r="56">
          <cell r="B56" t="str">
            <v>Pelican Health Reidsville</v>
          </cell>
          <cell r="F56">
            <v>1225688757</v>
          </cell>
        </row>
        <row r="57">
          <cell r="B57" t="str">
            <v>ACCORDIUS HEALTH AT WILKESBORO</v>
          </cell>
          <cell r="F57">
            <v>1841840378</v>
          </cell>
        </row>
        <row r="58">
          <cell r="B58" t="str">
            <v>ACCORDIUS HEALTH AT WILSON</v>
          </cell>
          <cell r="F58">
            <v>1760032296</v>
          </cell>
        </row>
        <row r="59">
          <cell r="B59" t="str">
            <v>Brookridge Retirement Community</v>
          </cell>
          <cell r="F59">
            <v>1295723377</v>
          </cell>
        </row>
        <row r="60">
          <cell r="B60" t="str">
            <v>Bayview Nursing &amp; Rehabilitation Center</v>
          </cell>
          <cell r="F60">
            <v>1649254582</v>
          </cell>
        </row>
        <row r="61">
          <cell r="B61" t="str">
            <v>Belaire Health Care Center</v>
          </cell>
          <cell r="F61">
            <v>1316512346</v>
          </cell>
        </row>
        <row r="62">
          <cell r="B62" t="str">
            <v>Bethesda Health Care Facility</v>
          </cell>
          <cell r="F62">
            <v>1992724157</v>
          </cell>
        </row>
        <row r="63">
          <cell r="B63" t="str">
            <v>Accordius Heath At Asheville</v>
          </cell>
          <cell r="F63">
            <v>1578059085</v>
          </cell>
        </row>
        <row r="64">
          <cell r="B64" t="str">
            <v xml:space="preserve">Pelican Health at Charlotte </v>
          </cell>
          <cell r="F64">
            <v>1114480233</v>
          </cell>
        </row>
        <row r="65">
          <cell r="B65" t="str">
            <v>Accordius Health at Greensboro</v>
          </cell>
          <cell r="F65">
            <v>1689147035</v>
          </cell>
        </row>
        <row r="66">
          <cell r="B66" t="str">
            <v>MacGregor Downs Health Center by Harborview</v>
          </cell>
          <cell r="F66">
            <v>1184174484</v>
          </cell>
        </row>
        <row r="67">
          <cell r="B67" t="str">
            <v xml:space="preserve">Blue Ridge Health And Rehabilitation Center </v>
          </cell>
          <cell r="F67">
            <v>1578013876</v>
          </cell>
        </row>
        <row r="68">
          <cell r="B68" t="str">
            <v>Harborview Lumberton</v>
          </cell>
          <cell r="F68">
            <v>1437609732</v>
          </cell>
        </row>
        <row r="69">
          <cell r="B69" t="str">
            <v>The Citadel at Myers Park</v>
          </cell>
          <cell r="F69">
            <v>1336602358</v>
          </cell>
        </row>
        <row r="70">
          <cell r="B70" t="str">
            <v>Carolina Pines at Greensboro</v>
          </cell>
          <cell r="F70">
            <v>1215400668</v>
          </cell>
        </row>
        <row r="71">
          <cell r="B71" t="str">
            <v>Edgecombe Health &amp; Rehab Ctr by Harborview</v>
          </cell>
          <cell r="F71">
            <v>1003366311</v>
          </cell>
        </row>
        <row r="72">
          <cell r="B72" t="str">
            <v>Big Elm Retirement And Nursing Ctr, Inc</v>
          </cell>
          <cell r="F72">
            <v>1174608350</v>
          </cell>
        </row>
        <row r="73">
          <cell r="B73" t="str">
            <v>Carolina Pines At Asheville</v>
          </cell>
          <cell r="F73">
            <v>1225524747</v>
          </cell>
        </row>
        <row r="74">
          <cell r="B74" t="str">
            <v>Universal Healthcare - Blumenthal</v>
          </cell>
          <cell r="F74">
            <v>1295704997</v>
          </cell>
        </row>
        <row r="75">
          <cell r="B75" t="str">
            <v>Brian Center Southpoint</v>
          </cell>
          <cell r="F75">
            <v>1578683439</v>
          </cell>
        </row>
        <row r="76">
          <cell r="B76" t="str">
            <v>Brian Center Health &amp; Rehab/Goldsboro</v>
          </cell>
          <cell r="F76">
            <v>1104946060</v>
          </cell>
        </row>
        <row r="77">
          <cell r="B77" t="str">
            <v>Brian Center Hlth &amp; Rehab/Hendersonville</v>
          </cell>
          <cell r="F77">
            <v>1326169285</v>
          </cell>
        </row>
        <row r="78">
          <cell r="B78" t="str">
            <v>Brian Center Health &amp; Rehab/Hickory East</v>
          </cell>
          <cell r="F78">
            <v>1730209677</v>
          </cell>
        </row>
        <row r="79">
          <cell r="B79" t="str">
            <v>Brian Center Health &amp; Rehab/Spruce Pine</v>
          </cell>
          <cell r="F79">
            <v>1710008669</v>
          </cell>
        </row>
        <row r="80">
          <cell r="B80" t="str">
            <v>Brian Center Health &amp; Rehab/Wallace</v>
          </cell>
          <cell r="F80">
            <v>1609996552</v>
          </cell>
        </row>
        <row r="81">
          <cell r="B81" t="str">
            <v>Haywood Nursing &amp; Rehabilitation Center</v>
          </cell>
          <cell r="F81">
            <v>1912027871</v>
          </cell>
        </row>
        <row r="82">
          <cell r="B82" t="str">
            <v>Brian Center Health &amp; Rehab/Weaverville</v>
          </cell>
          <cell r="F82">
            <v>1629198577</v>
          </cell>
        </row>
        <row r="83">
          <cell r="B83" t="str">
            <v>Brian Center Health &amp; Rehab/Wilson</v>
          </cell>
          <cell r="F83">
            <v>1639299571</v>
          </cell>
        </row>
        <row r="84">
          <cell r="B84" t="str">
            <v>Brian Center Health &amp; Rehab/Windsor</v>
          </cell>
          <cell r="F84">
            <v>1831219781</v>
          </cell>
        </row>
        <row r="85">
          <cell r="B85" t="str">
            <v>Brian Center Health &amp; Rehab/Yanceyville</v>
          </cell>
          <cell r="F85">
            <v>1518088830</v>
          </cell>
        </row>
        <row r="86">
          <cell r="B86" t="str">
            <v>Brian Center Health &amp; Retire/Cabarrus</v>
          </cell>
          <cell r="F86">
            <v>1740300607</v>
          </cell>
        </row>
        <row r="87">
          <cell r="B87" t="str">
            <v>Brian Center Health &amp; Retire/Clayton</v>
          </cell>
          <cell r="F87">
            <v>1134249006</v>
          </cell>
        </row>
        <row r="88">
          <cell r="B88" t="str">
            <v>Brian Center Health &amp; Retire/Lincolnton</v>
          </cell>
          <cell r="F88">
            <v>1740301050</v>
          </cell>
        </row>
        <row r="89">
          <cell r="B89" t="str">
            <v>Accordius Health at Monroe</v>
          </cell>
          <cell r="F89">
            <v>1598233645</v>
          </cell>
        </row>
        <row r="90">
          <cell r="B90" t="str">
            <v>Accordius Health at Mooresville</v>
          </cell>
          <cell r="F90">
            <v>1659849701</v>
          </cell>
        </row>
        <row r="91">
          <cell r="B91" t="str">
            <v>Accordius Health At Winston-Salem</v>
          </cell>
          <cell r="F91">
            <v>1205357878</v>
          </cell>
        </row>
        <row r="92">
          <cell r="B92" t="str">
            <v>Accordius Health At Brevard</v>
          </cell>
          <cell r="F92">
            <v>1063919652</v>
          </cell>
        </row>
        <row r="93">
          <cell r="B93" t="str">
            <v>Accordius Health at Charlotte</v>
          </cell>
          <cell r="F93">
            <v>1518435650</v>
          </cell>
        </row>
        <row r="94">
          <cell r="B94" t="str">
            <v>Brian Center Health &amp; Rehab/Eden</v>
          </cell>
          <cell r="F94">
            <v>1245350289</v>
          </cell>
        </row>
        <row r="95">
          <cell r="B95" t="str">
            <v>Brian Center Health &amp; Rehab/Gastonia</v>
          </cell>
          <cell r="F95">
            <v>1346360328</v>
          </cell>
        </row>
        <row r="96">
          <cell r="B96" t="str">
            <v>Brian Center Health &amp; Rehab/Hertford</v>
          </cell>
          <cell r="F96">
            <v>1861513715</v>
          </cell>
        </row>
        <row r="97">
          <cell r="B97" t="str">
            <v>Accordius Health At Salisbury</v>
          </cell>
          <cell r="F97">
            <v>1932606530</v>
          </cell>
        </row>
        <row r="98">
          <cell r="B98" t="str">
            <v>Accordius Health at Statesville</v>
          </cell>
          <cell r="F98">
            <v>1972071033</v>
          </cell>
        </row>
        <row r="99">
          <cell r="B99" t="str">
            <v>Brian Center Health &amp; Rehab / Hickory Viewmo</v>
          </cell>
          <cell r="F99">
            <v>1619099520</v>
          </cell>
        </row>
        <row r="100">
          <cell r="B100" t="str">
            <v>Accordius Health At Lexington</v>
          </cell>
          <cell r="F100">
            <v>1598262198</v>
          </cell>
        </row>
        <row r="101">
          <cell r="B101" t="str">
            <v>Accordius Health at Midwood</v>
          </cell>
          <cell r="F101">
            <v>1437627593</v>
          </cell>
        </row>
        <row r="102">
          <cell r="B102" t="str">
            <v>Brightmoor Nursing Center</v>
          </cell>
          <cell r="F102">
            <v>1235236878</v>
          </cell>
        </row>
        <row r="103">
          <cell r="B103" t="str">
            <v>Parkview Health And Rehabilitation</v>
          </cell>
          <cell r="F103">
            <v>1033611959</v>
          </cell>
        </row>
        <row r="104">
          <cell r="B104" t="str">
            <v>Ayden Court Nursing And Rehabilitation Center</v>
          </cell>
          <cell r="F104">
            <v>1356372650</v>
          </cell>
        </row>
        <row r="105">
          <cell r="B105" t="str">
            <v>University Place Nursing And Rehabiliation Center</v>
          </cell>
          <cell r="F105">
            <v>1669408969</v>
          </cell>
        </row>
        <row r="106">
          <cell r="B106" t="str">
            <v>Smoky Mountain Health And Rehabilitation Center</v>
          </cell>
          <cell r="F106">
            <v>1861504946</v>
          </cell>
        </row>
        <row r="107">
          <cell r="B107" t="str">
            <v>Pine Ridge Health And Rehabilitation Center</v>
          </cell>
          <cell r="F107">
            <v>1982640785</v>
          </cell>
        </row>
        <row r="108">
          <cell r="B108" t="str">
            <v>Chowan River Nursing And Rehabilitation Center</v>
          </cell>
          <cell r="F108">
            <v>1083659692</v>
          </cell>
        </row>
        <row r="109">
          <cell r="B109" t="str">
            <v>Enfield Oaks Nursing And Rehabilitation Center</v>
          </cell>
          <cell r="F109">
            <v>1821024274</v>
          </cell>
        </row>
        <row r="110">
          <cell r="B110" t="str">
            <v>Macon Valley Nursing And Rehabilitation Center</v>
          </cell>
          <cell r="F110">
            <v>1457397952</v>
          </cell>
        </row>
        <row r="111">
          <cell r="B111" t="str">
            <v>Willow Creek Nursing And Rehabilitation Center</v>
          </cell>
          <cell r="F111">
            <v>1508802497</v>
          </cell>
        </row>
        <row r="112">
          <cell r="B112" t="str">
            <v>Graham Healthcare And Rehabilitation Center</v>
          </cell>
          <cell r="F112">
            <v>1366487464</v>
          </cell>
        </row>
        <row r="113">
          <cell r="B113" t="str">
            <v>Greenhaven Health And Rehabilitation Center</v>
          </cell>
          <cell r="F113">
            <v>1619908977</v>
          </cell>
        </row>
        <row r="114">
          <cell r="B114" t="str">
            <v>Richmond Pines Heathcare And Rehabilitation Center</v>
          </cell>
          <cell r="F114">
            <v>1689603060</v>
          </cell>
        </row>
        <row r="115">
          <cell r="B115" t="str">
            <v>Harnett Woods Nursing And Rehabilitation Center</v>
          </cell>
          <cell r="F115">
            <v>1285665539</v>
          </cell>
        </row>
        <row r="116">
          <cell r="B116" t="str">
            <v>Cherry Point Bay Nursing And Rehabilitation Center</v>
          </cell>
          <cell r="F116">
            <v>1699710293</v>
          </cell>
        </row>
        <row r="117">
          <cell r="B117" t="str">
            <v>Kerr Lake Nursing And Rehabilitation Center</v>
          </cell>
          <cell r="F117">
            <v>1972547321</v>
          </cell>
        </row>
        <row r="118">
          <cell r="B118" t="str">
            <v>Premier Nursing And Rehabilitation Center</v>
          </cell>
          <cell r="F118">
            <v>1962447565</v>
          </cell>
        </row>
        <row r="119">
          <cell r="B119" t="str">
            <v>Piney Grove Nursing And Rehabilitation Center</v>
          </cell>
          <cell r="F119">
            <v>1811923931</v>
          </cell>
        </row>
        <row r="120">
          <cell r="B120" t="str">
            <v>Harmony Hall Nursing And Rehabilitation Center</v>
          </cell>
          <cell r="F120">
            <v>1932145836</v>
          </cell>
        </row>
        <row r="121">
          <cell r="B121" t="str">
            <v>Franklin Oaks Nursing And Rehabilitation Center</v>
          </cell>
          <cell r="F121">
            <v>1376570275</v>
          </cell>
        </row>
        <row r="122">
          <cell r="B122" t="str">
            <v>Jacob'S Creek Nursing And Rehabilitation Center</v>
          </cell>
          <cell r="F122">
            <v>1255367447</v>
          </cell>
        </row>
        <row r="123">
          <cell r="B123" t="str">
            <v>Magnolia Lane Nursing And Rehabilitation Center</v>
          </cell>
          <cell r="F123">
            <v>1952337073</v>
          </cell>
        </row>
        <row r="124">
          <cell r="B124" t="str">
            <v>Riverpoint Crest Nursing And Rehabilitation Center</v>
          </cell>
          <cell r="F124">
            <v>1659307395</v>
          </cell>
        </row>
        <row r="125">
          <cell r="B125" t="str">
            <v>Croatan Ridge Nursing And Rehabilitation Center</v>
          </cell>
          <cell r="F125">
            <v>1942236161</v>
          </cell>
        </row>
        <row r="126">
          <cell r="B126" t="str">
            <v>Northchase Nursing And Rehabilitation Center</v>
          </cell>
          <cell r="F126">
            <v>1396771515</v>
          </cell>
        </row>
        <row r="127">
          <cell r="B127" t="str">
            <v>Carolina Rivers Nursing And Rehabilitation Center</v>
          </cell>
          <cell r="F127">
            <v>1558393835</v>
          </cell>
        </row>
        <row r="128">
          <cell r="B128" t="str">
            <v>Peak Resources Outer Banks</v>
          </cell>
          <cell r="F128">
            <v>1265816185</v>
          </cell>
        </row>
        <row r="129">
          <cell r="B129" t="str">
            <v>Grantsbrook Nursing And Rehabilitation Center</v>
          </cell>
          <cell r="F129">
            <v>1407882830</v>
          </cell>
        </row>
        <row r="130">
          <cell r="B130" t="str">
            <v>Bethany Woods Nursing And Rehabilitation Center</v>
          </cell>
          <cell r="F130">
            <v>1235175175</v>
          </cell>
        </row>
        <row r="131">
          <cell r="B131" t="str">
            <v>Barbour Court Nursing And Rehabilitation Center</v>
          </cell>
          <cell r="F131">
            <v>1225064777</v>
          </cell>
        </row>
        <row r="132">
          <cell r="B132" t="str">
            <v>Greendale Forest Nursing And Rehabilitation Center</v>
          </cell>
          <cell r="F132">
            <v>1063458958</v>
          </cell>
        </row>
        <row r="133">
          <cell r="B133" t="str">
            <v>River Trace Nursing And Rehabilitation Center</v>
          </cell>
          <cell r="F133">
            <v>1750317897</v>
          </cell>
        </row>
        <row r="134">
          <cell r="B134" t="str">
            <v>Westwood Hills Nursing And Rehabilitation Center</v>
          </cell>
          <cell r="F134">
            <v>1184650541</v>
          </cell>
        </row>
        <row r="135">
          <cell r="B135" t="str">
            <v>Wilson Pines Nursing And Rehabilitation Center</v>
          </cell>
          <cell r="F135">
            <v>1700812146</v>
          </cell>
        </row>
        <row r="136">
          <cell r="B136" t="str">
            <v>Peak Resources - Brookshire</v>
          </cell>
          <cell r="F136">
            <v>1336612530</v>
          </cell>
        </row>
        <row r="137">
          <cell r="B137" t="str">
            <v>Brunswick Cove Nursing Center</v>
          </cell>
          <cell r="F137">
            <v>1952446510</v>
          </cell>
        </row>
        <row r="138">
          <cell r="B138" t="str">
            <v>Hickory Falls Health And Rehabilitation</v>
          </cell>
          <cell r="F138">
            <v>1376926519</v>
          </cell>
        </row>
        <row r="139">
          <cell r="B139" t="str">
            <v>Cumberland Nursing And Rehabilitation Center</v>
          </cell>
          <cell r="F139">
            <v>1225654098</v>
          </cell>
        </row>
        <row r="140">
          <cell r="B140" t="str">
            <v>Maggie Valley Nursing And Rehabilitation</v>
          </cell>
          <cell r="F140">
            <v>1235591918</v>
          </cell>
        </row>
        <row r="141">
          <cell r="B141" t="str">
            <v>Cardinal Healthcare &amp; Rehab Center</v>
          </cell>
          <cell r="F141">
            <v>1336196526</v>
          </cell>
        </row>
        <row r="142">
          <cell r="B142" t="str">
            <v>Carolina Care Health And Rehabilitation</v>
          </cell>
          <cell r="F142">
            <v>1295279594</v>
          </cell>
        </row>
        <row r="143">
          <cell r="B143" t="str">
            <v>Maple Grove Health And Rehabilitation Center</v>
          </cell>
          <cell r="F143">
            <v>1326074048</v>
          </cell>
        </row>
        <row r="144">
          <cell r="B144" t="str">
            <v>Carolina Rehab Center of Cumberland</v>
          </cell>
          <cell r="F144">
            <v>1114501459</v>
          </cell>
        </row>
        <row r="145">
          <cell r="B145" t="str">
            <v xml:space="preserve">Capital Nursing And Rehabilitation </v>
          </cell>
          <cell r="F145">
            <v>1255385720</v>
          </cell>
        </row>
        <row r="146">
          <cell r="B146" t="str">
            <v>Carolina Rehab Center Of Burke</v>
          </cell>
          <cell r="F146">
            <v>1144804485</v>
          </cell>
        </row>
        <row r="147">
          <cell r="B147" t="str">
            <v>Carrington Place</v>
          </cell>
          <cell r="F147">
            <v>1083711626</v>
          </cell>
        </row>
        <row r="148">
          <cell r="B148" t="str">
            <v>Carver Living Center</v>
          </cell>
          <cell r="F148">
            <v>1669821336</v>
          </cell>
        </row>
        <row r="149">
          <cell r="B149" t="str">
            <v>Cary Health &amp; Rehab Center</v>
          </cell>
          <cell r="F149">
            <v>1083661193</v>
          </cell>
        </row>
        <row r="150">
          <cell r="B150" t="str">
            <v>Central Continuing Care</v>
          </cell>
          <cell r="F150">
            <v>1336118298</v>
          </cell>
        </row>
        <row r="151">
          <cell r="B151" t="str">
            <v>Peak Resources - Cherryville</v>
          </cell>
          <cell r="F151">
            <v>1609976901</v>
          </cell>
        </row>
        <row r="152">
          <cell r="B152" t="str">
            <v>Haymount Rehab &amp; Nursing Center</v>
          </cell>
          <cell r="F152">
            <v>1104800069</v>
          </cell>
        </row>
        <row r="153">
          <cell r="B153" t="str">
            <v>Peak Resources - Gastonia</v>
          </cell>
          <cell r="F153">
            <v>1235239567</v>
          </cell>
        </row>
        <row r="154">
          <cell r="B154" t="str">
            <v>Scottish Pines Rehabilitation And Nursing Center</v>
          </cell>
          <cell r="F154">
            <v>1316921190</v>
          </cell>
        </row>
        <row r="155">
          <cell r="B155" t="str">
            <v>Peak Resources - Shelby</v>
          </cell>
          <cell r="F155">
            <v>1194825448</v>
          </cell>
        </row>
        <row r="156">
          <cell r="B156" t="str">
            <v>Crystal Bluffs Rehabilitation &amp; Health Care Center</v>
          </cell>
          <cell r="F156">
            <v>1851375703</v>
          </cell>
        </row>
        <row r="157">
          <cell r="B157" t="str">
            <v>Signature Healthcare Of Chapel Hill</v>
          </cell>
          <cell r="F157">
            <v>1316351034</v>
          </cell>
        </row>
        <row r="158">
          <cell r="B158" t="str">
            <v>Charlotte Health &amp; Rehab Center</v>
          </cell>
          <cell r="F158">
            <v>1194309336</v>
          </cell>
        </row>
        <row r="159">
          <cell r="B159" t="str">
            <v>Tower Nursing And Rehabilitation Center</v>
          </cell>
          <cell r="F159">
            <v>1356387153</v>
          </cell>
        </row>
        <row r="160">
          <cell r="B160" t="str">
            <v>Clapp'S Convalescent Nursing Home, Inc.</v>
          </cell>
          <cell r="F160">
            <v>1740249382</v>
          </cell>
        </row>
        <row r="161">
          <cell r="B161" t="str">
            <v>Clapp'S Nursing Center, Inc.</v>
          </cell>
          <cell r="F161">
            <v>1225000888</v>
          </cell>
        </row>
        <row r="162">
          <cell r="B162" t="str">
            <v>Clay County Care Center</v>
          </cell>
          <cell r="F162">
            <v>1407803679</v>
          </cell>
        </row>
        <row r="163">
          <cell r="B163" t="str">
            <v>College Pines Rehabilitation and Skilled Nursing Facility</v>
          </cell>
          <cell r="F163">
            <v>1841854361</v>
          </cell>
        </row>
        <row r="164">
          <cell r="B164" t="str">
            <v>Conover Nursing &amp; Rehab Center</v>
          </cell>
          <cell r="F164">
            <v>1891722187</v>
          </cell>
        </row>
        <row r="165">
          <cell r="B165" t="str">
            <v>Liberty Commons N&amp;R Ctr. Of Halifax Cty</v>
          </cell>
          <cell r="F165">
            <v>1164476636</v>
          </cell>
        </row>
        <row r="166">
          <cell r="B166" t="str">
            <v>Westfield Rehabilitation And Health Center</v>
          </cell>
          <cell r="F166">
            <v>1891740544</v>
          </cell>
        </row>
        <row r="167">
          <cell r="B167" t="str">
            <v>Davis Health Care Center</v>
          </cell>
          <cell r="F167">
            <v>1356346191</v>
          </cell>
        </row>
        <row r="168">
          <cell r="B168" t="str">
            <v xml:space="preserve">Compass Healthcare and Rehab Guilford </v>
          </cell>
          <cell r="F168">
            <v>1346806015</v>
          </cell>
        </row>
        <row r="169">
          <cell r="B169" t="str">
            <v>Courtland Terrace</v>
          </cell>
          <cell r="F169">
            <v>1073599510</v>
          </cell>
        </row>
        <row r="170">
          <cell r="B170" t="str">
            <v>Croasdaile Village</v>
          </cell>
          <cell r="F170">
            <v>1972587376</v>
          </cell>
        </row>
        <row r="171">
          <cell r="B171" t="str">
            <v>Cross Creek Health Care</v>
          </cell>
          <cell r="F171">
            <v>1437103850</v>
          </cell>
        </row>
        <row r="172">
          <cell r="B172" t="str">
            <v>Cypress Pointe Rehabilitation Center</v>
          </cell>
          <cell r="F172">
            <v>1093131310</v>
          </cell>
        </row>
        <row r="173">
          <cell r="B173" t="str">
            <v>Accordius Health at Gatesville</v>
          </cell>
          <cell r="F173">
            <v>1831649268</v>
          </cell>
        </row>
        <row r="174">
          <cell r="B174" t="str">
            <v>Cornerstone Nursing And Rehabilitation Center</v>
          </cell>
          <cell r="F174">
            <v>1346851052</v>
          </cell>
        </row>
        <row r="175">
          <cell r="B175" t="str">
            <v>Edgewood Place At The Village-Brookwood</v>
          </cell>
          <cell r="F175">
            <v>1750418802</v>
          </cell>
        </row>
        <row r="176">
          <cell r="B176" t="str">
            <v>Elderberry Health Care</v>
          </cell>
          <cell r="F176">
            <v>1265556294</v>
          </cell>
        </row>
        <row r="177">
          <cell r="B177" t="str">
            <v>Peak Resources - Charlotte</v>
          </cell>
          <cell r="F177">
            <v>1427248905</v>
          </cell>
        </row>
        <row r="178">
          <cell r="B178" t="str">
            <v>Liberty Commons Nursing And Rehab Center Of Bladen County</v>
          </cell>
          <cell r="F178">
            <v>1588219828</v>
          </cell>
        </row>
        <row r="179">
          <cell r="B179" t="str">
            <v>Pruitthealth-Elkin</v>
          </cell>
          <cell r="F179">
            <v>1245287762</v>
          </cell>
        </row>
        <row r="180">
          <cell r="B180" t="str">
            <v>Emerald Ridge Rehab &amp; Care Center</v>
          </cell>
          <cell r="F180">
            <v>1407803828</v>
          </cell>
        </row>
        <row r="181">
          <cell r="B181" t="str">
            <v>Fair Haven Home, Inc.</v>
          </cell>
          <cell r="F181">
            <v>1275508970</v>
          </cell>
        </row>
        <row r="182">
          <cell r="B182" t="str">
            <v>Pruitthealth-Farmville</v>
          </cell>
          <cell r="F182">
            <v>1134175524</v>
          </cell>
        </row>
        <row r="183">
          <cell r="B183" t="str">
            <v>Five Oaks Manor</v>
          </cell>
          <cell r="F183">
            <v>1417944752</v>
          </cell>
        </row>
        <row r="184">
          <cell r="B184" t="str">
            <v>Flesher'S Fairview Healthcare Center</v>
          </cell>
          <cell r="F184">
            <v>1396747689</v>
          </cell>
        </row>
        <row r="185">
          <cell r="B185" t="str">
            <v>Forrest Oakes Healthcare Center</v>
          </cell>
          <cell r="F185">
            <v>1932135381</v>
          </cell>
        </row>
        <row r="186">
          <cell r="B186" t="str">
            <v>Fountains At The Albemarle</v>
          </cell>
          <cell r="F186">
            <v>1710932355</v>
          </cell>
        </row>
        <row r="187">
          <cell r="B187" t="str">
            <v>Friends Homes - Guilford</v>
          </cell>
          <cell r="F187">
            <v>1417951492</v>
          </cell>
        </row>
        <row r="188">
          <cell r="B188" t="str">
            <v>Gateway Rehabilitation And Healthcare</v>
          </cell>
          <cell r="F188">
            <v>1730136128</v>
          </cell>
        </row>
        <row r="189">
          <cell r="B189" t="str">
            <v>THE CITADEL AT MOORESVILLE</v>
          </cell>
          <cell r="F189">
            <v>1699313544</v>
          </cell>
        </row>
        <row r="190">
          <cell r="B190" t="str">
            <v>THE CITADEL AT SALISBURY</v>
          </cell>
          <cell r="F190">
            <v>1144868092</v>
          </cell>
        </row>
        <row r="191">
          <cell r="B191" t="str">
            <v>Givens Health Center</v>
          </cell>
          <cell r="F191">
            <v>1679555403</v>
          </cell>
        </row>
        <row r="192">
          <cell r="B192" t="str">
            <v>Glenaire, Inc.</v>
          </cell>
          <cell r="F192">
            <v>1174524458</v>
          </cell>
        </row>
        <row r="193">
          <cell r="B193" t="str">
            <v>Glenbridge Health And Rehabilitation</v>
          </cell>
          <cell r="F193">
            <v>1477511079</v>
          </cell>
        </row>
        <row r="194">
          <cell r="B194" t="str">
            <v>Warsaw Health And Rehab</v>
          </cell>
          <cell r="F194">
            <v>1023386190</v>
          </cell>
        </row>
        <row r="195">
          <cell r="B195" t="str">
            <v>Glenflora</v>
          </cell>
          <cell r="F195">
            <v>1396802260</v>
          </cell>
        </row>
        <row r="196">
          <cell r="B196" t="str">
            <v>Alston Brook</v>
          </cell>
          <cell r="F196">
            <v>1962509505</v>
          </cell>
        </row>
        <row r="197">
          <cell r="B197" t="str">
            <v>Golden Years Nursing Home</v>
          </cell>
          <cell r="F197">
            <v>1588618045</v>
          </cell>
        </row>
        <row r="198">
          <cell r="B198" t="str">
            <v xml:space="preserve">Grace Heights Rehabilitation and Skilled Nursing Facility </v>
          </cell>
          <cell r="F198">
            <v>1962066480</v>
          </cell>
        </row>
        <row r="199">
          <cell r="B199" t="str">
            <v>Graybrier Nursing And Retirement Center</v>
          </cell>
          <cell r="F199">
            <v>1588642102</v>
          </cell>
        </row>
        <row r="200">
          <cell r="B200" t="str">
            <v>East Carolina Rehab And Wellness</v>
          </cell>
          <cell r="F200">
            <v>1154792000</v>
          </cell>
        </row>
        <row r="201">
          <cell r="B201" t="str">
            <v>Accordius Health At Creekside</v>
          </cell>
          <cell r="F201">
            <v>1992242119</v>
          </cell>
        </row>
        <row r="202">
          <cell r="B202" t="str">
            <v>The Citadel Elizabeth City</v>
          </cell>
          <cell r="F202">
            <v>1194381681</v>
          </cell>
        </row>
        <row r="203">
          <cell r="B203" t="str">
            <v>Pelican Health Henderson</v>
          </cell>
          <cell r="F203">
            <v>1902462401</v>
          </cell>
        </row>
        <row r="204">
          <cell r="B204" t="str">
            <v>Kenansville  Health &amp; Rehab Center</v>
          </cell>
          <cell r="F204">
            <v>1689777971</v>
          </cell>
        </row>
        <row r="205">
          <cell r="B205" t="str">
            <v>Signature Healthcare Of Roanoke Rapids</v>
          </cell>
          <cell r="F205">
            <v>1649685132</v>
          </cell>
        </row>
        <row r="206">
          <cell r="B206" t="str">
            <v>Rocky Mount Rehabilitation Center</v>
          </cell>
          <cell r="F206">
            <v>1205252640</v>
          </cell>
        </row>
        <row r="207">
          <cell r="B207" t="str">
            <v>Accordius Health At Scotland Manor</v>
          </cell>
          <cell r="F207">
            <v>1528505757</v>
          </cell>
        </row>
        <row r="208">
          <cell r="B208" t="str">
            <v>Zebulon Rehabilitation Center</v>
          </cell>
          <cell r="F208">
            <v>1164848503</v>
          </cell>
        </row>
        <row r="209">
          <cell r="B209" t="str">
            <v>Guilford Health Care Center</v>
          </cell>
          <cell r="F209">
            <v>1033784970</v>
          </cell>
        </row>
        <row r="210">
          <cell r="B210" t="str">
            <v>Northhampton Nursing And Rehabilitation Center</v>
          </cell>
          <cell r="F210">
            <v>1013951896</v>
          </cell>
        </row>
        <row r="211">
          <cell r="B211" t="str">
            <v xml:space="preserve">Harborview Rehabilitation And Healthcare </v>
          </cell>
          <cell r="F211">
            <v>1649590498</v>
          </cell>
        </row>
        <row r="212">
          <cell r="B212" t="str">
            <v>Universal Health Care Lillington</v>
          </cell>
          <cell r="F212">
            <v>1235370750</v>
          </cell>
        </row>
        <row r="213">
          <cell r="B213" t="str">
            <v>Accordius Health at Hendersonville</v>
          </cell>
          <cell r="F213">
            <v>1295391795</v>
          </cell>
        </row>
        <row r="214">
          <cell r="B214" t="str">
            <v>Wadesboro Health &amp; Rehab Center</v>
          </cell>
          <cell r="F214">
            <v>1447736087</v>
          </cell>
        </row>
        <row r="215">
          <cell r="B215" t="str">
            <v>Pruitthealth-High Point</v>
          </cell>
          <cell r="F215">
            <v>1144277666</v>
          </cell>
        </row>
        <row r="216">
          <cell r="B216" t="str">
            <v xml:space="preserve">Givens Highland Farms </v>
          </cell>
          <cell r="F216">
            <v>1982948550</v>
          </cell>
        </row>
        <row r="217">
          <cell r="B217" t="str">
            <v>Highland House Rehabilitation And Healthcare</v>
          </cell>
          <cell r="F217">
            <v>1699886085</v>
          </cell>
        </row>
        <row r="218">
          <cell r="B218" t="str">
            <v>Hillcrest Convalescent Center, Inc.</v>
          </cell>
          <cell r="F218">
            <v>1336142470</v>
          </cell>
        </row>
        <row r="219">
          <cell r="B219" t="str">
            <v>Hillside Nursing Center</v>
          </cell>
          <cell r="F219">
            <v>1811984925</v>
          </cell>
        </row>
        <row r="220">
          <cell r="B220" t="str">
            <v>Hunter Woods Nursing And Rehab Center</v>
          </cell>
          <cell r="F220">
            <v>1689621880</v>
          </cell>
        </row>
        <row r="221">
          <cell r="B221" t="str">
            <v>Huntersville Oaks</v>
          </cell>
          <cell r="F221">
            <v>1932750841</v>
          </cell>
        </row>
        <row r="222">
          <cell r="B222" t="str">
            <v>The Laurels Of Pender</v>
          </cell>
          <cell r="F222">
            <v>1851836118</v>
          </cell>
        </row>
        <row r="223">
          <cell r="B223" t="str">
            <v>Pruitthealth-Durham Llc</v>
          </cell>
          <cell r="F223">
            <v>1447435722</v>
          </cell>
        </row>
        <row r="224">
          <cell r="B224" t="str">
            <v>The Oaks-Brevard</v>
          </cell>
          <cell r="F224">
            <v>1598704504</v>
          </cell>
        </row>
        <row r="225">
          <cell r="B225" t="str">
            <v>Accordius Health at Aberdeen</v>
          </cell>
          <cell r="F225">
            <v>1427608959</v>
          </cell>
        </row>
        <row r="226">
          <cell r="B226" t="str">
            <v>Signature Healthcare Of Kinston</v>
          </cell>
          <cell r="F226">
            <v>1437564739</v>
          </cell>
        </row>
        <row r="227">
          <cell r="B227" t="str">
            <v>Lake Park Nursing And Rehab Center</v>
          </cell>
          <cell r="F227">
            <v>1548206907</v>
          </cell>
        </row>
        <row r="228">
          <cell r="B228" t="str">
            <v>Pineville Rehab &amp; Living Center</v>
          </cell>
          <cell r="F228">
            <v>1922456664</v>
          </cell>
        </row>
        <row r="229">
          <cell r="B229" t="str">
            <v>Durham Nursing And Rehabilitation Center</v>
          </cell>
          <cell r="F229">
            <v>1831551514</v>
          </cell>
        </row>
        <row r="230">
          <cell r="B230" t="str">
            <v>Lenoir Healthcare Center</v>
          </cell>
          <cell r="F230">
            <v>1295704849</v>
          </cell>
        </row>
        <row r="231">
          <cell r="B231" t="str">
            <v>Lexington Health Care Center</v>
          </cell>
          <cell r="F231">
            <v>1083298236</v>
          </cell>
        </row>
        <row r="232">
          <cell r="B232" t="str">
            <v>Liberty Commons N&amp;R Ctr. Of Johnston Cty</v>
          </cell>
          <cell r="F232">
            <v>1669425401</v>
          </cell>
        </row>
        <row r="233">
          <cell r="B233" t="str">
            <v>Liberty Commons Rehabilitation Center</v>
          </cell>
          <cell r="F233">
            <v>1861446270</v>
          </cell>
        </row>
        <row r="234">
          <cell r="B234" t="str">
            <v>Liberty Commons N&amp;R Ctr. Of Rowan County</v>
          </cell>
          <cell r="F234">
            <v>1407800972</v>
          </cell>
        </row>
        <row r="235">
          <cell r="B235" t="str">
            <v>Liberty Commons Nursing &amp; Rehab Center of Alamance Cty</v>
          </cell>
          <cell r="F235">
            <v>1326089616</v>
          </cell>
        </row>
        <row r="236">
          <cell r="B236" t="str">
            <v>Liberty Commons N&amp;R Ctr Of Columbus Cty</v>
          </cell>
          <cell r="F236">
            <v>1538113014</v>
          </cell>
        </row>
        <row r="237">
          <cell r="B237" t="str">
            <v>Pelican Health Thomasville</v>
          </cell>
          <cell r="F237">
            <v>1851941389</v>
          </cell>
        </row>
        <row r="238">
          <cell r="B238" t="str">
            <v>Life Care Center Of Banner Elk</v>
          </cell>
          <cell r="F238">
            <v>1295101673</v>
          </cell>
        </row>
        <row r="239">
          <cell r="B239" t="str">
            <v>Life Care Center Of Hendersonville</v>
          </cell>
          <cell r="F239">
            <v>1760415434</v>
          </cell>
        </row>
        <row r="240">
          <cell r="B240" t="str">
            <v>Lincolnton Rehabilitation Center</v>
          </cell>
          <cell r="F240">
            <v>1629494059</v>
          </cell>
        </row>
        <row r="241">
          <cell r="B241" t="str">
            <v>Highland Acres Nursing And Rehabilitation Center</v>
          </cell>
          <cell r="F241">
            <v>1174149934</v>
          </cell>
        </row>
        <row r="242">
          <cell r="B242" t="str">
            <v>Litchford Falls Healthcare &amp; Rehab</v>
          </cell>
          <cell r="F242">
            <v>1467421024</v>
          </cell>
        </row>
        <row r="243">
          <cell r="B243" t="str">
            <v>Liberty Commons Nursing And Rehab Center Of Franklin County</v>
          </cell>
          <cell r="F243">
            <v>1043865538</v>
          </cell>
        </row>
        <row r="244">
          <cell r="B244" t="str">
            <v>Lutheran Home At Trinity Oaks, Inc.</v>
          </cell>
          <cell r="F244">
            <v>1447254149</v>
          </cell>
        </row>
        <row r="245">
          <cell r="B245" t="str">
            <v>Trinity Place</v>
          </cell>
          <cell r="F245">
            <v>1215931977</v>
          </cell>
        </row>
        <row r="246">
          <cell r="B246" t="str">
            <v>Trinity Village</v>
          </cell>
          <cell r="F246">
            <v>1427052067</v>
          </cell>
        </row>
        <row r="247">
          <cell r="B247" t="str">
            <v>Trinity Ridge</v>
          </cell>
          <cell r="F247">
            <v>1508864323</v>
          </cell>
        </row>
        <row r="248">
          <cell r="B248" t="str">
            <v>Trinity Glen</v>
          </cell>
          <cell r="F248">
            <v>1912902230</v>
          </cell>
        </row>
        <row r="249">
          <cell r="B249" t="str">
            <v>Madison Manor Rehabilitation And Nursing Center</v>
          </cell>
          <cell r="F249">
            <v>1497058416</v>
          </cell>
        </row>
        <row r="250">
          <cell r="B250" t="str">
            <v>Compass Healthcare and Rehab Rowan</v>
          </cell>
          <cell r="F250">
            <v>1407325103</v>
          </cell>
        </row>
        <row r="251">
          <cell r="B251" t="str">
            <v>Stone Creek Health And Rehabilitation</v>
          </cell>
          <cell r="F251">
            <v>1164725198</v>
          </cell>
        </row>
        <row r="252">
          <cell r="B252" t="str">
            <v>The Greens At Pinehurst Rehab &amp; Living Center</v>
          </cell>
          <cell r="F252">
            <v>1528544145</v>
          </cell>
        </row>
        <row r="253">
          <cell r="B253" t="str">
            <v>Maple Leaf Health Care</v>
          </cell>
          <cell r="F253">
            <v>1992825848</v>
          </cell>
        </row>
        <row r="254">
          <cell r="B254" t="str">
            <v>Alpine Health and Rehab</v>
          </cell>
          <cell r="F254">
            <v>1023671765</v>
          </cell>
        </row>
        <row r="255">
          <cell r="B255" t="str">
            <v>Accordius Health At Wilmington</v>
          </cell>
          <cell r="F255">
            <v>1245737840</v>
          </cell>
        </row>
        <row r="256">
          <cell r="B256" t="str">
            <v>Mary Gran Nursing Center</v>
          </cell>
          <cell r="F256">
            <v>1720033475</v>
          </cell>
        </row>
        <row r="257">
          <cell r="B257" t="str">
            <v>Maryfield Nursing Home</v>
          </cell>
          <cell r="F257">
            <v>1477641694</v>
          </cell>
        </row>
        <row r="258">
          <cell r="B258" t="str">
            <v>The Oaks At Whitaker Glen-Mayview</v>
          </cell>
          <cell r="F258">
            <v>1366529406</v>
          </cell>
        </row>
        <row r="259">
          <cell r="B259" t="str">
            <v>Deer Park Health &amp; Rehabilitation</v>
          </cell>
          <cell r="F259">
            <v>1477537199</v>
          </cell>
        </row>
        <row r="260">
          <cell r="B260" t="str">
            <v>Accordius Health At Clemmons</v>
          </cell>
          <cell r="F260">
            <v>1669991865</v>
          </cell>
        </row>
        <row r="261">
          <cell r="B261" t="str">
            <v>The Ivy at Gastonia</v>
          </cell>
          <cell r="F261">
            <v>1699336776</v>
          </cell>
        </row>
        <row r="262">
          <cell r="B262" t="str">
            <v xml:space="preserve">Mecklenburg Health And Rehabilitation Center </v>
          </cell>
          <cell r="F262">
            <v>1790317840</v>
          </cell>
        </row>
        <row r="263">
          <cell r="B263" t="str">
            <v>Mountain Ridge Wellness Center</v>
          </cell>
          <cell r="F263">
            <v>1831197714</v>
          </cell>
        </row>
        <row r="264">
          <cell r="B264" t="str">
            <v>Vero Health &amp; Rehab of Sylva</v>
          </cell>
          <cell r="F264">
            <v>1871063214</v>
          </cell>
        </row>
        <row r="265">
          <cell r="B265" t="str">
            <v>Mountain View Manor</v>
          </cell>
          <cell r="F265">
            <v>1952396509</v>
          </cell>
        </row>
        <row r="266">
          <cell r="B266" t="str">
            <v>Mountain Vista Health Park</v>
          </cell>
          <cell r="F266">
            <v>1396754875</v>
          </cell>
        </row>
        <row r="267">
          <cell r="B267" t="str">
            <v>Universal Health Care - Nashville</v>
          </cell>
          <cell r="F267">
            <v>1891007506</v>
          </cell>
        </row>
        <row r="268">
          <cell r="B268" t="str">
            <v>Hunter Hills Nursing And Rehabilitation Center</v>
          </cell>
          <cell r="F268">
            <v>1922611102</v>
          </cell>
        </row>
        <row r="269">
          <cell r="B269" t="str">
            <v>Pruitthealth-Trent</v>
          </cell>
          <cell r="F269">
            <v>1851348379</v>
          </cell>
        </row>
        <row r="270">
          <cell r="B270" t="str">
            <v>Oak Forest Health And Rehabilitation</v>
          </cell>
          <cell r="F270">
            <v>1477146959</v>
          </cell>
        </row>
        <row r="271">
          <cell r="B271" t="str">
            <v>Oak Grove Health Care Center</v>
          </cell>
          <cell r="F271">
            <v>1093754459</v>
          </cell>
        </row>
        <row r="272">
          <cell r="B272" t="str">
            <v>Liberty Commons Nursing &amp; Rehab Center of Southport</v>
          </cell>
          <cell r="F272">
            <v>1548770423</v>
          </cell>
        </row>
        <row r="273">
          <cell r="B273" t="str">
            <v>Universal Health Care Oxford</v>
          </cell>
          <cell r="F273">
            <v>1497996920</v>
          </cell>
        </row>
        <row r="274">
          <cell r="B274" t="str">
            <v>Hendersonville Health And Rehabilitation</v>
          </cell>
          <cell r="F274">
            <v>1578715504</v>
          </cell>
        </row>
        <row r="275">
          <cell r="B275" t="str">
            <v>The Lodge At Mills River</v>
          </cell>
          <cell r="F275">
            <v>1548293988</v>
          </cell>
        </row>
        <row r="276">
          <cell r="B276" t="str">
            <v>Emerald Health &amp; Rehab Center</v>
          </cell>
          <cell r="F276">
            <v>1609124155</v>
          </cell>
        </row>
        <row r="277">
          <cell r="B277" t="str">
            <v>Penick Village</v>
          </cell>
          <cell r="F277">
            <v>1780693663</v>
          </cell>
        </row>
        <row r="278">
          <cell r="B278" t="str">
            <v>Pettigrew Rehabilitation Center</v>
          </cell>
          <cell r="F278">
            <v>1144646274</v>
          </cell>
        </row>
        <row r="279">
          <cell r="B279" t="str">
            <v>Piedmont Crossing</v>
          </cell>
          <cell r="F279">
            <v>1124015458</v>
          </cell>
        </row>
        <row r="280">
          <cell r="B280" t="str">
            <v>Liberty Commons Nursing And Rehab Center Of Moore County</v>
          </cell>
          <cell r="F280">
            <v>1467007856</v>
          </cell>
        </row>
        <row r="281">
          <cell r="B281" t="str">
            <v>Peak Resources - Pinelake</v>
          </cell>
          <cell r="F281">
            <v>1841390002</v>
          </cell>
        </row>
        <row r="282">
          <cell r="B282" t="str">
            <v>Pisgah Manor, Inc.</v>
          </cell>
          <cell r="F282">
            <v>1073034138</v>
          </cell>
        </row>
        <row r="283">
          <cell r="B283" t="str">
            <v>The Carrolton of Plymouth</v>
          </cell>
          <cell r="F283">
            <v>1861003485</v>
          </cell>
        </row>
        <row r="284">
          <cell r="B284" t="str">
            <v>Premier Living And Rehab Center</v>
          </cell>
          <cell r="F284">
            <v>1720085293</v>
          </cell>
        </row>
        <row r="285">
          <cell r="B285" t="str">
            <v>COMPASS HEALTHCARE AND REHAB HAWFIE</v>
          </cell>
          <cell r="F285">
            <v>1801428768</v>
          </cell>
        </row>
        <row r="286">
          <cell r="B286" t="str">
            <v xml:space="preserve">Royal Park Rehabilitation &amp; Health Center Of Matthews </v>
          </cell>
          <cell r="F286">
            <v>1336193754</v>
          </cell>
        </row>
        <row r="287">
          <cell r="B287" t="str">
            <v>Quail Haven Healthcare Center Of Pinehurst</v>
          </cell>
          <cell r="F287">
            <v>1548696834</v>
          </cell>
        </row>
        <row r="288">
          <cell r="B288" t="str">
            <v>Raleigh Rehabilitation Center</v>
          </cell>
          <cell r="F288">
            <v>1396161527</v>
          </cell>
        </row>
        <row r="289">
          <cell r="B289" t="str">
            <v>Village Green Health And Rehabilitation</v>
          </cell>
          <cell r="F289">
            <v>1134660103</v>
          </cell>
        </row>
        <row r="290">
          <cell r="B290" t="str">
            <v>Accordius Health At Gastonia</v>
          </cell>
          <cell r="F290">
            <v>1043703945</v>
          </cell>
        </row>
        <row r="291">
          <cell r="B291" t="str">
            <v>Peak Resources Alamance</v>
          </cell>
          <cell r="F291">
            <v>1275823155</v>
          </cell>
        </row>
        <row r="292">
          <cell r="B292" t="str">
            <v>Monroe Rehabilitation Center</v>
          </cell>
          <cell r="F292">
            <v>1336565779</v>
          </cell>
        </row>
        <row r="293">
          <cell r="B293" t="str">
            <v>Rickman Nursing Care Center</v>
          </cell>
          <cell r="F293">
            <v>1700874880</v>
          </cell>
        </row>
        <row r="294">
          <cell r="B294" t="str">
            <v>RIDGEWOOD LIVING &amp; REHABILITATION CENTER</v>
          </cell>
          <cell r="F294">
            <v>1306293170</v>
          </cell>
        </row>
        <row r="295">
          <cell r="B295" t="str">
            <v>Pruitthealth-Rockingham</v>
          </cell>
          <cell r="F295">
            <v>1033513320</v>
          </cell>
        </row>
        <row r="296">
          <cell r="B296" t="str">
            <v>Accordius Health at Rose Manor</v>
          </cell>
          <cell r="F296">
            <v>1770149270</v>
          </cell>
        </row>
        <row r="297">
          <cell r="B297" t="str">
            <v>Liberty Commons Nursing &amp; Rehab Ctr of Person Cty</v>
          </cell>
          <cell r="F297">
            <v>1104471531</v>
          </cell>
        </row>
        <row r="298">
          <cell r="B298" t="str">
            <v>Salemtowne</v>
          </cell>
          <cell r="F298">
            <v>1568454262</v>
          </cell>
        </row>
        <row r="299">
          <cell r="B299" t="str">
            <v>Sardis Oaks</v>
          </cell>
          <cell r="F299">
            <v>1669023685</v>
          </cell>
        </row>
        <row r="300">
          <cell r="B300" t="str">
            <v>Saturn Nursing And Rehabilitation</v>
          </cell>
          <cell r="F300">
            <v>1053380626</v>
          </cell>
        </row>
        <row r="301">
          <cell r="B301" t="str">
            <v>Scotia Village</v>
          </cell>
          <cell r="F301">
            <v>1346241627</v>
          </cell>
        </row>
        <row r="302">
          <cell r="B302" t="str">
            <v>Senior Citizen'S Home, Inc.</v>
          </cell>
          <cell r="F302">
            <v>1740278126</v>
          </cell>
        </row>
        <row r="303">
          <cell r="B303" t="str">
            <v>Currituck Health &amp; Rehab Center</v>
          </cell>
          <cell r="F303">
            <v>1639630452</v>
          </cell>
        </row>
        <row r="304">
          <cell r="B304" t="str">
            <v>Shaire Nursing Center</v>
          </cell>
          <cell r="F304">
            <v>1740386473</v>
          </cell>
        </row>
        <row r="305">
          <cell r="B305" t="str">
            <v>Shoreland Healthcare</v>
          </cell>
          <cell r="F305">
            <v>1689628141</v>
          </cell>
        </row>
        <row r="306">
          <cell r="B306" t="str">
            <v>Silas Creek Rehabilitation Center</v>
          </cell>
          <cell r="F306">
            <v>1063838381</v>
          </cell>
        </row>
        <row r="307">
          <cell r="B307" t="str">
            <v>Silver Bluff, Inc.</v>
          </cell>
          <cell r="F307">
            <v>1093708497</v>
          </cell>
        </row>
        <row r="308">
          <cell r="B308" t="str">
            <v>Skyland Care Center</v>
          </cell>
          <cell r="F308">
            <v>1295733517</v>
          </cell>
        </row>
        <row r="309">
          <cell r="B309" t="str">
            <v>Smithfield Manor Nursing And Rehab</v>
          </cell>
          <cell r="F309">
            <v>1649268335</v>
          </cell>
        </row>
        <row r="310">
          <cell r="B310" t="str">
            <v>The Lodge at Rocky Mount</v>
          </cell>
          <cell r="F310">
            <v>1417368143</v>
          </cell>
        </row>
        <row r="311">
          <cell r="B311" t="str">
            <v>Southwood Nursing &amp; Retirement Center</v>
          </cell>
          <cell r="F311">
            <v>1043263981</v>
          </cell>
        </row>
        <row r="312">
          <cell r="B312" t="str">
            <v>Summerstone Health And Rehabilitation Center</v>
          </cell>
          <cell r="F312">
            <v>1710244827</v>
          </cell>
        </row>
        <row r="313">
          <cell r="B313" t="str">
            <v>St Joseph Of The Pines</v>
          </cell>
          <cell r="F313">
            <v>1184712580</v>
          </cell>
        </row>
        <row r="314">
          <cell r="B314" t="str">
            <v>Stanley Total Living Center</v>
          </cell>
          <cell r="F314">
            <v>1407843097</v>
          </cell>
        </row>
        <row r="315">
          <cell r="B315" t="str">
            <v>Stanly Manor,Inc.</v>
          </cell>
          <cell r="F315">
            <v>1891346797</v>
          </cell>
        </row>
        <row r="316">
          <cell r="B316" t="str">
            <v>Alleghany Care And Rehabilitation Center</v>
          </cell>
          <cell r="F316">
            <v>1639122328</v>
          </cell>
        </row>
        <row r="317">
          <cell r="B317" t="str">
            <v xml:space="preserve">Woodland Hill Center </v>
          </cell>
          <cell r="F317">
            <v>1467016105</v>
          </cell>
        </row>
        <row r="318">
          <cell r="B318" t="str">
            <v>Bladen East Health And Rehabilitation Center</v>
          </cell>
          <cell r="F318">
            <v>1497283899</v>
          </cell>
        </row>
        <row r="319">
          <cell r="B319" t="str">
            <v>Abbotts Creek Care And Rehabilition Center</v>
          </cell>
          <cell r="F319">
            <v>1285687962</v>
          </cell>
        </row>
        <row r="320">
          <cell r="B320" t="str">
            <v>Mount Olive Care And Rehabilitation Center</v>
          </cell>
          <cell r="F320">
            <v>1649224056</v>
          </cell>
        </row>
        <row r="321">
          <cell r="B321" t="str">
            <v>Pembroke Care And Rehabilitation Center</v>
          </cell>
          <cell r="F321">
            <v>1194779504</v>
          </cell>
        </row>
        <row r="322">
          <cell r="B322" t="str">
            <v>Siler City Care And Rehabilitation Center</v>
          </cell>
          <cell r="F322">
            <v>1003869983</v>
          </cell>
        </row>
        <row r="323">
          <cell r="B323" t="str">
            <v>Triad Care And Rehabilitation Center</v>
          </cell>
          <cell r="F323">
            <v>1952354565</v>
          </cell>
        </row>
        <row r="324">
          <cell r="B324" t="str">
            <v>Sunnybrook Rehabilitation Center</v>
          </cell>
          <cell r="F324">
            <v>1821414269</v>
          </cell>
        </row>
        <row r="325">
          <cell r="B325" t="str">
            <v>Surry Community Health Ctr of Harborview</v>
          </cell>
          <cell r="F325">
            <v>1225588536</v>
          </cell>
        </row>
        <row r="326">
          <cell r="B326" t="str">
            <v>Universal Health Care Greenville</v>
          </cell>
          <cell r="F326">
            <v>1225279755</v>
          </cell>
        </row>
        <row r="327">
          <cell r="B327" t="str">
            <v>Prodigy Transitional Rehab</v>
          </cell>
          <cell r="F327">
            <v>1720166838</v>
          </cell>
        </row>
        <row r="328">
          <cell r="B328" t="str">
            <v>Pruitthealth-Sealevel</v>
          </cell>
          <cell r="F328">
            <v>1023358991</v>
          </cell>
        </row>
        <row r="329">
          <cell r="B329" t="str">
            <v>Pruitthealth-Town Center</v>
          </cell>
          <cell r="F329">
            <v>1700833233</v>
          </cell>
        </row>
        <row r="330">
          <cell r="B330" t="str">
            <v>The Laurels Of Chatham</v>
          </cell>
          <cell r="F330">
            <v>1215982525</v>
          </cell>
        </row>
        <row r="331">
          <cell r="B331" t="str">
            <v>The Laurels Of Forest Glenn</v>
          </cell>
          <cell r="F331">
            <v>1427003110</v>
          </cell>
        </row>
        <row r="332">
          <cell r="B332" t="str">
            <v>The Laurels Of Greentree Ridge</v>
          </cell>
          <cell r="F332">
            <v>1598710949</v>
          </cell>
        </row>
        <row r="333">
          <cell r="B333" t="str">
            <v>The Laurels Of Hendersonville</v>
          </cell>
          <cell r="F333">
            <v>1770538092</v>
          </cell>
        </row>
        <row r="334">
          <cell r="B334" t="str">
            <v>The Laurels Of Salisbury</v>
          </cell>
          <cell r="F334">
            <v>1871548487</v>
          </cell>
        </row>
        <row r="335">
          <cell r="B335" t="str">
            <v>The Laurels Of Summit Ridge</v>
          </cell>
          <cell r="F335">
            <v>1467407775</v>
          </cell>
        </row>
        <row r="336">
          <cell r="B336" t="str">
            <v>The Oaks</v>
          </cell>
          <cell r="F336">
            <v>1881993079</v>
          </cell>
        </row>
        <row r="337">
          <cell r="B337" t="str">
            <v>The Oaks At Sweeten Creek</v>
          </cell>
          <cell r="F337">
            <v>1255379293</v>
          </cell>
        </row>
        <row r="338">
          <cell r="B338" t="str">
            <v>Three Rivers Health And Rehab Center</v>
          </cell>
          <cell r="F338">
            <v>1881648350</v>
          </cell>
        </row>
        <row r="339">
          <cell r="B339" t="str">
            <v>Ths Of Kannapolis</v>
          </cell>
          <cell r="F339">
            <v>1669410312</v>
          </cell>
        </row>
        <row r="340">
          <cell r="B340" t="str">
            <v>Trent Village Nursing Home</v>
          </cell>
          <cell r="F340">
            <v>1184705048</v>
          </cell>
        </row>
        <row r="341">
          <cell r="B341" t="str">
            <v>Treyburn Rehabilitation Center</v>
          </cell>
          <cell r="F341">
            <v>1386187813</v>
          </cell>
        </row>
        <row r="342">
          <cell r="B342" t="str">
            <v xml:space="preserve">Tsali Care Center                                 </v>
          </cell>
          <cell r="F342" t="e">
            <v>#N/A</v>
          </cell>
        </row>
        <row r="343">
          <cell r="B343" t="str">
            <v>Twin Lakes Community</v>
          </cell>
          <cell r="F343">
            <v>1669449799</v>
          </cell>
        </row>
        <row r="344">
          <cell r="B344" t="str">
            <v>Pruitthealth-Neuse</v>
          </cell>
          <cell r="F344">
            <v>1245285253</v>
          </cell>
        </row>
        <row r="345">
          <cell r="B345" t="str">
            <v>Universal Healthcare - King</v>
          </cell>
          <cell r="F345">
            <v>1629047279</v>
          </cell>
        </row>
        <row r="346">
          <cell r="B346" t="str">
            <v>Universal Healthcare And Rehabilitation</v>
          </cell>
          <cell r="F346">
            <v>1942279609</v>
          </cell>
        </row>
        <row r="347">
          <cell r="B347" t="str">
            <v>Universal Healthcare of Fletcher</v>
          </cell>
          <cell r="F347">
            <v>1114996758</v>
          </cell>
        </row>
        <row r="348">
          <cell r="B348" t="str">
            <v>Universal Healthcare of Ramseur</v>
          </cell>
          <cell r="F348">
            <v>1902875578</v>
          </cell>
        </row>
        <row r="349">
          <cell r="B349" t="str">
            <v>Universal Healthcare - North Raleigh</v>
          </cell>
          <cell r="F349">
            <v>1144299702</v>
          </cell>
        </row>
        <row r="350">
          <cell r="B350" t="str">
            <v>Valley Nursing Center</v>
          </cell>
          <cell r="F350">
            <v>1689640583</v>
          </cell>
        </row>
        <row r="351">
          <cell r="B351" t="str">
            <v>Valley View Care &amp; Rehab Center</v>
          </cell>
          <cell r="F351">
            <v>1831125285</v>
          </cell>
        </row>
        <row r="352">
          <cell r="B352" t="str">
            <v>Village Care Of King</v>
          </cell>
          <cell r="F352">
            <v>1629515499</v>
          </cell>
        </row>
        <row r="353">
          <cell r="B353" t="str">
            <v>Elizabeth City Health And Rehabilitation Center</v>
          </cell>
          <cell r="F353">
            <v>1952766271</v>
          </cell>
        </row>
        <row r="354">
          <cell r="B354" t="str">
            <v>Walnut Cove Healthcare Center</v>
          </cell>
          <cell r="F354">
            <v>1659319366</v>
          </cell>
        </row>
        <row r="355">
          <cell r="B355" t="str">
            <v>Warren Hills Nursing Center</v>
          </cell>
          <cell r="F355">
            <v>1972050276</v>
          </cell>
        </row>
        <row r="356">
          <cell r="B356" t="str">
            <v>Wellington Nursing And Rehab Center</v>
          </cell>
          <cell r="F356">
            <v>1154369841</v>
          </cell>
        </row>
        <row r="357">
          <cell r="B357" t="str">
            <v>Wesley Pines</v>
          </cell>
          <cell r="F357">
            <v>1639153919</v>
          </cell>
        </row>
        <row r="358">
          <cell r="B358" t="str">
            <v>Westchester Manor At Providence Place</v>
          </cell>
          <cell r="F358">
            <v>1043314602</v>
          </cell>
        </row>
        <row r="359">
          <cell r="B359" t="str">
            <v>Westwood Health &amp; Rehab Center</v>
          </cell>
          <cell r="F359">
            <v>1700821865</v>
          </cell>
        </row>
        <row r="360">
          <cell r="B360" t="str">
            <v>Whispering Pines Nursing Home</v>
          </cell>
          <cell r="F360">
            <v>1902853781</v>
          </cell>
        </row>
        <row r="361">
          <cell r="B361" t="str">
            <v>White Oak Manor Burlington Inc</v>
          </cell>
          <cell r="F361">
            <v>1235264219</v>
          </cell>
        </row>
        <row r="362">
          <cell r="B362" t="str">
            <v>White Oak Manor Charlotte Inc</v>
          </cell>
          <cell r="F362">
            <v>1366577355</v>
          </cell>
        </row>
        <row r="363">
          <cell r="B363" t="str">
            <v>White Oak Manor Kings Mountain Inc</v>
          </cell>
          <cell r="F363">
            <v>1033244090</v>
          </cell>
        </row>
        <row r="364">
          <cell r="B364" t="str">
            <v>Accordius Health at Rutherfordton</v>
          </cell>
          <cell r="F364">
            <v>1699310839</v>
          </cell>
        </row>
        <row r="365">
          <cell r="B365" t="str">
            <v>White Oak Manor Shelby Inc</v>
          </cell>
          <cell r="F365">
            <v>1770618720</v>
          </cell>
        </row>
        <row r="366">
          <cell r="B366" t="str">
            <v>White Oak Manor Tryon Inc</v>
          </cell>
          <cell r="F366">
            <v>1356476311</v>
          </cell>
        </row>
        <row r="367">
          <cell r="B367" t="str">
            <v>Wilkesboro Health &amp; Rehab</v>
          </cell>
          <cell r="F367">
            <v>1528606225</v>
          </cell>
        </row>
        <row r="368">
          <cell r="B368" t="str">
            <v>Roanoke River Nursing And Rehabilitation Center</v>
          </cell>
          <cell r="F368">
            <v>1669083291</v>
          </cell>
        </row>
        <row r="369">
          <cell r="B369" t="str">
            <v>Willow Ridge Of North Carolina, Llc</v>
          </cell>
          <cell r="F369">
            <v>1629425491</v>
          </cell>
        </row>
        <row r="370">
          <cell r="B370" t="str">
            <v>Willowbrook Healthcare Center</v>
          </cell>
          <cell r="F370">
            <v>1629016340</v>
          </cell>
        </row>
        <row r="371">
          <cell r="B371" t="str">
            <v>Wilson Rehabilitation And Nursing Ctr</v>
          </cell>
          <cell r="F371">
            <v>1750703278</v>
          </cell>
        </row>
        <row r="372">
          <cell r="B372" t="str">
            <v>Wilora Lake Healthcare Center</v>
          </cell>
          <cell r="F372">
            <v>1215979059</v>
          </cell>
        </row>
        <row r="373">
          <cell r="B373" t="str">
            <v>The Citadel at Winston Salem</v>
          </cell>
          <cell r="F373">
            <v>1821551797</v>
          </cell>
        </row>
        <row r="374">
          <cell r="B374" t="str">
            <v>Woodbury Wellness Center</v>
          </cell>
          <cell r="F374">
            <v>1992793962</v>
          </cell>
        </row>
        <row r="375">
          <cell r="B375" t="str">
            <v>Woodlands Nursing &amp; Rehabilitation Center</v>
          </cell>
          <cell r="F375">
            <v>1023481520</v>
          </cell>
        </row>
        <row r="376">
          <cell r="B376" t="str">
            <v>Yadkin Nursing Care Center, Inc.</v>
          </cell>
          <cell r="F376">
            <v>1174178313</v>
          </cell>
        </row>
        <row r="377">
          <cell r="B377" t="str">
            <v>Smoky Ridge Health &amp; Rehabilitation</v>
          </cell>
          <cell r="F377">
            <v>1053395210</v>
          </cell>
        </row>
        <row r="378">
          <cell r="B378" t="str">
            <v>Anson Health And Rehabilitation, Llc</v>
          </cell>
          <cell r="F378">
            <v>1487060893</v>
          </cell>
        </row>
        <row r="379">
          <cell r="B379" t="str">
            <v>Liberty Commons Nursing &amp; Rehab Center of Watauga County</v>
          </cell>
          <cell r="F379">
            <v>1629535455</v>
          </cell>
        </row>
        <row r="380">
          <cell r="B380" t="str">
            <v>Brantwood Nursing &amp; Retirement Center</v>
          </cell>
          <cell r="F380">
            <v>1265441208</v>
          </cell>
        </row>
        <row r="381">
          <cell r="B381" t="str">
            <v>Cleveland Pines</v>
          </cell>
          <cell r="F381">
            <v>1710537998</v>
          </cell>
        </row>
        <row r="382">
          <cell r="B382" t="str">
            <v>Edwin Morgan Center/Scotland Mem Hosp</v>
          </cell>
          <cell r="F382">
            <v>1659365666</v>
          </cell>
        </row>
        <row r="383">
          <cell r="B383" t="str">
            <v xml:space="preserve">Eckerd Living Center </v>
          </cell>
          <cell r="F383">
            <v>1184196206</v>
          </cell>
        </row>
        <row r="384">
          <cell r="B384" t="str">
            <v>Hugh Chatham Memorial Hospital</v>
          </cell>
          <cell r="F384">
            <v>1104950765</v>
          </cell>
        </row>
        <row r="385">
          <cell r="B385" t="str">
            <v>Iredell Memorial Hospital, Incorporated</v>
          </cell>
          <cell r="F385">
            <v>1760462196</v>
          </cell>
        </row>
        <row r="386">
          <cell r="B386" t="str">
            <v>Southport Nursing Center</v>
          </cell>
          <cell r="F386">
            <v>1457709891</v>
          </cell>
        </row>
        <row r="387">
          <cell r="B387" t="str">
            <v>Lenoir Memorial Hospital-Nf</v>
          </cell>
          <cell r="F387">
            <v>1386688703</v>
          </cell>
        </row>
        <row r="388">
          <cell r="B388" t="str">
            <v>Rex Rehab &amp; Nursing Center of Apex</v>
          </cell>
          <cell r="F388">
            <v>1770582363</v>
          </cell>
        </row>
        <row r="389">
          <cell r="B389" t="str">
            <v>UNC Rockingham Rehabilitation &amp; Nursing Care Center</v>
          </cell>
          <cell r="F389">
            <v>1720088339</v>
          </cell>
        </row>
        <row r="390">
          <cell r="B390" t="str">
            <v>Heartland Living &amp; Rehab @ The Moses H Cone Mem</v>
          </cell>
          <cell r="F390">
            <v>1326143504</v>
          </cell>
        </row>
        <row r="391">
          <cell r="B391" t="str">
            <v>Northern Hospital Of Surry County-Ltc</v>
          </cell>
          <cell r="F391">
            <v>1932107547</v>
          </cell>
        </row>
        <row r="392">
          <cell r="B392" t="str">
            <v>Our Community Hospital-Ltc</v>
          </cell>
          <cell r="F392">
            <v>1558391250</v>
          </cell>
        </row>
        <row r="393">
          <cell r="B393" t="str">
            <v>Pender Memorial Hospital Snf</v>
          </cell>
          <cell r="F393">
            <v>1538137468</v>
          </cell>
        </row>
        <row r="394">
          <cell r="B394" t="str">
            <v xml:space="preserve">Person Memorial Hospital </v>
          </cell>
          <cell r="F394">
            <v>1942583752</v>
          </cell>
        </row>
        <row r="395">
          <cell r="B395" t="str">
            <v>Sampson Regional Medical Center</v>
          </cell>
          <cell r="F395">
            <v>1187450150</v>
          </cell>
        </row>
        <row r="396">
          <cell r="B396" t="str">
            <v>Jesse Helms Nursing Center</v>
          </cell>
          <cell r="F396">
            <v>1053953844</v>
          </cell>
        </row>
        <row r="397">
          <cell r="B397" t="str">
            <v>Woodhaven Nursing &amp; Alzheimer'S Care Ctr</v>
          </cell>
          <cell r="F397">
            <v>1528040888</v>
          </cell>
        </row>
        <row r="398">
          <cell r="B398" t="str">
            <v>Kindred Hospital-Greensboro</v>
          </cell>
          <cell r="F398">
            <v>1134298615</v>
          </cell>
        </row>
        <row r="399">
          <cell r="B399" t="str">
            <v xml:space="preserve">Murphy Rehabilitation And Nursing </v>
          </cell>
          <cell r="F399">
            <v>1952486771</v>
          </cell>
        </row>
        <row r="400">
          <cell r="B400" t="str">
            <v>Rex Rehab &amp; Nursing Center of Raleigh</v>
          </cell>
          <cell r="F400">
            <v>1376542878</v>
          </cell>
        </row>
        <row r="401">
          <cell r="B401" t="str">
            <v>Stokes County Nursing Home</v>
          </cell>
          <cell r="F401">
            <v>1629511597</v>
          </cell>
        </row>
        <row r="402">
          <cell r="B402" t="str">
            <v>Penn Nursing Center</v>
          </cell>
          <cell r="F402">
            <v>1407966864</v>
          </cell>
        </row>
        <row r="403">
          <cell r="B403" t="str">
            <v>Whitestone:  A Masonic And Eastern Star Community</v>
          </cell>
          <cell r="F403">
            <v>1548230188</v>
          </cell>
        </row>
        <row r="404">
          <cell r="B404" t="str">
            <v>Wakemed Fuquay Varina</v>
          </cell>
          <cell r="F404">
            <v>1124094008</v>
          </cell>
        </row>
        <row r="405">
          <cell r="B405" t="str">
            <v>Wake Med For Zebulon</v>
          </cell>
          <cell r="F405">
            <v>1366418246</v>
          </cell>
        </row>
        <row r="406">
          <cell r="B406" t="str">
            <v>Snug Harbor</v>
          </cell>
          <cell r="F406">
            <v>1437110913</v>
          </cell>
        </row>
        <row r="407">
          <cell r="B407" t="str">
            <v>Adams Farm And Living Rehab</v>
          </cell>
          <cell r="F407">
            <v>1366552739</v>
          </cell>
        </row>
        <row r="408">
          <cell r="B408" t="str">
            <v>RIVER LANDING AT SANDY RIDGE</v>
          </cell>
          <cell r="F408">
            <v>1518968890</v>
          </cell>
        </row>
        <row r="409">
          <cell r="B409" t="str">
            <v>Sanford Health And Rehabilitation</v>
          </cell>
          <cell r="F409">
            <v>1811920267</v>
          </cell>
        </row>
        <row r="410">
          <cell r="B410" t="str">
            <v>Liberty Commons N&amp;R Ctr. Of Lee County</v>
          </cell>
          <cell r="F410">
            <v>1861446338</v>
          </cell>
        </row>
        <row r="411">
          <cell r="B411" t="str">
            <v>Pruitthealth-Raleigh</v>
          </cell>
          <cell r="F411">
            <v>1730136250</v>
          </cell>
        </row>
        <row r="412">
          <cell r="B412" t="str">
            <v xml:space="preserve">Olde Knox Commons </v>
          </cell>
          <cell r="F412">
            <v>1861521635</v>
          </cell>
        </row>
        <row r="413">
          <cell r="B413" t="str">
            <v>Bermuda Commons</v>
          </cell>
          <cell r="F413">
            <v>1891908687</v>
          </cell>
        </row>
        <row r="414">
          <cell r="B414" t="str">
            <v>Peak Resources-Wilmington</v>
          </cell>
          <cell r="F414">
            <v>1326519844</v>
          </cell>
        </row>
        <row r="415">
          <cell r="B415" t="str">
            <v>Twin Lakes Community Memory Care</v>
          </cell>
          <cell r="F415">
            <v>1932368586</v>
          </cell>
        </row>
        <row r="416">
          <cell r="B416" t="str">
            <v>Camden Health And Rehabilitation</v>
          </cell>
          <cell r="F416">
            <v>1306372230</v>
          </cell>
        </row>
        <row r="417">
          <cell r="B417" t="str">
            <v>Universal Healthcare / Brunswick Inc.</v>
          </cell>
          <cell r="F417">
            <v>1437484672</v>
          </cell>
        </row>
        <row r="418">
          <cell r="B418" t="str">
            <v>Ashton Health And Rehabilitation</v>
          </cell>
          <cell r="F418">
            <v>1982130811</v>
          </cell>
        </row>
        <row r="419">
          <cell r="B419" t="str">
            <v>White Oak Of Waxhaw</v>
          </cell>
          <cell r="F419">
            <v>1124342241</v>
          </cell>
        </row>
        <row r="420">
          <cell r="B420" t="str">
            <v>The Shannon Gray Rehab &amp; Recovery Center</v>
          </cell>
          <cell r="F420">
            <v>1669613071</v>
          </cell>
        </row>
        <row r="421">
          <cell r="B421" t="str">
            <v>Pruitthealth-Carolina Point</v>
          </cell>
          <cell r="F421">
            <v>1518112036</v>
          </cell>
        </row>
        <row r="422">
          <cell r="B422" t="str">
            <v>Autumn Care Of Fayetteville</v>
          </cell>
          <cell r="F422">
            <v>1114463932</v>
          </cell>
        </row>
        <row r="423">
          <cell r="B423" t="str">
            <v>Trinity Grove</v>
          </cell>
          <cell r="F423">
            <v>1194028118</v>
          </cell>
        </row>
        <row r="424">
          <cell r="B424" t="str">
            <v>Presbyterian Orthopaedic Hospital, Llc</v>
          </cell>
          <cell r="F424" t="e">
            <v>#N/A</v>
          </cell>
        </row>
        <row r="425">
          <cell r="B425" t="str">
            <v>Azalea Health And Rehab Center</v>
          </cell>
          <cell r="F425">
            <v>1255682522</v>
          </cell>
        </row>
        <row r="426">
          <cell r="B426" t="str">
            <v xml:space="preserve">Hillcrest Raleigh at Crabtree Valley </v>
          </cell>
          <cell r="F426">
            <v>1639556806</v>
          </cell>
        </row>
        <row r="427">
          <cell r="B427" t="str">
            <v>Universal Healthcare/Fuquay-Varina</v>
          </cell>
          <cell r="F427">
            <v>1588805014</v>
          </cell>
        </row>
        <row r="428">
          <cell r="B428" t="str">
            <v>Pavillion Health Center At Brightmore</v>
          </cell>
          <cell r="F428">
            <v>1962832899</v>
          </cell>
        </row>
        <row r="429">
          <cell r="B429" t="str">
            <v>Clear Creek Nursing &amp; Rehabilitation Center</v>
          </cell>
          <cell r="F429">
            <v>1710312079</v>
          </cell>
        </row>
        <row r="430">
          <cell r="B430" t="str">
            <v>Pruitthealth-Union Pointe</v>
          </cell>
          <cell r="F430">
            <v>1992106348</v>
          </cell>
        </row>
        <row r="431">
          <cell r="B431" t="str">
            <v>Autumn Care Of Cornelius</v>
          </cell>
          <cell r="F431">
            <v>1376932889</v>
          </cell>
        </row>
        <row r="432">
          <cell r="B432" t="str">
            <v>Trinity Elms</v>
          </cell>
          <cell r="F432">
            <v>1912323635</v>
          </cell>
        </row>
        <row r="433">
          <cell r="B433" t="str">
            <v>Davis Health and Wellness Center at Cambridge Village</v>
          </cell>
          <cell r="F433">
            <v>1841697422</v>
          </cell>
        </row>
        <row r="434">
          <cell r="B434" t="str">
            <v>Springbrook Nursing and Rehabilitation Center</v>
          </cell>
          <cell r="F434">
            <v>1003205337</v>
          </cell>
        </row>
        <row r="435">
          <cell r="B435" t="str">
            <v>Huntersville Nursing and Rehabilitation Center</v>
          </cell>
          <cell r="F435">
            <v>1477137628</v>
          </cell>
        </row>
        <row r="436">
          <cell r="B436" t="str">
            <v>Bermuda Village Retirement Center</v>
          </cell>
          <cell r="F436" t="e">
            <v>#N/A</v>
          </cell>
        </row>
        <row r="437">
          <cell r="B437" t="str">
            <v>Asbury Health and Rehabilitation Center</v>
          </cell>
          <cell r="F437">
            <v>1992998504</v>
          </cell>
        </row>
        <row r="438">
          <cell r="B438" t="str">
            <v>Bellarose Nursing and Rehabilitation Center</v>
          </cell>
          <cell r="F438">
            <v>1093228397</v>
          </cell>
        </row>
        <row r="439">
          <cell r="B439" t="str">
            <v>Brunswick Health and Rehabilitation Center</v>
          </cell>
          <cell r="F439">
            <v>1558872333</v>
          </cell>
        </row>
        <row r="440">
          <cell r="B440" t="str">
            <v>Friends Homes - West</v>
          </cell>
          <cell r="F440">
            <v>1730183625</v>
          </cell>
        </row>
        <row r="443">
          <cell r="F443" t="str">
            <v xml:space="preserve"> </v>
          </cell>
        </row>
        <row r="444">
          <cell r="F444" t="str">
            <v xml:space="preserve"> </v>
          </cell>
        </row>
        <row r="445">
          <cell r="F445" t="str">
            <v xml:space="preserve"> </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16"/>
  <sheetViews>
    <sheetView tabSelected="1" workbookViewId="0"/>
  </sheetViews>
  <sheetFormatPr defaultRowHeight="13.2" x14ac:dyDescent="0.25"/>
  <cols>
    <col min="8" max="8" width="12.21875" customWidth="1"/>
    <col min="9" max="9" width="14.21875" customWidth="1"/>
  </cols>
  <sheetData>
    <row r="1" spans="1:9" ht="22.8" x14ac:dyDescent="0.4">
      <c r="A1" s="6" t="s">
        <v>30</v>
      </c>
      <c r="B1" s="6"/>
      <c r="C1" s="6"/>
      <c r="D1" s="6"/>
      <c r="E1" s="6"/>
      <c r="F1" s="6"/>
      <c r="G1" s="6"/>
      <c r="H1" s="6"/>
      <c r="I1" s="6"/>
    </row>
    <row r="2" spans="1:9" ht="22.8" x14ac:dyDescent="0.4">
      <c r="A2" s="6" t="s">
        <v>31</v>
      </c>
      <c r="B2" s="6"/>
      <c r="C2" s="6"/>
      <c r="D2" s="6"/>
      <c r="E2" s="6"/>
      <c r="F2" s="6"/>
      <c r="G2" s="6"/>
      <c r="H2" s="6"/>
      <c r="I2" s="6"/>
    </row>
    <row r="3" spans="1:9" ht="70.8" customHeight="1" x14ac:dyDescent="0.25">
      <c r="A3" s="194" t="s">
        <v>802</v>
      </c>
      <c r="B3" s="195"/>
      <c r="C3" s="195"/>
      <c r="D3" s="195"/>
      <c r="E3" s="195"/>
      <c r="F3" s="195"/>
      <c r="G3" s="195"/>
      <c r="H3" s="195"/>
      <c r="I3" s="195"/>
    </row>
    <row r="4" spans="1:9" ht="26.25" customHeight="1" x14ac:dyDescent="0.25">
      <c r="A4" s="5" t="s">
        <v>718</v>
      </c>
    </row>
    <row r="5" spans="1:9" ht="26.4" customHeight="1" x14ac:dyDescent="0.25">
      <c r="B5" s="194" t="s">
        <v>719</v>
      </c>
      <c r="C5" s="195"/>
      <c r="D5" s="195"/>
      <c r="E5" s="195"/>
      <c r="F5" s="195"/>
      <c r="G5" s="195"/>
      <c r="H5" s="195"/>
      <c r="I5" s="195"/>
    </row>
    <row r="6" spans="1:9" ht="25.5" customHeight="1" x14ac:dyDescent="0.25">
      <c r="A6" s="5" t="s">
        <v>720</v>
      </c>
    </row>
    <row r="7" spans="1:9" ht="13.8" customHeight="1" x14ac:dyDescent="0.25">
      <c r="B7" s="194" t="s">
        <v>721</v>
      </c>
      <c r="C7" s="195"/>
      <c r="D7" s="195"/>
      <c r="E7" s="195"/>
      <c r="F7" s="195"/>
      <c r="G7" s="195"/>
      <c r="H7" s="195"/>
      <c r="I7" s="195"/>
    </row>
    <row r="8" spans="1:9" ht="25.5" customHeight="1" x14ac:dyDescent="0.25">
      <c r="A8" s="5" t="s">
        <v>542</v>
      </c>
    </row>
    <row r="9" spans="1:9" ht="39.6" customHeight="1" x14ac:dyDescent="0.25">
      <c r="B9" s="194" t="s">
        <v>722</v>
      </c>
      <c r="C9" s="195"/>
      <c r="D9" s="195"/>
      <c r="E9" s="195"/>
      <c r="F9" s="195"/>
      <c r="G9" s="195"/>
      <c r="H9" s="195"/>
      <c r="I9" s="195"/>
    </row>
    <row r="10" spans="1:9" ht="25.5" customHeight="1" x14ac:dyDescent="0.25">
      <c r="A10" s="5" t="s">
        <v>723</v>
      </c>
      <c r="B10" s="42"/>
      <c r="C10" s="42"/>
      <c r="D10" s="42"/>
      <c r="E10" s="42"/>
      <c r="F10" s="42"/>
      <c r="G10" s="42"/>
      <c r="H10" s="42"/>
      <c r="I10" s="42"/>
    </row>
    <row r="11" spans="1:9" ht="24.6" customHeight="1" x14ac:dyDescent="0.25">
      <c r="B11" s="194" t="s">
        <v>727</v>
      </c>
      <c r="C11" s="194"/>
      <c r="D11" s="194"/>
      <c r="E11" s="194"/>
      <c r="F11" s="194"/>
      <c r="G11" s="194"/>
      <c r="H11" s="194"/>
      <c r="I11" s="194"/>
    </row>
    <row r="12" spans="1:9" ht="25.5" customHeight="1" x14ac:dyDescent="0.25">
      <c r="A12" s="5" t="s">
        <v>724</v>
      </c>
      <c r="B12" s="42"/>
      <c r="C12" s="42"/>
      <c r="D12" s="42"/>
      <c r="E12" s="42"/>
      <c r="F12" s="42"/>
      <c r="G12" s="42"/>
      <c r="H12" s="42"/>
      <c r="I12" s="42"/>
    </row>
    <row r="13" spans="1:9" ht="13.2" customHeight="1" x14ac:dyDescent="0.25">
      <c r="B13" s="194" t="s">
        <v>803</v>
      </c>
      <c r="C13" s="194"/>
      <c r="D13" s="194"/>
      <c r="E13" s="194"/>
      <c r="F13" s="194"/>
      <c r="G13" s="194"/>
      <c r="H13" s="194"/>
      <c r="I13" s="194"/>
    </row>
    <row r="14" spans="1:9" ht="38.25" customHeight="1" x14ac:dyDescent="0.25">
      <c r="A14" s="194" t="s">
        <v>48</v>
      </c>
      <c r="B14" s="195"/>
      <c r="C14" s="195"/>
      <c r="D14" s="195"/>
      <c r="E14" s="195"/>
      <c r="F14" s="195"/>
      <c r="G14" s="195"/>
      <c r="H14" s="195"/>
      <c r="I14" s="195"/>
    </row>
    <row r="15" spans="1:9" ht="42" customHeight="1" x14ac:dyDescent="0.25">
      <c r="A15" s="196" t="s">
        <v>747</v>
      </c>
      <c r="B15" s="196"/>
      <c r="C15" s="196"/>
      <c r="D15" s="196"/>
      <c r="E15" s="196"/>
      <c r="F15" s="196"/>
      <c r="G15" s="196"/>
      <c r="H15" s="196"/>
      <c r="I15" s="196"/>
    </row>
    <row r="16" spans="1:9" ht="24" customHeight="1" x14ac:dyDescent="0.25">
      <c r="A16" s="194" t="s">
        <v>538</v>
      </c>
      <c r="B16" s="195"/>
      <c r="C16" s="195"/>
      <c r="D16" s="195"/>
      <c r="E16" s="195"/>
      <c r="F16" s="195"/>
      <c r="G16" s="195"/>
      <c r="H16" s="195"/>
      <c r="I16" s="195"/>
    </row>
  </sheetData>
  <mergeCells count="9">
    <mergeCell ref="A16:I16"/>
    <mergeCell ref="A15:I15"/>
    <mergeCell ref="A14:I14"/>
    <mergeCell ref="A3:I3"/>
    <mergeCell ref="B9:I9"/>
    <mergeCell ref="B5:I5"/>
    <mergeCell ref="B7:I7"/>
    <mergeCell ref="B11:I11"/>
    <mergeCell ref="B13:I13"/>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7CB4D-8AF1-4D11-BCCD-F00D64DA0E12}">
  <sheetPr>
    <tabColor theme="9" tint="0.79998168889431442"/>
  </sheetPr>
  <dimension ref="A1:R405"/>
  <sheetViews>
    <sheetView workbookViewId="0">
      <selection sqref="A1:O1"/>
    </sheetView>
  </sheetViews>
  <sheetFormatPr defaultRowHeight="13.2" x14ac:dyDescent="0.25"/>
  <cols>
    <col min="1" max="1" width="12.5546875" style="162" customWidth="1"/>
    <col min="2" max="2" width="45.109375" style="162" customWidth="1"/>
    <col min="3" max="3" width="17" style="162" customWidth="1"/>
    <col min="4" max="4" width="12.33203125" style="162" customWidth="1"/>
    <col min="5" max="5" width="14" style="162" customWidth="1"/>
    <col min="6" max="6" width="13" style="162" customWidth="1"/>
    <col min="7" max="8" width="12.88671875" style="162" customWidth="1"/>
    <col min="9" max="9" width="13.33203125" style="162" customWidth="1"/>
    <col min="10" max="10" width="0.5546875" style="162" customWidth="1"/>
    <col min="11" max="11" width="1.109375" style="162" hidden="1" customWidth="1"/>
    <col min="12" max="12" width="12.88671875" style="162" customWidth="1"/>
    <col min="13" max="13" width="0.88671875" style="162" customWidth="1"/>
    <col min="14" max="14" width="12.5546875" style="162" customWidth="1"/>
    <col min="15" max="15" width="12" style="162" customWidth="1"/>
  </cols>
  <sheetData>
    <row r="1" spans="1:18" ht="29.4" customHeight="1" x14ac:dyDescent="0.25">
      <c r="A1" s="211" t="s">
        <v>804</v>
      </c>
      <c r="B1" s="195"/>
      <c r="C1" s="195"/>
      <c r="D1" s="195"/>
      <c r="E1" s="195"/>
      <c r="F1" s="195"/>
      <c r="G1" s="195"/>
      <c r="H1" s="195"/>
      <c r="I1" s="195"/>
      <c r="J1" s="195"/>
      <c r="K1" s="195"/>
      <c r="L1" s="195"/>
      <c r="M1" s="195"/>
      <c r="N1" s="195"/>
      <c r="O1" s="195"/>
    </row>
    <row r="3" spans="1:18" x14ac:dyDescent="0.25">
      <c r="A3" s="212" t="s">
        <v>762</v>
      </c>
      <c r="B3" s="213"/>
      <c r="C3" s="213"/>
      <c r="D3" s="213"/>
      <c r="E3" s="213"/>
      <c r="F3" s="213"/>
      <c r="G3" s="213"/>
      <c r="H3" s="213"/>
      <c r="I3" s="213"/>
      <c r="J3" s="213"/>
      <c r="K3" s="213"/>
      <c r="L3" s="213"/>
      <c r="M3" s="213"/>
      <c r="N3" s="213"/>
      <c r="O3" s="214"/>
    </row>
    <row r="4" spans="1:18" ht="95.4" customHeight="1" x14ac:dyDescent="0.25">
      <c r="A4" s="174" t="s">
        <v>51</v>
      </c>
      <c r="B4" s="174" t="s">
        <v>24</v>
      </c>
      <c r="C4" s="175" t="s">
        <v>763</v>
      </c>
      <c r="D4" s="176" t="s">
        <v>764</v>
      </c>
      <c r="E4" s="176" t="s">
        <v>765</v>
      </c>
      <c r="F4" s="176" t="s">
        <v>766</v>
      </c>
      <c r="G4" s="176" t="s">
        <v>767</v>
      </c>
      <c r="H4" s="176" t="s">
        <v>768</v>
      </c>
      <c r="I4" s="176" t="s">
        <v>805</v>
      </c>
      <c r="J4" s="177"/>
      <c r="K4" s="178" t="s">
        <v>769</v>
      </c>
      <c r="L4" s="178" t="s">
        <v>770</v>
      </c>
      <c r="M4" s="179"/>
      <c r="N4" s="180" t="s">
        <v>771</v>
      </c>
      <c r="O4" s="180" t="s">
        <v>772</v>
      </c>
    </row>
    <row r="5" spans="1:18" x14ac:dyDescent="0.25">
      <c r="A5" s="73">
        <v>1285687962</v>
      </c>
      <c r="B5" s="74" t="s">
        <v>135</v>
      </c>
      <c r="C5" s="75">
        <v>264.86</v>
      </c>
      <c r="D5" s="181">
        <v>1.1549</v>
      </c>
      <c r="E5" s="182">
        <v>39.86</v>
      </c>
      <c r="F5" s="182">
        <v>146.54</v>
      </c>
      <c r="G5" s="182">
        <v>18.11</v>
      </c>
      <c r="H5" s="182">
        <v>26.74</v>
      </c>
      <c r="I5" s="182">
        <v>31.9</v>
      </c>
      <c r="J5" s="76"/>
      <c r="K5" s="75"/>
      <c r="L5" s="75">
        <v>264.86</v>
      </c>
      <c r="M5" s="77"/>
      <c r="N5" s="78">
        <v>37.74</v>
      </c>
      <c r="O5" s="78">
        <v>302.60000000000002</v>
      </c>
      <c r="P5" s="3">
        <v>1</v>
      </c>
      <c r="Q5" s="4"/>
      <c r="R5" s="193"/>
    </row>
    <row r="6" spans="1:18" x14ac:dyDescent="0.25">
      <c r="A6" s="73">
        <v>1245227578</v>
      </c>
      <c r="B6" s="74" t="s">
        <v>136</v>
      </c>
      <c r="C6" s="75">
        <v>243.64000000000001</v>
      </c>
      <c r="D6" s="181">
        <v>1.0416000000000001</v>
      </c>
      <c r="E6" s="182">
        <v>39.86</v>
      </c>
      <c r="F6" s="182">
        <v>137.12</v>
      </c>
      <c r="G6" s="182">
        <v>36.46</v>
      </c>
      <c r="H6" s="182">
        <v>0</v>
      </c>
      <c r="I6" s="182">
        <v>31.9</v>
      </c>
      <c r="J6" s="76"/>
      <c r="K6" s="75"/>
      <c r="L6" s="75">
        <v>245.34</v>
      </c>
      <c r="M6" s="77"/>
      <c r="N6" s="78">
        <v>37.74</v>
      </c>
      <c r="O6" s="78">
        <v>283.08</v>
      </c>
      <c r="P6" s="3">
        <v>2</v>
      </c>
      <c r="Q6" s="4"/>
      <c r="R6" s="193"/>
    </row>
    <row r="7" spans="1:18" x14ac:dyDescent="0.25">
      <c r="A7" s="73">
        <v>1427608959</v>
      </c>
      <c r="B7" s="74" t="s">
        <v>137</v>
      </c>
      <c r="C7" s="75">
        <v>270.83999999999997</v>
      </c>
      <c r="D7" s="181">
        <v>1.1886000000000001</v>
      </c>
      <c r="E7" s="182">
        <v>39.86</v>
      </c>
      <c r="F7" s="182">
        <v>151.27999999999997</v>
      </c>
      <c r="G7" s="182">
        <v>15.92</v>
      </c>
      <c r="H7" s="182">
        <v>26.74</v>
      </c>
      <c r="I7" s="182">
        <v>31.9</v>
      </c>
      <c r="J7" s="76"/>
      <c r="K7" s="75"/>
      <c r="L7" s="75">
        <v>270.83999999999997</v>
      </c>
      <c r="M7" s="77"/>
      <c r="N7" s="78">
        <v>37.74</v>
      </c>
      <c r="O7" s="78">
        <v>308.58</v>
      </c>
      <c r="P7" s="3">
        <v>3</v>
      </c>
      <c r="Q7" s="4"/>
      <c r="R7" s="193"/>
    </row>
    <row r="8" spans="1:18" x14ac:dyDescent="0.25">
      <c r="A8" s="73">
        <v>1063919652</v>
      </c>
      <c r="B8" s="74" t="s">
        <v>138</v>
      </c>
      <c r="C8" s="75">
        <v>267.62</v>
      </c>
      <c r="D8" s="181">
        <v>1.1819999999999999</v>
      </c>
      <c r="E8" s="182">
        <v>39.86</v>
      </c>
      <c r="F8" s="182">
        <v>148.83999999999997</v>
      </c>
      <c r="G8" s="182">
        <v>17.190000000000001</v>
      </c>
      <c r="H8" s="182">
        <v>26.74</v>
      </c>
      <c r="I8" s="182">
        <v>31.9</v>
      </c>
      <c r="J8" s="76"/>
      <c r="K8" s="75"/>
      <c r="L8" s="75">
        <v>267.62</v>
      </c>
      <c r="M8" s="77"/>
      <c r="N8" s="78">
        <v>37.74</v>
      </c>
      <c r="O8" s="78">
        <v>305.36</v>
      </c>
      <c r="P8" s="3">
        <v>4</v>
      </c>
      <c r="Q8" s="4"/>
      <c r="R8" s="193"/>
    </row>
    <row r="9" spans="1:18" x14ac:dyDescent="0.25">
      <c r="A9" s="73">
        <v>1518435650</v>
      </c>
      <c r="B9" s="74" t="s">
        <v>139</v>
      </c>
      <c r="C9" s="75">
        <v>277.98999999999995</v>
      </c>
      <c r="D9" s="181">
        <v>1.1509</v>
      </c>
      <c r="E9" s="182">
        <v>39.86</v>
      </c>
      <c r="F9" s="182">
        <v>147.33999999999997</v>
      </c>
      <c r="G9" s="182">
        <v>34.1</v>
      </c>
      <c r="H9" s="182">
        <v>26.74</v>
      </c>
      <c r="I9" s="182">
        <v>31.9</v>
      </c>
      <c r="J9" s="76"/>
      <c r="K9" s="75"/>
      <c r="L9" s="75">
        <v>279.94</v>
      </c>
      <c r="M9" s="77"/>
      <c r="N9" s="78">
        <v>37.74</v>
      </c>
      <c r="O9" s="78">
        <v>317.68</v>
      </c>
      <c r="P9" s="3">
        <v>5</v>
      </c>
      <c r="Q9" s="4"/>
      <c r="R9" s="193"/>
    </row>
    <row r="10" spans="1:18" x14ac:dyDescent="0.25">
      <c r="A10" s="73">
        <v>1669991865</v>
      </c>
      <c r="B10" s="74" t="s">
        <v>140</v>
      </c>
      <c r="C10" s="75">
        <v>238.92</v>
      </c>
      <c r="D10" s="181">
        <v>1.1074999999999999</v>
      </c>
      <c r="E10" s="182">
        <v>39.86</v>
      </c>
      <c r="F10" s="182">
        <v>142.72999999999999</v>
      </c>
      <c r="G10" s="182">
        <v>9.85</v>
      </c>
      <c r="H10" s="182">
        <v>26.74</v>
      </c>
      <c r="I10" s="182">
        <v>31.9</v>
      </c>
      <c r="J10" s="76"/>
      <c r="K10" s="75"/>
      <c r="L10" s="75">
        <v>251.08</v>
      </c>
      <c r="M10" s="77"/>
      <c r="N10" s="78">
        <v>37.74</v>
      </c>
      <c r="O10" s="78">
        <v>288.82</v>
      </c>
      <c r="P10" s="3">
        <v>6</v>
      </c>
      <c r="Q10" s="4"/>
      <c r="R10" s="193"/>
    </row>
    <row r="11" spans="1:18" x14ac:dyDescent="0.25">
      <c r="A11" s="73">
        <v>1871143305</v>
      </c>
      <c r="B11" s="74" t="s">
        <v>141</v>
      </c>
      <c r="C11" s="75">
        <v>254.57</v>
      </c>
      <c r="D11" s="181">
        <v>1.1839999999999999</v>
      </c>
      <c r="E11" s="182">
        <v>39.86</v>
      </c>
      <c r="F11" s="182">
        <v>148.32999999999998</v>
      </c>
      <c r="G11" s="182">
        <v>7.55</v>
      </c>
      <c r="H11" s="182">
        <v>26.74</v>
      </c>
      <c r="I11" s="182">
        <v>31.9</v>
      </c>
      <c r="J11" s="76"/>
      <c r="K11" s="75"/>
      <c r="L11" s="75">
        <v>254.57</v>
      </c>
      <c r="M11" s="77"/>
      <c r="N11" s="78">
        <v>37.74</v>
      </c>
      <c r="O11" s="78">
        <v>292.31</v>
      </c>
      <c r="P11" s="3">
        <v>7</v>
      </c>
      <c r="Q11" s="4"/>
      <c r="R11" s="193"/>
    </row>
    <row r="12" spans="1:18" x14ac:dyDescent="0.25">
      <c r="A12" s="73">
        <v>1992242119</v>
      </c>
      <c r="B12" s="74" t="s">
        <v>142</v>
      </c>
      <c r="C12" s="75">
        <v>259.73999999999995</v>
      </c>
      <c r="D12" s="181">
        <v>1.1827000000000001</v>
      </c>
      <c r="E12" s="182">
        <v>39.86</v>
      </c>
      <c r="F12" s="182">
        <v>148.29999999999998</v>
      </c>
      <c r="G12" s="182">
        <v>13.91</v>
      </c>
      <c r="H12" s="182">
        <v>26.74</v>
      </c>
      <c r="I12" s="182">
        <v>31.9</v>
      </c>
      <c r="J12" s="76"/>
      <c r="K12" s="75"/>
      <c r="L12" s="75">
        <v>260.70999999999998</v>
      </c>
      <c r="M12" s="77"/>
      <c r="N12" s="78">
        <v>37.74</v>
      </c>
      <c r="O12" s="78">
        <v>298.45</v>
      </c>
      <c r="P12" s="3">
        <v>8</v>
      </c>
      <c r="Q12" s="4"/>
      <c r="R12" s="193"/>
    </row>
    <row r="13" spans="1:18" x14ac:dyDescent="0.25">
      <c r="A13" s="73">
        <v>1043703945</v>
      </c>
      <c r="B13" s="74" t="s">
        <v>143</v>
      </c>
      <c r="C13" s="75">
        <v>259.18</v>
      </c>
      <c r="D13" s="181">
        <v>1.1251</v>
      </c>
      <c r="E13" s="182">
        <v>39.86</v>
      </c>
      <c r="F13" s="182">
        <v>143.64999999999998</v>
      </c>
      <c r="G13" s="182">
        <v>24.28</v>
      </c>
      <c r="H13" s="182">
        <v>26.74</v>
      </c>
      <c r="I13" s="182">
        <v>31.9</v>
      </c>
      <c r="J13" s="76"/>
      <c r="K13" s="75"/>
      <c r="L13" s="75">
        <v>266.43</v>
      </c>
      <c r="M13" s="77"/>
      <c r="N13" s="78">
        <v>37.74</v>
      </c>
      <c r="O13" s="78">
        <v>304.17</v>
      </c>
      <c r="P13" s="3">
        <v>9</v>
      </c>
      <c r="Q13" s="4"/>
      <c r="R13" s="193"/>
    </row>
    <row r="14" spans="1:18" x14ac:dyDescent="0.25">
      <c r="A14" s="73">
        <v>1831649268</v>
      </c>
      <c r="B14" s="74" t="s">
        <v>144</v>
      </c>
      <c r="C14" s="75">
        <v>263.88</v>
      </c>
      <c r="D14" s="181">
        <v>1.1541999999999999</v>
      </c>
      <c r="E14" s="182">
        <v>39.86</v>
      </c>
      <c r="F14" s="182">
        <v>145.47</v>
      </c>
      <c r="G14" s="182">
        <v>17.09</v>
      </c>
      <c r="H14" s="182">
        <v>26.74</v>
      </c>
      <c r="I14" s="182">
        <v>31.9</v>
      </c>
      <c r="J14" s="76"/>
      <c r="K14" s="75"/>
      <c r="L14" s="75">
        <v>263.88</v>
      </c>
      <c r="M14" s="77"/>
      <c r="N14" s="78">
        <v>37.74</v>
      </c>
      <c r="O14" s="78">
        <v>301.62</v>
      </c>
      <c r="P14" s="3">
        <v>10</v>
      </c>
      <c r="Q14" s="4"/>
      <c r="R14" s="193"/>
    </row>
    <row r="15" spans="1:18" x14ac:dyDescent="0.25">
      <c r="A15" s="73">
        <v>1689147035</v>
      </c>
      <c r="B15" s="74" t="s">
        <v>145</v>
      </c>
      <c r="C15" s="75">
        <v>249.82999999999998</v>
      </c>
      <c r="D15" s="181">
        <v>1.0818000000000001</v>
      </c>
      <c r="E15" s="182">
        <v>39.86</v>
      </c>
      <c r="F15" s="182">
        <v>140.52999999999997</v>
      </c>
      <c r="G15" s="182">
        <v>10.199999999999999</v>
      </c>
      <c r="H15" s="182">
        <v>26.74</v>
      </c>
      <c r="I15" s="182">
        <v>31.9</v>
      </c>
      <c r="J15" s="76"/>
      <c r="K15" s="75"/>
      <c r="L15" s="75">
        <v>249.82999999999998</v>
      </c>
      <c r="M15" s="77"/>
      <c r="N15" s="78">
        <v>37.74</v>
      </c>
      <c r="O15" s="78">
        <v>287.57</v>
      </c>
      <c r="P15" s="3">
        <v>11</v>
      </c>
      <c r="Q15" s="4"/>
      <c r="R15" s="193"/>
    </row>
    <row r="16" spans="1:18" x14ac:dyDescent="0.25">
      <c r="A16" s="73">
        <v>1295391795</v>
      </c>
      <c r="B16" s="74" t="s">
        <v>146</v>
      </c>
      <c r="C16" s="75">
        <v>246.60999999999999</v>
      </c>
      <c r="D16" s="181">
        <v>1.0557000000000001</v>
      </c>
      <c r="E16" s="182">
        <v>39.86</v>
      </c>
      <c r="F16" s="182">
        <v>138.01999999999998</v>
      </c>
      <c r="G16" s="182">
        <v>8.34</v>
      </c>
      <c r="H16" s="182">
        <v>26.74</v>
      </c>
      <c r="I16" s="182">
        <v>31.9</v>
      </c>
      <c r="J16" s="76"/>
      <c r="K16" s="75"/>
      <c r="L16" s="75">
        <v>246.60999999999999</v>
      </c>
      <c r="M16" s="77"/>
      <c r="N16" s="78">
        <v>37.74</v>
      </c>
      <c r="O16" s="78">
        <v>284.34999999999997</v>
      </c>
      <c r="P16" s="3">
        <v>12</v>
      </c>
      <c r="Q16" s="4"/>
      <c r="R16" s="193"/>
    </row>
    <row r="17" spans="1:18" x14ac:dyDescent="0.25">
      <c r="A17" s="73">
        <v>1598262198</v>
      </c>
      <c r="B17" s="74" t="s">
        <v>147</v>
      </c>
      <c r="C17" s="75">
        <v>275.87</v>
      </c>
      <c r="D17" s="181">
        <v>1.1949000000000001</v>
      </c>
      <c r="E17" s="182">
        <v>39.86</v>
      </c>
      <c r="F17" s="182">
        <v>151.20999999999998</v>
      </c>
      <c r="G17" s="182">
        <v>22.52</v>
      </c>
      <c r="H17" s="182">
        <v>26.74</v>
      </c>
      <c r="I17" s="182">
        <v>31.9</v>
      </c>
      <c r="J17" s="76"/>
      <c r="K17" s="75"/>
      <c r="L17" s="75">
        <v>275.87</v>
      </c>
      <c r="M17" s="77"/>
      <c r="N17" s="78">
        <v>37.74</v>
      </c>
      <c r="O17" s="78">
        <v>313.61</v>
      </c>
      <c r="P17" s="3">
        <v>13</v>
      </c>
      <c r="Q17" s="4"/>
      <c r="R17" s="193"/>
    </row>
    <row r="18" spans="1:18" x14ac:dyDescent="0.25">
      <c r="A18" s="73">
        <v>1437627593</v>
      </c>
      <c r="B18" s="74" t="s">
        <v>148</v>
      </c>
      <c r="C18" s="75">
        <v>263.63</v>
      </c>
      <c r="D18" s="181">
        <v>1.1984999999999999</v>
      </c>
      <c r="E18" s="182">
        <v>39.86</v>
      </c>
      <c r="F18" s="182">
        <v>150.77999999999997</v>
      </c>
      <c r="G18" s="182">
        <v>17.739999999999998</v>
      </c>
      <c r="H18" s="182">
        <v>26.74</v>
      </c>
      <c r="I18" s="182">
        <v>31.9</v>
      </c>
      <c r="J18" s="76"/>
      <c r="K18" s="75"/>
      <c r="L18" s="75">
        <v>267.02</v>
      </c>
      <c r="M18" s="77"/>
      <c r="N18" s="78">
        <v>37.74</v>
      </c>
      <c r="O18" s="78">
        <v>304.76</v>
      </c>
      <c r="P18" s="3">
        <v>14</v>
      </c>
      <c r="Q18" s="4"/>
      <c r="R18" s="193"/>
    </row>
    <row r="19" spans="1:18" x14ac:dyDescent="0.25">
      <c r="A19" s="73">
        <v>1598233645</v>
      </c>
      <c r="B19" s="74" t="s">
        <v>149</v>
      </c>
      <c r="C19" s="75">
        <v>272.58999999999997</v>
      </c>
      <c r="D19" s="181">
        <v>1.1684000000000001</v>
      </c>
      <c r="E19" s="182">
        <v>39.86</v>
      </c>
      <c r="F19" s="182">
        <v>147.95999999999998</v>
      </c>
      <c r="G19" s="182">
        <v>25.71</v>
      </c>
      <c r="H19" s="182">
        <v>26.74</v>
      </c>
      <c r="I19" s="182">
        <v>31.9</v>
      </c>
      <c r="J19" s="76"/>
      <c r="K19" s="75"/>
      <c r="L19" s="75">
        <v>272.58999999999997</v>
      </c>
      <c r="M19" s="77"/>
      <c r="N19" s="78">
        <v>37.74</v>
      </c>
      <c r="O19" s="78">
        <v>310.33</v>
      </c>
      <c r="P19" s="3">
        <v>15</v>
      </c>
      <c r="Q19" s="4"/>
      <c r="R19" s="193"/>
    </row>
    <row r="20" spans="1:18" x14ac:dyDescent="0.25">
      <c r="A20" s="73">
        <v>1659849701</v>
      </c>
      <c r="B20" s="74" t="s">
        <v>150</v>
      </c>
      <c r="C20" s="75">
        <v>259.51</v>
      </c>
      <c r="D20" s="181">
        <v>1.1861999999999999</v>
      </c>
      <c r="E20" s="182">
        <v>39.86</v>
      </c>
      <c r="F20" s="182">
        <v>150.94</v>
      </c>
      <c r="G20" s="182">
        <v>15.99</v>
      </c>
      <c r="H20" s="182">
        <v>26.74</v>
      </c>
      <c r="I20" s="182">
        <v>31.9</v>
      </c>
      <c r="J20" s="76"/>
      <c r="K20" s="75"/>
      <c r="L20" s="75">
        <v>265.43</v>
      </c>
      <c r="M20" s="77"/>
      <c r="N20" s="78">
        <v>37.74</v>
      </c>
      <c r="O20" s="78">
        <v>303.17</v>
      </c>
      <c r="P20" s="3">
        <v>16</v>
      </c>
      <c r="Q20" s="4"/>
      <c r="R20" s="193"/>
    </row>
    <row r="21" spans="1:18" x14ac:dyDescent="0.25">
      <c r="A21" s="73">
        <v>1770149270</v>
      </c>
      <c r="B21" s="74" t="s">
        <v>151</v>
      </c>
      <c r="C21" s="75">
        <v>264.44</v>
      </c>
      <c r="D21" s="181">
        <v>1.1294</v>
      </c>
      <c r="E21" s="182">
        <v>39.86</v>
      </c>
      <c r="F21" s="182">
        <v>143.88</v>
      </c>
      <c r="G21" s="182">
        <v>22.69</v>
      </c>
      <c r="H21" s="182">
        <v>26.74</v>
      </c>
      <c r="I21" s="182">
        <v>31.9</v>
      </c>
      <c r="J21" s="76"/>
      <c r="K21" s="75"/>
      <c r="L21" s="75">
        <v>265.07</v>
      </c>
      <c r="M21" s="77"/>
      <c r="N21" s="78">
        <v>37.74</v>
      </c>
      <c r="O21" s="78">
        <v>302.81</v>
      </c>
      <c r="P21" s="3">
        <v>17</v>
      </c>
      <c r="Q21" s="4"/>
      <c r="R21" s="193"/>
    </row>
    <row r="22" spans="1:18" x14ac:dyDescent="0.25">
      <c r="A22" s="73">
        <v>1699310839</v>
      </c>
      <c r="B22" s="74" t="s">
        <v>152</v>
      </c>
      <c r="C22" s="75">
        <v>270.83999999999997</v>
      </c>
      <c r="D22" s="181">
        <v>1.1529</v>
      </c>
      <c r="E22" s="182">
        <v>39.86</v>
      </c>
      <c r="F22" s="182">
        <v>147.24999999999997</v>
      </c>
      <c r="G22" s="182">
        <v>18.48</v>
      </c>
      <c r="H22" s="182">
        <v>26.74</v>
      </c>
      <c r="I22" s="182">
        <v>31.9</v>
      </c>
      <c r="J22" s="76"/>
      <c r="K22" s="75"/>
      <c r="L22" s="75">
        <v>270.83999999999997</v>
      </c>
      <c r="M22" s="77"/>
      <c r="N22" s="78">
        <v>37.74</v>
      </c>
      <c r="O22" s="78">
        <v>308.58</v>
      </c>
      <c r="P22" s="3">
        <v>18</v>
      </c>
      <c r="Q22" s="4"/>
      <c r="R22" s="193"/>
    </row>
    <row r="23" spans="1:18" x14ac:dyDescent="0.25">
      <c r="A23" s="73">
        <v>1932606530</v>
      </c>
      <c r="B23" s="74" t="s">
        <v>153</v>
      </c>
      <c r="C23" s="75">
        <v>223.21999999999997</v>
      </c>
      <c r="D23" s="181">
        <v>1.0170999999999999</v>
      </c>
      <c r="E23" s="182">
        <v>39.86</v>
      </c>
      <c r="F23" s="182">
        <v>134.89000000000001</v>
      </c>
      <c r="G23" s="182">
        <v>9.31</v>
      </c>
      <c r="H23" s="182">
        <v>8.64</v>
      </c>
      <c r="I23" s="182">
        <v>31.9</v>
      </c>
      <c r="J23" s="76"/>
      <c r="K23" s="75"/>
      <c r="L23" s="75">
        <v>224.6</v>
      </c>
      <c r="M23" s="77"/>
      <c r="N23" s="78">
        <v>37.74</v>
      </c>
      <c r="O23" s="78">
        <v>262.33999999999997</v>
      </c>
      <c r="P23" s="3">
        <v>19</v>
      </c>
      <c r="Q23" s="4"/>
      <c r="R23" s="193"/>
    </row>
    <row r="24" spans="1:18" x14ac:dyDescent="0.25">
      <c r="A24" s="73">
        <v>1528505757</v>
      </c>
      <c r="B24" s="74" t="s">
        <v>154</v>
      </c>
      <c r="C24" s="75">
        <v>263.14999999999998</v>
      </c>
      <c r="D24" s="181">
        <v>1.1583000000000001</v>
      </c>
      <c r="E24" s="182">
        <v>39.86</v>
      </c>
      <c r="F24" s="182">
        <v>146.07999999999998</v>
      </c>
      <c r="G24" s="182">
        <v>16.399999999999999</v>
      </c>
      <c r="H24" s="182">
        <v>26.74</v>
      </c>
      <c r="I24" s="182">
        <v>31.9</v>
      </c>
      <c r="J24" s="76"/>
      <c r="K24" s="75"/>
      <c r="L24" s="75">
        <v>263.14999999999998</v>
      </c>
      <c r="M24" s="77"/>
      <c r="N24" s="78">
        <v>37.74</v>
      </c>
      <c r="O24" s="78">
        <v>300.89</v>
      </c>
      <c r="P24" s="3">
        <v>20</v>
      </c>
      <c r="Q24" s="4"/>
      <c r="R24" s="193"/>
    </row>
    <row r="25" spans="1:18" x14ac:dyDescent="0.25">
      <c r="A25" s="73">
        <v>1972071033</v>
      </c>
      <c r="B25" s="74" t="s">
        <v>155</v>
      </c>
      <c r="C25" s="75">
        <v>254.51</v>
      </c>
      <c r="D25" s="181">
        <v>1.236</v>
      </c>
      <c r="E25" s="182">
        <v>39.86</v>
      </c>
      <c r="F25" s="182">
        <v>154.27999999999997</v>
      </c>
      <c r="G25" s="182">
        <v>11.44</v>
      </c>
      <c r="H25" s="182">
        <v>26.74</v>
      </c>
      <c r="I25" s="182">
        <v>31.9</v>
      </c>
      <c r="J25" s="76"/>
      <c r="K25" s="75"/>
      <c r="L25" s="75">
        <v>264.22000000000003</v>
      </c>
      <c r="M25" s="77"/>
      <c r="N25" s="78">
        <v>37.74</v>
      </c>
      <c r="O25" s="78">
        <v>301.96000000000004</v>
      </c>
      <c r="P25" s="3">
        <v>21</v>
      </c>
      <c r="Q25" s="4"/>
      <c r="R25" s="193"/>
    </row>
    <row r="26" spans="1:18" x14ac:dyDescent="0.25">
      <c r="A26" s="73">
        <v>1841840378</v>
      </c>
      <c r="B26" s="74" t="s">
        <v>156</v>
      </c>
      <c r="C26" s="75">
        <v>243.69000000000003</v>
      </c>
      <c r="D26" s="181">
        <v>1.0734999999999999</v>
      </c>
      <c r="E26" s="182">
        <v>39.86</v>
      </c>
      <c r="F26" s="182">
        <v>139.22</v>
      </c>
      <c r="G26" s="182">
        <v>8.02</v>
      </c>
      <c r="H26" s="182">
        <v>26.74</v>
      </c>
      <c r="I26" s="182">
        <v>31.9</v>
      </c>
      <c r="J26" s="76"/>
      <c r="K26" s="75"/>
      <c r="L26" s="75">
        <v>245.74</v>
      </c>
      <c r="M26" s="77"/>
      <c r="N26" s="78">
        <v>37.74</v>
      </c>
      <c r="O26" s="78">
        <v>283.48</v>
      </c>
      <c r="P26" s="3">
        <v>22</v>
      </c>
      <c r="Q26" s="4"/>
      <c r="R26" s="193"/>
    </row>
    <row r="27" spans="1:18" x14ac:dyDescent="0.25">
      <c r="A27" s="73">
        <v>1245737840</v>
      </c>
      <c r="B27" s="74" t="s">
        <v>157</v>
      </c>
      <c r="C27" s="75">
        <v>273.77999999999997</v>
      </c>
      <c r="D27" s="181">
        <v>1.2252000000000001</v>
      </c>
      <c r="E27" s="182">
        <v>39.86</v>
      </c>
      <c r="F27" s="182">
        <v>151.97999999999999</v>
      </c>
      <c r="G27" s="182">
        <v>24.27</v>
      </c>
      <c r="H27" s="182">
        <v>26.74</v>
      </c>
      <c r="I27" s="182">
        <v>31.9</v>
      </c>
      <c r="J27" s="76"/>
      <c r="K27" s="75"/>
      <c r="L27" s="75">
        <v>274.75</v>
      </c>
      <c r="M27" s="77"/>
      <c r="N27" s="78">
        <v>37.74</v>
      </c>
      <c r="O27" s="78">
        <v>312.49</v>
      </c>
      <c r="P27" s="3">
        <v>23</v>
      </c>
      <c r="Q27" s="4"/>
      <c r="R27" s="193"/>
    </row>
    <row r="28" spans="1:18" x14ac:dyDescent="0.25">
      <c r="A28" s="73">
        <v>1760032296</v>
      </c>
      <c r="B28" s="74" t="s">
        <v>158</v>
      </c>
      <c r="C28" s="75">
        <v>259.15000000000003</v>
      </c>
      <c r="D28" s="181">
        <v>1.2704</v>
      </c>
      <c r="E28" s="182">
        <v>39.86</v>
      </c>
      <c r="F28" s="182">
        <v>153.01999999999998</v>
      </c>
      <c r="G28" s="182">
        <v>7.31</v>
      </c>
      <c r="H28" s="182">
        <v>26.74</v>
      </c>
      <c r="I28" s="182">
        <v>31.9</v>
      </c>
      <c r="J28" s="76"/>
      <c r="K28" s="75"/>
      <c r="L28" s="75">
        <v>259.15000000000003</v>
      </c>
      <c r="M28" s="77"/>
      <c r="N28" s="78">
        <v>37.74</v>
      </c>
      <c r="O28" s="78">
        <v>296.89000000000004</v>
      </c>
      <c r="P28" s="3">
        <v>24</v>
      </c>
      <c r="Q28" s="4"/>
      <c r="R28" s="193"/>
    </row>
    <row r="29" spans="1:18" x14ac:dyDescent="0.25">
      <c r="A29" s="73">
        <v>1205357878</v>
      </c>
      <c r="B29" s="74" t="s">
        <v>159</v>
      </c>
      <c r="C29" s="75">
        <v>267.66000000000003</v>
      </c>
      <c r="D29" s="181">
        <v>1.2541</v>
      </c>
      <c r="E29" s="182">
        <v>39.86</v>
      </c>
      <c r="F29" s="182">
        <v>151.02999999999997</v>
      </c>
      <c r="G29" s="182">
        <v>23.44</v>
      </c>
      <c r="H29" s="182">
        <v>26.74</v>
      </c>
      <c r="I29" s="182">
        <v>31.9</v>
      </c>
      <c r="J29" s="76"/>
      <c r="K29" s="75"/>
      <c r="L29" s="75">
        <v>272.97000000000003</v>
      </c>
      <c r="M29" s="77"/>
      <c r="N29" s="78">
        <v>37.74</v>
      </c>
      <c r="O29" s="78">
        <v>310.71000000000004</v>
      </c>
      <c r="P29" s="3">
        <v>25</v>
      </c>
      <c r="Q29" s="4"/>
      <c r="R29" s="193"/>
    </row>
    <row r="30" spans="1:18" x14ac:dyDescent="0.25">
      <c r="A30" s="73">
        <v>1578059085</v>
      </c>
      <c r="B30" s="74" t="s">
        <v>160</v>
      </c>
      <c r="C30" s="75">
        <v>248.80999999999997</v>
      </c>
      <c r="D30" s="181">
        <v>1.0572999999999999</v>
      </c>
      <c r="E30" s="182">
        <v>39.86</v>
      </c>
      <c r="F30" s="182">
        <v>138.07999999999998</v>
      </c>
      <c r="G30" s="182">
        <v>12.42</v>
      </c>
      <c r="H30" s="182">
        <v>26.74</v>
      </c>
      <c r="I30" s="182">
        <v>31.9</v>
      </c>
      <c r="J30" s="76"/>
      <c r="K30" s="75"/>
      <c r="L30" s="75">
        <v>249</v>
      </c>
      <c r="M30" s="77"/>
      <c r="N30" s="78">
        <v>37.74</v>
      </c>
      <c r="O30" s="78">
        <v>286.74</v>
      </c>
      <c r="P30" s="3">
        <v>26</v>
      </c>
      <c r="Q30" s="4"/>
      <c r="R30" s="193"/>
    </row>
    <row r="31" spans="1:18" x14ac:dyDescent="0.25">
      <c r="A31" s="73">
        <v>1366552739</v>
      </c>
      <c r="B31" s="74" t="s">
        <v>161</v>
      </c>
      <c r="C31" s="75">
        <v>266.43</v>
      </c>
      <c r="D31" s="181">
        <v>1.3230999999999999</v>
      </c>
      <c r="E31" s="182">
        <v>39.86</v>
      </c>
      <c r="F31" s="182">
        <v>160.41999999999999</v>
      </c>
      <c r="G31" s="182">
        <v>14.4</v>
      </c>
      <c r="H31" s="182">
        <v>26.74</v>
      </c>
      <c r="I31" s="182">
        <v>31.9</v>
      </c>
      <c r="J31" s="76"/>
      <c r="K31" s="75"/>
      <c r="L31" s="75">
        <v>273.32</v>
      </c>
      <c r="M31" s="77"/>
      <c r="N31" s="78">
        <v>37.74</v>
      </c>
      <c r="O31" s="78">
        <v>311.06</v>
      </c>
      <c r="P31" s="3">
        <v>27</v>
      </c>
      <c r="Q31" s="4"/>
      <c r="R31" s="193"/>
    </row>
    <row r="32" spans="1:18" x14ac:dyDescent="0.25">
      <c r="A32" s="73">
        <v>1114501442</v>
      </c>
      <c r="B32" s="74" t="s">
        <v>162</v>
      </c>
      <c r="C32" s="75">
        <v>238.89999999999998</v>
      </c>
      <c r="D32" s="181">
        <v>1.1775</v>
      </c>
      <c r="E32" s="182">
        <v>39.86</v>
      </c>
      <c r="F32" s="182">
        <v>149.58000000000001</v>
      </c>
      <c r="G32" s="182">
        <v>16.760000000000002</v>
      </c>
      <c r="H32" s="182">
        <v>8.64</v>
      </c>
      <c r="I32" s="182">
        <v>31.9</v>
      </c>
      <c r="J32" s="76"/>
      <c r="K32" s="75"/>
      <c r="L32" s="75">
        <v>246.74</v>
      </c>
      <c r="M32" s="77"/>
      <c r="N32" s="78">
        <v>37.74</v>
      </c>
      <c r="O32" s="78">
        <v>284.48</v>
      </c>
      <c r="P32" s="3">
        <v>28</v>
      </c>
      <c r="Q32" s="4"/>
      <c r="R32" s="193"/>
    </row>
    <row r="33" spans="1:18" x14ac:dyDescent="0.25">
      <c r="A33" s="73">
        <v>1245337880</v>
      </c>
      <c r="B33" s="74" t="s">
        <v>163</v>
      </c>
      <c r="C33" s="75">
        <v>270.45999999999998</v>
      </c>
      <c r="D33" s="181">
        <v>1.2981</v>
      </c>
      <c r="E33" s="182">
        <v>39.86</v>
      </c>
      <c r="F33" s="182">
        <v>159.57</v>
      </c>
      <c r="G33" s="182">
        <v>12.22</v>
      </c>
      <c r="H33" s="182">
        <v>26.74</v>
      </c>
      <c r="I33" s="182">
        <v>31.9</v>
      </c>
      <c r="J33" s="76"/>
      <c r="K33" s="75"/>
      <c r="L33" s="75">
        <v>270.45999999999998</v>
      </c>
      <c r="M33" s="77"/>
      <c r="N33" s="78">
        <v>37.74</v>
      </c>
      <c r="O33" s="78">
        <v>308.2</v>
      </c>
      <c r="P33" s="3">
        <v>29</v>
      </c>
      <c r="Q33" s="4"/>
      <c r="R33" s="193"/>
    </row>
    <row r="34" spans="1:18" x14ac:dyDescent="0.25">
      <c r="A34" s="73">
        <v>1639122328</v>
      </c>
      <c r="B34" s="74" t="s">
        <v>164</v>
      </c>
      <c r="C34" s="75">
        <v>239.68</v>
      </c>
      <c r="D34" s="181">
        <v>1.0466</v>
      </c>
      <c r="E34" s="182">
        <v>39.86</v>
      </c>
      <c r="F34" s="182">
        <v>136.83999999999997</v>
      </c>
      <c r="G34" s="182">
        <v>8.56</v>
      </c>
      <c r="H34" s="182">
        <v>26.74</v>
      </c>
      <c r="I34" s="182">
        <v>31.9</v>
      </c>
      <c r="J34" s="76"/>
      <c r="K34" s="75"/>
      <c r="L34" s="75">
        <v>243.9</v>
      </c>
      <c r="M34" s="77"/>
      <c r="N34" s="78">
        <v>37.74</v>
      </c>
      <c r="O34" s="78">
        <v>281.64</v>
      </c>
      <c r="P34" s="3">
        <v>30</v>
      </c>
      <c r="Q34" s="4"/>
      <c r="R34" s="193"/>
    </row>
    <row r="35" spans="1:18" x14ac:dyDescent="0.25">
      <c r="A35" s="73">
        <v>1023671765</v>
      </c>
      <c r="B35" s="74" t="s">
        <v>165</v>
      </c>
      <c r="C35" s="75">
        <v>251.41000000000003</v>
      </c>
      <c r="D35" s="181">
        <v>1.3506</v>
      </c>
      <c r="E35" s="182">
        <v>39.86</v>
      </c>
      <c r="F35" s="182">
        <v>163.66999999999999</v>
      </c>
      <c r="G35" s="182">
        <v>8.1</v>
      </c>
      <c r="H35" s="182">
        <v>8.64</v>
      </c>
      <c r="I35" s="182">
        <v>31.9</v>
      </c>
      <c r="J35" s="76"/>
      <c r="K35" s="75"/>
      <c r="L35" s="75">
        <v>252.17</v>
      </c>
      <c r="M35" s="77"/>
      <c r="N35" s="78">
        <v>37.74</v>
      </c>
      <c r="O35" s="78">
        <v>289.90999999999997</v>
      </c>
      <c r="P35" s="3">
        <v>31</v>
      </c>
      <c r="Q35" s="4"/>
      <c r="R35" s="193"/>
    </row>
    <row r="36" spans="1:18" x14ac:dyDescent="0.25">
      <c r="A36" s="73">
        <v>1962509505</v>
      </c>
      <c r="B36" s="74" t="s">
        <v>166</v>
      </c>
      <c r="C36" s="75">
        <v>281.90999999999997</v>
      </c>
      <c r="D36" s="181">
        <v>1.3275999999999999</v>
      </c>
      <c r="E36" s="182">
        <v>39.86</v>
      </c>
      <c r="F36" s="182">
        <v>160.58999999999997</v>
      </c>
      <c r="G36" s="182">
        <v>23.48</v>
      </c>
      <c r="H36" s="182">
        <v>26.74</v>
      </c>
      <c r="I36" s="182">
        <v>31.9</v>
      </c>
      <c r="J36" s="76"/>
      <c r="K36" s="75"/>
      <c r="L36" s="75">
        <v>282.57</v>
      </c>
      <c r="M36" s="77"/>
      <c r="N36" s="78">
        <v>37.74</v>
      </c>
      <c r="O36" s="78">
        <v>320.31</v>
      </c>
      <c r="P36" s="3">
        <v>32</v>
      </c>
      <c r="Q36" s="4"/>
      <c r="R36" s="193"/>
    </row>
    <row r="37" spans="1:18" x14ac:dyDescent="0.25">
      <c r="A37" s="73">
        <v>1487060893</v>
      </c>
      <c r="B37" s="74" t="s">
        <v>167</v>
      </c>
      <c r="C37" s="75">
        <v>282.44</v>
      </c>
      <c r="D37" s="181">
        <v>1.3697999999999999</v>
      </c>
      <c r="E37" s="182">
        <v>39.86</v>
      </c>
      <c r="F37" s="182">
        <v>173.2</v>
      </c>
      <c r="G37" s="182">
        <v>15.2</v>
      </c>
      <c r="H37" s="182">
        <v>26.74</v>
      </c>
      <c r="I37" s="182">
        <v>31.9</v>
      </c>
      <c r="J37" s="76"/>
      <c r="K37" s="75"/>
      <c r="L37" s="75">
        <v>286.89999999999998</v>
      </c>
      <c r="M37" s="77"/>
      <c r="N37" s="78">
        <v>37.74</v>
      </c>
      <c r="O37" s="78">
        <v>324.64</v>
      </c>
      <c r="P37" s="3">
        <v>33</v>
      </c>
      <c r="Q37" s="4"/>
      <c r="R37" s="193"/>
    </row>
    <row r="38" spans="1:18" x14ac:dyDescent="0.25">
      <c r="A38" s="73">
        <v>1992998504</v>
      </c>
      <c r="B38" s="74" t="s">
        <v>168</v>
      </c>
      <c r="C38" s="75">
        <v>222.87999999999997</v>
      </c>
      <c r="D38" s="181">
        <v>0.98109999999999997</v>
      </c>
      <c r="E38" s="182">
        <v>39.86</v>
      </c>
      <c r="F38" s="182">
        <v>132.51999999999998</v>
      </c>
      <c r="G38" s="182">
        <v>22.48</v>
      </c>
      <c r="H38" s="182">
        <v>0</v>
      </c>
      <c r="I38" s="182">
        <v>31.9</v>
      </c>
      <c r="J38" s="76"/>
      <c r="K38" s="75"/>
      <c r="L38" s="75">
        <v>226.76</v>
      </c>
      <c r="M38" s="77"/>
      <c r="N38" s="78">
        <v>37.74</v>
      </c>
      <c r="O38" s="78">
        <v>264.5</v>
      </c>
      <c r="P38" s="3">
        <v>34</v>
      </c>
      <c r="Q38" s="4"/>
      <c r="R38" s="193"/>
    </row>
    <row r="39" spans="1:18" x14ac:dyDescent="0.25">
      <c r="A39" s="73">
        <v>1982130811</v>
      </c>
      <c r="B39" s="74" t="s">
        <v>169</v>
      </c>
      <c r="C39" s="75">
        <v>261.37</v>
      </c>
      <c r="D39" s="181">
        <v>1.2976000000000001</v>
      </c>
      <c r="E39" s="182">
        <v>39.86</v>
      </c>
      <c r="F39" s="182">
        <v>158.34</v>
      </c>
      <c r="G39" s="182">
        <v>22.42</v>
      </c>
      <c r="H39" s="182">
        <v>8.64</v>
      </c>
      <c r="I39" s="182">
        <v>31.9</v>
      </c>
      <c r="J39" s="76"/>
      <c r="K39" s="75"/>
      <c r="L39" s="75">
        <v>261.37</v>
      </c>
      <c r="M39" s="77"/>
      <c r="N39" s="78">
        <v>37.74</v>
      </c>
      <c r="O39" s="78">
        <v>299.11</v>
      </c>
      <c r="P39" s="3">
        <v>35</v>
      </c>
      <c r="Q39" s="4"/>
      <c r="R39" s="193"/>
    </row>
    <row r="40" spans="1:18" x14ac:dyDescent="0.25">
      <c r="A40" s="73">
        <v>1194722629</v>
      </c>
      <c r="B40" s="74" t="s">
        <v>170</v>
      </c>
      <c r="C40" s="75">
        <v>282.45</v>
      </c>
      <c r="D40" s="181">
        <v>1.1940999999999999</v>
      </c>
      <c r="E40" s="182">
        <v>39.86</v>
      </c>
      <c r="F40" s="182">
        <v>151.72999999999999</v>
      </c>
      <c r="G40" s="182">
        <v>32.090000000000003</v>
      </c>
      <c r="H40" s="182">
        <v>26.74</v>
      </c>
      <c r="I40" s="182">
        <v>31.9</v>
      </c>
      <c r="J40" s="76"/>
      <c r="K40" s="75"/>
      <c r="L40" s="75">
        <v>282.45</v>
      </c>
      <c r="M40" s="77"/>
      <c r="N40" s="78">
        <v>37.74</v>
      </c>
      <c r="O40" s="78">
        <v>320.19</v>
      </c>
      <c r="P40" s="3">
        <v>36</v>
      </c>
      <c r="Q40" s="4"/>
      <c r="R40" s="193"/>
    </row>
    <row r="41" spans="1:18" x14ac:dyDescent="0.25">
      <c r="A41" s="73">
        <v>1255878245</v>
      </c>
      <c r="B41" s="74" t="s">
        <v>171</v>
      </c>
      <c r="C41" s="75">
        <v>251.38</v>
      </c>
      <c r="D41" s="181">
        <v>1.0916999999999999</v>
      </c>
      <c r="E41" s="182">
        <v>39.86</v>
      </c>
      <c r="F41" s="182">
        <v>141.20999999999998</v>
      </c>
      <c r="G41" s="182">
        <v>10.95</v>
      </c>
      <c r="H41" s="182">
        <v>26.74</v>
      </c>
      <c r="I41" s="182">
        <v>31.9</v>
      </c>
      <c r="J41" s="76"/>
      <c r="K41" s="75"/>
      <c r="L41" s="75">
        <v>251.38</v>
      </c>
      <c r="M41" s="77"/>
      <c r="N41" s="78">
        <v>37.74</v>
      </c>
      <c r="O41" s="78">
        <v>289.12</v>
      </c>
      <c r="P41" s="3">
        <v>37</v>
      </c>
      <c r="Q41" s="4"/>
      <c r="R41" s="193"/>
    </row>
    <row r="42" spans="1:18" x14ac:dyDescent="0.25">
      <c r="A42" s="73">
        <v>1376932889</v>
      </c>
      <c r="B42" s="74" t="s">
        <v>172</v>
      </c>
      <c r="C42" s="75">
        <v>278.39</v>
      </c>
      <c r="D42" s="181">
        <v>1.1414</v>
      </c>
      <c r="E42" s="182">
        <v>39.86</v>
      </c>
      <c r="F42" s="182">
        <v>145.58999999999997</v>
      </c>
      <c r="G42" s="182">
        <v>36.51</v>
      </c>
      <c r="H42" s="182">
        <v>26.74</v>
      </c>
      <c r="I42" s="182">
        <v>31.9</v>
      </c>
      <c r="J42" s="76"/>
      <c r="K42" s="75"/>
      <c r="L42" s="75">
        <v>280.60000000000002</v>
      </c>
      <c r="M42" s="77"/>
      <c r="N42" s="78">
        <v>37.74</v>
      </c>
      <c r="O42" s="78">
        <v>318.34000000000003</v>
      </c>
      <c r="P42" s="3">
        <v>38</v>
      </c>
      <c r="Q42" s="4"/>
      <c r="R42" s="193"/>
    </row>
    <row r="43" spans="1:18" x14ac:dyDescent="0.25">
      <c r="A43" s="73">
        <v>1275519506</v>
      </c>
      <c r="B43" s="74" t="s">
        <v>173</v>
      </c>
      <c r="C43" s="75">
        <v>264.62</v>
      </c>
      <c r="D43" s="181">
        <v>1.2464999999999999</v>
      </c>
      <c r="E43" s="182">
        <v>39.86</v>
      </c>
      <c r="F43" s="182">
        <v>153.79</v>
      </c>
      <c r="G43" s="182">
        <v>10.43</v>
      </c>
      <c r="H43" s="182">
        <v>26.74</v>
      </c>
      <c r="I43" s="182">
        <v>31.9</v>
      </c>
      <c r="J43" s="76"/>
      <c r="K43" s="75"/>
      <c r="L43" s="75">
        <v>264.62</v>
      </c>
      <c r="M43" s="77"/>
      <c r="N43" s="78">
        <v>37.74</v>
      </c>
      <c r="O43" s="78">
        <v>302.36</v>
      </c>
      <c r="P43" s="3">
        <v>39</v>
      </c>
      <c r="Q43" s="4"/>
      <c r="R43" s="193"/>
    </row>
    <row r="44" spans="1:18" x14ac:dyDescent="0.25">
      <c r="A44" s="73">
        <v>1114463932</v>
      </c>
      <c r="B44" s="74" t="s">
        <v>174</v>
      </c>
      <c r="C44" s="75">
        <v>287.89</v>
      </c>
      <c r="D44" s="181">
        <v>1.2149000000000001</v>
      </c>
      <c r="E44" s="182">
        <v>39.86</v>
      </c>
      <c r="F44" s="182">
        <v>151.58999999999997</v>
      </c>
      <c r="G44" s="182">
        <v>32.200000000000003</v>
      </c>
      <c r="H44" s="182">
        <v>26.74</v>
      </c>
      <c r="I44" s="182">
        <v>31.9</v>
      </c>
      <c r="J44" s="76"/>
      <c r="K44" s="75"/>
      <c r="L44" s="75">
        <v>287.89</v>
      </c>
      <c r="M44" s="77"/>
      <c r="N44" s="78">
        <v>37.74</v>
      </c>
      <c r="O44" s="78">
        <v>325.63</v>
      </c>
      <c r="P44" s="3">
        <v>40</v>
      </c>
      <c r="Q44" s="4"/>
      <c r="R44" s="193"/>
    </row>
    <row r="45" spans="1:18" x14ac:dyDescent="0.25">
      <c r="A45" s="73">
        <v>1609852375</v>
      </c>
      <c r="B45" s="74" t="s">
        <v>175</v>
      </c>
      <c r="C45" s="75">
        <v>252.88000000000002</v>
      </c>
      <c r="D45" s="181">
        <v>1.145</v>
      </c>
      <c r="E45" s="182">
        <v>39.86</v>
      </c>
      <c r="F45" s="182">
        <v>145.38999999999999</v>
      </c>
      <c r="G45" s="182">
        <v>8.7799999999999994</v>
      </c>
      <c r="H45" s="182">
        <v>26.74</v>
      </c>
      <c r="I45" s="182">
        <v>31.9</v>
      </c>
      <c r="J45" s="76"/>
      <c r="K45" s="75"/>
      <c r="L45" s="75">
        <v>252.88000000000002</v>
      </c>
      <c r="M45" s="77"/>
      <c r="N45" s="78">
        <v>37.74</v>
      </c>
      <c r="O45" s="78">
        <v>290.62</v>
      </c>
      <c r="P45" s="3">
        <v>41</v>
      </c>
      <c r="Q45" s="4"/>
      <c r="R45" s="193"/>
    </row>
    <row r="46" spans="1:18" x14ac:dyDescent="0.25">
      <c r="A46" s="73">
        <v>1093791337</v>
      </c>
      <c r="B46" s="74" t="s">
        <v>176</v>
      </c>
      <c r="C46" s="75">
        <v>261.86</v>
      </c>
      <c r="D46" s="181">
        <v>1.0394000000000001</v>
      </c>
      <c r="E46" s="182">
        <v>39.86</v>
      </c>
      <c r="F46" s="182">
        <v>136.79</v>
      </c>
      <c r="G46" s="182">
        <v>23.32</v>
      </c>
      <c r="H46" s="182">
        <v>26.74</v>
      </c>
      <c r="I46" s="182">
        <v>31.9</v>
      </c>
      <c r="J46" s="76"/>
      <c r="K46" s="75"/>
      <c r="L46" s="75">
        <v>261.86</v>
      </c>
      <c r="M46" s="77"/>
      <c r="N46" s="78">
        <v>37.74</v>
      </c>
      <c r="O46" s="78">
        <v>299.60000000000002</v>
      </c>
      <c r="P46" s="3">
        <v>42</v>
      </c>
      <c r="Q46" s="4"/>
      <c r="R46" s="193"/>
    </row>
    <row r="47" spans="1:18" x14ac:dyDescent="0.25">
      <c r="A47" s="73">
        <v>1073599635</v>
      </c>
      <c r="B47" s="74" t="s">
        <v>177</v>
      </c>
      <c r="C47" s="75">
        <v>266.04000000000002</v>
      </c>
      <c r="D47" s="181">
        <v>1.1880999999999999</v>
      </c>
      <c r="E47" s="182">
        <v>39.86</v>
      </c>
      <c r="F47" s="182">
        <v>149.02999999999997</v>
      </c>
      <c r="G47" s="182">
        <v>25.8</v>
      </c>
      <c r="H47" s="182">
        <v>26.74</v>
      </c>
      <c r="I47" s="182">
        <v>31.9</v>
      </c>
      <c r="J47" s="76"/>
      <c r="K47" s="75"/>
      <c r="L47" s="75">
        <v>273.33</v>
      </c>
      <c r="M47" s="77"/>
      <c r="N47" s="78">
        <v>37.74</v>
      </c>
      <c r="O47" s="78">
        <v>311.07</v>
      </c>
      <c r="P47" s="3">
        <v>43</v>
      </c>
      <c r="Q47" s="4"/>
      <c r="R47" s="193"/>
    </row>
    <row r="48" spans="1:18" x14ac:dyDescent="0.25">
      <c r="A48" s="73">
        <v>1053396788</v>
      </c>
      <c r="B48" s="74" t="s">
        <v>178</v>
      </c>
      <c r="C48" s="75">
        <v>269.84000000000003</v>
      </c>
      <c r="D48" s="181">
        <v>1.1457999999999999</v>
      </c>
      <c r="E48" s="182">
        <v>39.86</v>
      </c>
      <c r="F48" s="182">
        <v>146.19</v>
      </c>
      <c r="G48" s="182">
        <v>31.62</v>
      </c>
      <c r="H48" s="182">
        <v>26.74</v>
      </c>
      <c r="I48" s="182">
        <v>31.9</v>
      </c>
      <c r="J48" s="76"/>
      <c r="K48" s="75"/>
      <c r="L48" s="75">
        <v>276.31</v>
      </c>
      <c r="M48" s="77"/>
      <c r="N48" s="78">
        <v>37.74</v>
      </c>
      <c r="O48" s="78">
        <v>314.05</v>
      </c>
      <c r="P48" s="3">
        <v>44</v>
      </c>
      <c r="Q48" s="4"/>
      <c r="R48" s="193"/>
    </row>
    <row r="49" spans="1:18" x14ac:dyDescent="0.25">
      <c r="A49" s="73">
        <v>1851377543</v>
      </c>
      <c r="B49" s="74" t="s">
        <v>179</v>
      </c>
      <c r="C49" s="75">
        <v>264.49</v>
      </c>
      <c r="D49" s="181">
        <v>1.2221</v>
      </c>
      <c r="E49" s="182">
        <v>39.86</v>
      </c>
      <c r="F49" s="182">
        <v>152.24999999999997</v>
      </c>
      <c r="G49" s="182">
        <v>15.9</v>
      </c>
      <c r="H49" s="182">
        <v>26.74</v>
      </c>
      <c r="I49" s="182">
        <v>31.9</v>
      </c>
      <c r="J49" s="76"/>
      <c r="K49" s="75"/>
      <c r="L49" s="75">
        <v>266.64999999999998</v>
      </c>
      <c r="M49" s="77"/>
      <c r="N49" s="78">
        <v>37.74</v>
      </c>
      <c r="O49" s="78">
        <v>304.39</v>
      </c>
      <c r="P49" s="3">
        <v>45</v>
      </c>
      <c r="Q49" s="4"/>
      <c r="R49" s="193"/>
    </row>
    <row r="50" spans="1:18" x14ac:dyDescent="0.25">
      <c r="A50" s="73">
        <v>1508842295</v>
      </c>
      <c r="B50" s="74" t="s">
        <v>180</v>
      </c>
      <c r="C50" s="75">
        <v>272.97000000000003</v>
      </c>
      <c r="D50" s="181">
        <v>1.1452</v>
      </c>
      <c r="E50" s="182">
        <v>39.86</v>
      </c>
      <c r="F50" s="182">
        <v>145.35</v>
      </c>
      <c r="G50" s="182">
        <v>28.32</v>
      </c>
      <c r="H50" s="182">
        <v>26.74</v>
      </c>
      <c r="I50" s="182">
        <v>31.9</v>
      </c>
      <c r="J50" s="76"/>
      <c r="K50" s="75"/>
      <c r="L50" s="75">
        <v>272.97000000000003</v>
      </c>
      <c r="M50" s="77"/>
      <c r="N50" s="78">
        <v>37.74</v>
      </c>
      <c r="O50" s="78">
        <v>310.71000000000004</v>
      </c>
      <c r="P50" s="3">
        <v>46</v>
      </c>
      <c r="Q50" s="4"/>
      <c r="R50" s="193"/>
    </row>
    <row r="51" spans="1:18" x14ac:dyDescent="0.25">
      <c r="A51" s="73">
        <v>1639155302</v>
      </c>
      <c r="B51" s="74" t="s">
        <v>181</v>
      </c>
      <c r="C51" s="75">
        <v>272.3</v>
      </c>
      <c r="D51" s="181">
        <v>1.3344</v>
      </c>
      <c r="E51" s="182">
        <v>39.86</v>
      </c>
      <c r="F51" s="182">
        <v>161.92999999999998</v>
      </c>
      <c r="G51" s="182">
        <v>9.44</v>
      </c>
      <c r="H51" s="182">
        <v>26.74</v>
      </c>
      <c r="I51" s="182">
        <v>31.9</v>
      </c>
      <c r="J51" s="76"/>
      <c r="K51" s="75"/>
      <c r="L51" s="75">
        <v>272.3</v>
      </c>
      <c r="M51" s="77"/>
      <c r="N51" s="78">
        <v>37.74</v>
      </c>
      <c r="O51" s="78">
        <v>310.04000000000002</v>
      </c>
      <c r="P51" s="3">
        <v>47</v>
      </c>
      <c r="Q51" s="4"/>
      <c r="R51" s="193"/>
    </row>
    <row r="52" spans="1:18" x14ac:dyDescent="0.25">
      <c r="A52" s="73">
        <v>1346226040</v>
      </c>
      <c r="B52" s="74" t="s">
        <v>182</v>
      </c>
      <c r="C52" s="75">
        <v>263.33999999999997</v>
      </c>
      <c r="D52" s="181">
        <v>1.218</v>
      </c>
      <c r="E52" s="182">
        <v>39.86</v>
      </c>
      <c r="F52" s="182">
        <v>152.30999999999997</v>
      </c>
      <c r="G52" s="182">
        <v>12.32</v>
      </c>
      <c r="H52" s="182">
        <v>26.74</v>
      </c>
      <c r="I52" s="182">
        <v>31.9</v>
      </c>
      <c r="J52" s="76"/>
      <c r="K52" s="75"/>
      <c r="L52" s="75">
        <v>263.33999999999997</v>
      </c>
      <c r="M52" s="77"/>
      <c r="N52" s="78">
        <v>37.74</v>
      </c>
      <c r="O52" s="78">
        <v>301.08</v>
      </c>
      <c r="P52" s="3">
        <v>48</v>
      </c>
      <c r="Q52" s="4"/>
      <c r="R52" s="193"/>
    </row>
    <row r="53" spans="1:18" x14ac:dyDescent="0.25">
      <c r="A53" s="73">
        <v>1730722240</v>
      </c>
      <c r="B53" s="74" t="s">
        <v>183</v>
      </c>
      <c r="C53" s="75">
        <v>279.5</v>
      </c>
      <c r="D53" s="181">
        <v>1.1781999999999999</v>
      </c>
      <c r="E53" s="182">
        <v>39.86</v>
      </c>
      <c r="F53" s="182">
        <v>148.16999999999999</v>
      </c>
      <c r="G53" s="182">
        <v>28.57</v>
      </c>
      <c r="H53" s="182">
        <v>26.74</v>
      </c>
      <c r="I53" s="182">
        <v>31.9</v>
      </c>
      <c r="J53" s="76"/>
      <c r="K53" s="75"/>
      <c r="L53" s="75">
        <v>279.5</v>
      </c>
      <c r="M53" s="77"/>
      <c r="N53" s="78">
        <v>37.74</v>
      </c>
      <c r="O53" s="78">
        <v>317.24</v>
      </c>
      <c r="P53" s="3">
        <v>49</v>
      </c>
      <c r="Q53" s="4"/>
      <c r="R53" s="193"/>
    </row>
    <row r="54" spans="1:18" x14ac:dyDescent="0.25">
      <c r="A54" s="73">
        <v>1528044294</v>
      </c>
      <c r="B54" s="74" t="s">
        <v>184</v>
      </c>
      <c r="C54" s="75">
        <v>269.17999999999995</v>
      </c>
      <c r="D54" s="181">
        <v>1.2455000000000001</v>
      </c>
      <c r="E54" s="182">
        <v>39.86</v>
      </c>
      <c r="F54" s="182">
        <v>155.32999999999998</v>
      </c>
      <c r="G54" s="182">
        <v>18.73</v>
      </c>
      <c r="H54" s="182">
        <v>26.74</v>
      </c>
      <c r="I54" s="182">
        <v>31.9</v>
      </c>
      <c r="J54" s="76"/>
      <c r="K54" s="75"/>
      <c r="L54" s="75">
        <v>272.56</v>
      </c>
      <c r="M54" s="77"/>
      <c r="N54" s="78">
        <v>37.74</v>
      </c>
      <c r="O54" s="78">
        <v>310.3</v>
      </c>
      <c r="P54" s="3">
        <v>50</v>
      </c>
      <c r="Q54" s="4"/>
      <c r="R54" s="193"/>
    </row>
    <row r="55" spans="1:18" x14ac:dyDescent="0.25">
      <c r="A55" s="73">
        <v>1356372650</v>
      </c>
      <c r="B55" s="74" t="s">
        <v>185</v>
      </c>
      <c r="C55" s="75">
        <v>277.75</v>
      </c>
      <c r="D55" s="181">
        <v>1.3129</v>
      </c>
      <c r="E55" s="182">
        <v>39.86</v>
      </c>
      <c r="F55" s="182">
        <v>156.72999999999999</v>
      </c>
      <c r="G55" s="182">
        <v>18.34</v>
      </c>
      <c r="H55" s="182">
        <v>26.74</v>
      </c>
      <c r="I55" s="182">
        <v>31.9</v>
      </c>
      <c r="J55" s="76"/>
      <c r="K55" s="75"/>
      <c r="L55" s="75">
        <v>277.75</v>
      </c>
      <c r="M55" s="77"/>
      <c r="N55" s="78">
        <v>37.74</v>
      </c>
      <c r="O55" s="78">
        <v>315.49</v>
      </c>
      <c r="P55" s="3">
        <v>51</v>
      </c>
      <c r="Q55" s="4"/>
      <c r="R55" s="193"/>
    </row>
    <row r="56" spans="1:18" x14ac:dyDescent="0.25">
      <c r="A56" s="73">
        <v>1255682522</v>
      </c>
      <c r="B56" s="74" t="s">
        <v>186</v>
      </c>
      <c r="C56" s="75">
        <v>275.2</v>
      </c>
      <c r="D56" s="181">
        <v>1.1847000000000001</v>
      </c>
      <c r="E56" s="182">
        <v>39.86</v>
      </c>
      <c r="F56" s="182">
        <v>149.13</v>
      </c>
      <c r="G56" s="182">
        <v>26.83</v>
      </c>
      <c r="H56" s="182">
        <v>26.74</v>
      </c>
      <c r="I56" s="182">
        <v>31.9</v>
      </c>
      <c r="J56" s="76"/>
      <c r="K56" s="75"/>
      <c r="L56" s="75">
        <v>275.2</v>
      </c>
      <c r="M56" s="77"/>
      <c r="N56" s="78">
        <v>37.74</v>
      </c>
      <c r="O56" s="78">
        <v>312.94</v>
      </c>
      <c r="P56" s="3">
        <v>52</v>
      </c>
      <c r="Q56" s="4"/>
      <c r="R56" s="193"/>
    </row>
    <row r="57" spans="1:18" x14ac:dyDescent="0.25">
      <c r="A57" s="73">
        <v>1225064777</v>
      </c>
      <c r="B57" s="74" t="s">
        <v>187</v>
      </c>
      <c r="C57" s="75">
        <v>236.35999999999996</v>
      </c>
      <c r="D57" s="181">
        <v>1.1656</v>
      </c>
      <c r="E57" s="182">
        <v>39.86</v>
      </c>
      <c r="F57" s="182">
        <v>147.04</v>
      </c>
      <c r="G57" s="182">
        <v>9.6999999999999993</v>
      </c>
      <c r="H57" s="182">
        <v>8.64</v>
      </c>
      <c r="I57" s="182">
        <v>31.9</v>
      </c>
      <c r="J57" s="76"/>
      <c r="K57" s="75"/>
      <c r="L57" s="75">
        <v>237.14</v>
      </c>
      <c r="M57" s="77"/>
      <c r="N57" s="78">
        <v>37.74</v>
      </c>
      <c r="O57" s="78">
        <v>274.88</v>
      </c>
      <c r="P57" s="3">
        <v>53</v>
      </c>
      <c r="Q57" s="4"/>
      <c r="R57" s="193"/>
    </row>
    <row r="58" spans="1:18" x14ac:dyDescent="0.25">
      <c r="A58" s="73">
        <v>1649254582</v>
      </c>
      <c r="B58" s="74" t="s">
        <v>188</v>
      </c>
      <c r="C58" s="75">
        <v>276.19</v>
      </c>
      <c r="D58" s="181">
        <v>1.2272000000000001</v>
      </c>
      <c r="E58" s="182">
        <v>39.86</v>
      </c>
      <c r="F58" s="182">
        <v>153.86999999999998</v>
      </c>
      <c r="G58" s="182">
        <v>32.83</v>
      </c>
      <c r="H58" s="182">
        <v>26.74</v>
      </c>
      <c r="I58" s="182">
        <v>31.9</v>
      </c>
      <c r="J58" s="76"/>
      <c r="K58" s="75"/>
      <c r="L58" s="75">
        <v>285.2</v>
      </c>
      <c r="M58" s="77"/>
      <c r="N58" s="78">
        <v>37.74</v>
      </c>
      <c r="O58" s="78">
        <v>322.94</v>
      </c>
      <c r="P58" s="3">
        <v>54</v>
      </c>
      <c r="Q58" s="4"/>
      <c r="R58" s="193"/>
    </row>
    <row r="59" spans="1:18" x14ac:dyDescent="0.25">
      <c r="A59" s="73">
        <v>1316512346</v>
      </c>
      <c r="B59" s="74" t="s">
        <v>189</v>
      </c>
      <c r="C59" s="75">
        <v>269.86</v>
      </c>
      <c r="D59" s="181">
        <v>1.2178</v>
      </c>
      <c r="E59" s="182">
        <v>39.86</v>
      </c>
      <c r="F59" s="182">
        <v>151.54</v>
      </c>
      <c r="G59" s="182">
        <v>20.87</v>
      </c>
      <c r="H59" s="182">
        <v>26.74</v>
      </c>
      <c r="I59" s="182">
        <v>31.9</v>
      </c>
      <c r="J59" s="76"/>
      <c r="K59" s="75"/>
      <c r="L59" s="75">
        <v>270.91000000000003</v>
      </c>
      <c r="M59" s="77"/>
      <c r="N59" s="78">
        <v>37.74</v>
      </c>
      <c r="O59" s="78">
        <v>308.65000000000003</v>
      </c>
      <c r="P59" s="3">
        <v>55</v>
      </c>
      <c r="Q59" s="4"/>
      <c r="R59" s="193"/>
    </row>
    <row r="60" spans="1:18" x14ac:dyDescent="0.25">
      <c r="A60" s="73">
        <v>1093228397</v>
      </c>
      <c r="B60" s="74" t="s">
        <v>190</v>
      </c>
      <c r="C60" s="75">
        <v>269.77999999999997</v>
      </c>
      <c r="D60" s="181">
        <v>1.2130000000000001</v>
      </c>
      <c r="E60" s="182">
        <v>39.86</v>
      </c>
      <c r="F60" s="182">
        <v>151.44</v>
      </c>
      <c r="G60" s="182">
        <v>22.84</v>
      </c>
      <c r="H60" s="182">
        <v>26.74</v>
      </c>
      <c r="I60" s="182">
        <v>31.9</v>
      </c>
      <c r="J60" s="76"/>
      <c r="K60" s="75"/>
      <c r="L60" s="75">
        <v>272.77999999999997</v>
      </c>
      <c r="M60" s="77"/>
      <c r="N60" s="78">
        <v>37.74</v>
      </c>
      <c r="O60" s="78">
        <v>310.52</v>
      </c>
      <c r="P60" s="3">
        <v>56</v>
      </c>
      <c r="Q60" s="4"/>
      <c r="R60" s="193"/>
    </row>
    <row r="61" spans="1:18" x14ac:dyDescent="0.25">
      <c r="A61" s="73">
        <v>1891908687</v>
      </c>
      <c r="B61" s="74" t="s">
        <v>191</v>
      </c>
      <c r="C61" s="75">
        <v>272.76</v>
      </c>
      <c r="D61" s="181">
        <v>1.2626999999999999</v>
      </c>
      <c r="E61" s="182">
        <v>39.86</v>
      </c>
      <c r="F61" s="182">
        <v>155.48999999999998</v>
      </c>
      <c r="G61" s="182">
        <v>15.69</v>
      </c>
      <c r="H61" s="182">
        <v>26.74</v>
      </c>
      <c r="I61" s="182">
        <v>31.9</v>
      </c>
      <c r="J61" s="76"/>
      <c r="K61" s="75"/>
      <c r="L61" s="75">
        <v>272.76</v>
      </c>
      <c r="M61" s="77"/>
      <c r="N61" s="78">
        <v>37.74</v>
      </c>
      <c r="O61" s="78">
        <v>310.5</v>
      </c>
      <c r="P61" s="3">
        <v>57</v>
      </c>
      <c r="Q61" s="4"/>
      <c r="R61" s="193"/>
    </row>
    <row r="62" spans="1:18" x14ac:dyDescent="0.25">
      <c r="A62" s="73">
        <v>1235175175</v>
      </c>
      <c r="B62" s="74" t="s">
        <v>192</v>
      </c>
      <c r="C62" s="75">
        <v>235.40000000000003</v>
      </c>
      <c r="D62" s="181">
        <v>1.2302</v>
      </c>
      <c r="E62" s="182">
        <v>39.86</v>
      </c>
      <c r="F62" s="182">
        <v>151.82000000000002</v>
      </c>
      <c r="G62" s="182">
        <v>8.1</v>
      </c>
      <c r="H62" s="182">
        <v>8.64</v>
      </c>
      <c r="I62" s="182">
        <v>31.9</v>
      </c>
      <c r="J62" s="76"/>
      <c r="K62" s="75"/>
      <c r="L62" s="75">
        <v>240.32</v>
      </c>
      <c r="M62" s="77"/>
      <c r="N62" s="78">
        <v>37.74</v>
      </c>
      <c r="O62" s="78">
        <v>278.06</v>
      </c>
      <c r="P62" s="3">
        <v>58</v>
      </c>
      <c r="Q62" s="4"/>
      <c r="R62" s="193"/>
    </row>
    <row r="63" spans="1:18" x14ac:dyDescent="0.25">
      <c r="A63" s="73">
        <v>1992724157</v>
      </c>
      <c r="B63" s="74" t="s">
        <v>193</v>
      </c>
      <c r="C63" s="75">
        <v>256.47000000000003</v>
      </c>
      <c r="D63" s="181">
        <v>1.1712</v>
      </c>
      <c r="E63" s="182">
        <v>39.86</v>
      </c>
      <c r="F63" s="182">
        <v>148.63</v>
      </c>
      <c r="G63" s="182">
        <v>10.69</v>
      </c>
      <c r="H63" s="182">
        <v>26.74</v>
      </c>
      <c r="I63" s="182">
        <v>31.9</v>
      </c>
      <c r="J63" s="76"/>
      <c r="K63" s="75"/>
      <c r="L63" s="75">
        <v>257.82</v>
      </c>
      <c r="M63" s="77"/>
      <c r="N63" s="78">
        <v>37.74</v>
      </c>
      <c r="O63" s="78">
        <v>295.56</v>
      </c>
      <c r="P63" s="3">
        <v>59</v>
      </c>
      <c r="Q63" s="4"/>
      <c r="R63" s="193"/>
    </row>
    <row r="64" spans="1:18" x14ac:dyDescent="0.25">
      <c r="A64" s="73">
        <v>1174608350</v>
      </c>
      <c r="B64" s="74" t="s">
        <v>194</v>
      </c>
      <c r="C64" s="75">
        <v>246.09000000000003</v>
      </c>
      <c r="D64" s="181">
        <v>1.1093999999999999</v>
      </c>
      <c r="E64" s="182">
        <v>39.86</v>
      </c>
      <c r="F64" s="182">
        <v>142.55999999999997</v>
      </c>
      <c r="G64" s="182">
        <v>12</v>
      </c>
      <c r="H64" s="182">
        <v>26.74</v>
      </c>
      <c r="I64" s="182">
        <v>31.9</v>
      </c>
      <c r="J64" s="76"/>
      <c r="K64" s="75"/>
      <c r="L64" s="75">
        <v>253.06</v>
      </c>
      <c r="M64" s="77"/>
      <c r="N64" s="78">
        <v>37.74</v>
      </c>
      <c r="O64" s="78">
        <v>290.8</v>
      </c>
      <c r="P64" s="3">
        <v>60</v>
      </c>
      <c r="Q64" s="4"/>
      <c r="R64" s="193"/>
    </row>
    <row r="65" spans="1:18" x14ac:dyDescent="0.25">
      <c r="A65" s="73">
        <v>1497283899</v>
      </c>
      <c r="B65" s="74" t="s">
        <v>195</v>
      </c>
      <c r="C65" s="75">
        <v>237.25</v>
      </c>
      <c r="D65" s="181">
        <v>1.0389999999999999</v>
      </c>
      <c r="E65" s="182">
        <v>39.86</v>
      </c>
      <c r="F65" s="182">
        <v>136.72999999999999</v>
      </c>
      <c r="G65" s="182">
        <v>10.119999999999999</v>
      </c>
      <c r="H65" s="182">
        <v>26.74</v>
      </c>
      <c r="I65" s="182">
        <v>31.9</v>
      </c>
      <c r="J65" s="76"/>
      <c r="K65" s="75"/>
      <c r="L65" s="75">
        <v>245.35</v>
      </c>
      <c r="M65" s="77"/>
      <c r="N65" s="78">
        <v>37.74</v>
      </c>
      <c r="O65" s="78">
        <v>283.08999999999997</v>
      </c>
      <c r="P65" s="3">
        <v>61</v>
      </c>
      <c r="Q65" s="4"/>
      <c r="R65" s="193"/>
    </row>
    <row r="66" spans="1:18" x14ac:dyDescent="0.25">
      <c r="A66" s="73">
        <v>1578013876</v>
      </c>
      <c r="B66" s="74" t="s">
        <v>196</v>
      </c>
      <c r="C66" s="75">
        <v>257.21000000000004</v>
      </c>
      <c r="D66" s="181">
        <v>1.1486000000000001</v>
      </c>
      <c r="E66" s="182">
        <v>39.86</v>
      </c>
      <c r="F66" s="182">
        <v>145.70999999999998</v>
      </c>
      <c r="G66" s="182">
        <v>7.93</v>
      </c>
      <c r="H66" s="182">
        <v>26.74</v>
      </c>
      <c r="I66" s="182">
        <v>31.9</v>
      </c>
      <c r="J66" s="76"/>
      <c r="K66" s="75"/>
      <c r="L66" s="75">
        <v>257.21000000000004</v>
      </c>
      <c r="M66" s="77"/>
      <c r="N66" s="78">
        <v>37.74</v>
      </c>
      <c r="O66" s="78">
        <v>294.95000000000005</v>
      </c>
      <c r="P66" s="3">
        <v>62</v>
      </c>
      <c r="Q66" s="4"/>
      <c r="R66" s="193"/>
    </row>
    <row r="67" spans="1:18" x14ac:dyDescent="0.25">
      <c r="A67" s="73">
        <v>1265441208</v>
      </c>
      <c r="B67" s="74" t="s">
        <v>197</v>
      </c>
      <c r="C67" s="75">
        <v>251.90000000000003</v>
      </c>
      <c r="D67" s="181">
        <v>1.0805</v>
      </c>
      <c r="E67" s="182">
        <v>39.86</v>
      </c>
      <c r="F67" s="182">
        <v>139.89999999999998</v>
      </c>
      <c r="G67" s="182">
        <v>13.36</v>
      </c>
      <c r="H67" s="182">
        <v>26.74</v>
      </c>
      <c r="I67" s="182">
        <v>31.9</v>
      </c>
      <c r="J67" s="76"/>
      <c r="K67" s="75"/>
      <c r="L67" s="75">
        <v>251.90000000000003</v>
      </c>
      <c r="M67" s="77"/>
      <c r="N67" s="78">
        <v>37.74</v>
      </c>
      <c r="O67" s="78">
        <v>289.64000000000004</v>
      </c>
      <c r="P67" s="3">
        <v>63</v>
      </c>
      <c r="Q67" s="4"/>
      <c r="R67" s="193"/>
    </row>
    <row r="68" spans="1:18" x14ac:dyDescent="0.25">
      <c r="A68" s="73">
        <v>1831219781</v>
      </c>
      <c r="B68" s="74" t="s">
        <v>208</v>
      </c>
      <c r="C68" s="75">
        <v>265.54999999999995</v>
      </c>
      <c r="D68" s="181">
        <v>1.1849000000000001</v>
      </c>
      <c r="E68" s="182">
        <v>39.86</v>
      </c>
      <c r="F68" s="182">
        <v>148.38</v>
      </c>
      <c r="G68" s="182">
        <v>13.72</v>
      </c>
      <c r="H68" s="182">
        <v>26.74</v>
      </c>
      <c r="I68" s="182">
        <v>31.9</v>
      </c>
      <c r="J68" s="76"/>
      <c r="K68" s="75"/>
      <c r="L68" s="75">
        <v>265.54999999999995</v>
      </c>
      <c r="M68" s="77"/>
      <c r="N68" s="78">
        <v>37.74</v>
      </c>
      <c r="O68" s="78">
        <v>303.28999999999996</v>
      </c>
      <c r="P68" s="3">
        <v>64</v>
      </c>
      <c r="Q68" s="4"/>
      <c r="R68" s="193"/>
    </row>
    <row r="69" spans="1:18" x14ac:dyDescent="0.25">
      <c r="A69" s="73">
        <v>1578683439</v>
      </c>
      <c r="B69" s="74" t="s">
        <v>214</v>
      </c>
      <c r="C69" s="75">
        <v>280.99</v>
      </c>
      <c r="D69" s="181">
        <v>1.2784</v>
      </c>
      <c r="E69" s="182">
        <v>39.86</v>
      </c>
      <c r="F69" s="182">
        <v>158.05999999999997</v>
      </c>
      <c r="G69" s="182">
        <v>22.61</v>
      </c>
      <c r="H69" s="182">
        <v>26.74</v>
      </c>
      <c r="I69" s="182">
        <v>31.9</v>
      </c>
      <c r="J69" s="76"/>
      <c r="K69" s="75"/>
      <c r="L69" s="75">
        <v>280.99</v>
      </c>
      <c r="M69" s="77"/>
      <c r="N69" s="78">
        <v>37.74</v>
      </c>
      <c r="O69" s="78">
        <v>318.73</v>
      </c>
      <c r="P69" s="3">
        <v>65</v>
      </c>
      <c r="Q69" s="4"/>
      <c r="R69" s="193"/>
    </row>
    <row r="70" spans="1:18" x14ac:dyDescent="0.25">
      <c r="A70" s="73">
        <v>1235236878</v>
      </c>
      <c r="B70" s="74" t="s">
        <v>215</v>
      </c>
      <c r="C70" s="75">
        <v>264.69</v>
      </c>
      <c r="D70" s="181">
        <v>1.2844</v>
      </c>
      <c r="E70" s="182">
        <v>39.86</v>
      </c>
      <c r="F70" s="182">
        <v>158.05999999999997</v>
      </c>
      <c r="G70" s="182">
        <v>9.81</v>
      </c>
      <c r="H70" s="182">
        <v>26.74</v>
      </c>
      <c r="I70" s="182">
        <v>31.9</v>
      </c>
      <c r="J70" s="76"/>
      <c r="K70" s="75"/>
      <c r="L70" s="75">
        <v>266.37</v>
      </c>
      <c r="M70" s="77"/>
      <c r="N70" s="78">
        <v>37.74</v>
      </c>
      <c r="O70" s="78">
        <v>304.11</v>
      </c>
      <c r="P70" s="3">
        <v>66</v>
      </c>
      <c r="Q70" s="4"/>
      <c r="R70" s="193"/>
    </row>
    <row r="71" spans="1:18" x14ac:dyDescent="0.25">
      <c r="A71" s="73">
        <v>1295723377</v>
      </c>
      <c r="B71" s="74" t="s">
        <v>216</v>
      </c>
      <c r="C71" s="75">
        <v>250.67000000000002</v>
      </c>
      <c r="D71" s="181">
        <v>1.3368</v>
      </c>
      <c r="E71" s="182">
        <v>39.86</v>
      </c>
      <c r="F71" s="182">
        <v>157.1</v>
      </c>
      <c r="G71" s="182">
        <v>21.75</v>
      </c>
      <c r="H71" s="182">
        <v>0</v>
      </c>
      <c r="I71" s="182">
        <v>31.9</v>
      </c>
      <c r="J71" s="76"/>
      <c r="K71" s="75"/>
      <c r="L71" s="75">
        <v>250.67000000000002</v>
      </c>
      <c r="M71" s="77"/>
      <c r="N71" s="78">
        <v>37.74</v>
      </c>
      <c r="O71" s="78">
        <v>288.41000000000003</v>
      </c>
      <c r="P71" s="3">
        <v>67</v>
      </c>
      <c r="Q71" s="4"/>
      <c r="R71" s="193"/>
    </row>
    <row r="72" spans="1:18" x14ac:dyDescent="0.25">
      <c r="A72" s="73">
        <v>1952446510</v>
      </c>
      <c r="B72" s="74" t="s">
        <v>217</v>
      </c>
      <c r="C72" s="75">
        <v>246.86</v>
      </c>
      <c r="D72" s="181">
        <v>0.96879999999999999</v>
      </c>
      <c r="E72" s="182">
        <v>39.86</v>
      </c>
      <c r="F72" s="182">
        <v>130.58999999999997</v>
      </c>
      <c r="G72" s="182">
        <v>12.99</v>
      </c>
      <c r="H72" s="182">
        <v>26.74</v>
      </c>
      <c r="I72" s="182">
        <v>31.9</v>
      </c>
      <c r="J72" s="76"/>
      <c r="K72" s="75"/>
      <c r="L72" s="75">
        <v>246.86</v>
      </c>
      <c r="M72" s="77"/>
      <c r="N72" s="78">
        <v>37.74</v>
      </c>
      <c r="O72" s="78">
        <v>284.60000000000002</v>
      </c>
      <c r="P72" s="3">
        <v>68</v>
      </c>
      <c r="Q72" s="4"/>
      <c r="R72" s="193"/>
    </row>
    <row r="73" spans="1:18" x14ac:dyDescent="0.25">
      <c r="A73" s="73">
        <v>1558872333</v>
      </c>
      <c r="B73" s="74" t="s">
        <v>218</v>
      </c>
      <c r="C73" s="75">
        <v>276.13</v>
      </c>
      <c r="D73" s="181">
        <v>1.0390999999999999</v>
      </c>
      <c r="E73" s="182">
        <v>39.86</v>
      </c>
      <c r="F73" s="182">
        <v>137.24999999999997</v>
      </c>
      <c r="G73" s="182">
        <v>34.26</v>
      </c>
      <c r="H73" s="182">
        <v>26.74</v>
      </c>
      <c r="I73" s="182">
        <v>31.9</v>
      </c>
      <c r="J73" s="76"/>
      <c r="K73" s="75"/>
      <c r="L73" s="75">
        <v>276.13</v>
      </c>
      <c r="M73" s="77"/>
      <c r="N73" s="78">
        <v>37.74</v>
      </c>
      <c r="O73" s="78">
        <v>313.87</v>
      </c>
      <c r="P73" s="3">
        <v>69</v>
      </c>
      <c r="Q73" s="4"/>
      <c r="R73" s="193"/>
    </row>
    <row r="74" spans="1:18" x14ac:dyDescent="0.25">
      <c r="A74" s="73">
        <v>1306372230</v>
      </c>
      <c r="B74" s="74" t="s">
        <v>219</v>
      </c>
      <c r="C74" s="75">
        <v>260.70999999999998</v>
      </c>
      <c r="D74" s="181">
        <v>1.3245</v>
      </c>
      <c r="E74" s="182">
        <v>39.86</v>
      </c>
      <c r="F74" s="182">
        <v>160.53</v>
      </c>
      <c r="G74" s="182">
        <v>21.92</v>
      </c>
      <c r="H74" s="182">
        <v>8.64</v>
      </c>
      <c r="I74" s="182">
        <v>31.9</v>
      </c>
      <c r="J74" s="76"/>
      <c r="K74" s="75"/>
      <c r="L74" s="75">
        <v>262.85000000000002</v>
      </c>
      <c r="M74" s="77"/>
      <c r="N74" s="78">
        <v>37.74</v>
      </c>
      <c r="O74" s="78">
        <v>300.59000000000003</v>
      </c>
      <c r="P74" s="3">
        <v>70</v>
      </c>
      <c r="Q74" s="4"/>
      <c r="R74" s="193"/>
    </row>
    <row r="75" spans="1:18" x14ac:dyDescent="0.25">
      <c r="A75" s="73">
        <v>1255385720</v>
      </c>
      <c r="B75" s="74" t="s">
        <v>220</v>
      </c>
      <c r="C75" s="75">
        <v>258.31</v>
      </c>
      <c r="D75" s="181">
        <v>1.1516999999999999</v>
      </c>
      <c r="E75" s="182">
        <v>39.86</v>
      </c>
      <c r="F75" s="182">
        <v>146.64999999999998</v>
      </c>
      <c r="G75" s="182">
        <v>16.440000000000001</v>
      </c>
      <c r="H75" s="182">
        <v>26.74</v>
      </c>
      <c r="I75" s="182">
        <v>31.9</v>
      </c>
      <c r="J75" s="76"/>
      <c r="K75" s="75"/>
      <c r="L75" s="75">
        <v>261.58999999999997</v>
      </c>
      <c r="M75" s="77"/>
      <c r="N75" s="78">
        <v>37.74</v>
      </c>
      <c r="O75" s="78">
        <v>299.33</v>
      </c>
      <c r="P75" s="3">
        <v>71</v>
      </c>
      <c r="Q75" s="4"/>
      <c r="R75" s="193"/>
    </row>
    <row r="76" spans="1:18" x14ac:dyDescent="0.25">
      <c r="A76" s="73">
        <v>1336196526</v>
      </c>
      <c r="B76" s="74" t="s">
        <v>221</v>
      </c>
      <c r="C76" s="75">
        <v>264.57</v>
      </c>
      <c r="D76" s="181">
        <v>1.2196</v>
      </c>
      <c r="E76" s="182">
        <v>39.86</v>
      </c>
      <c r="F76" s="182">
        <v>151.13</v>
      </c>
      <c r="G76" s="182">
        <v>14.34</v>
      </c>
      <c r="H76" s="182">
        <v>26.74</v>
      </c>
      <c r="I76" s="182">
        <v>31.9</v>
      </c>
      <c r="J76" s="76"/>
      <c r="K76" s="75"/>
      <c r="L76" s="75">
        <v>264.57</v>
      </c>
      <c r="M76" s="77"/>
      <c r="N76" s="78">
        <v>37.74</v>
      </c>
      <c r="O76" s="78">
        <v>302.31</v>
      </c>
      <c r="P76" s="3">
        <v>72</v>
      </c>
      <c r="Q76" s="4"/>
      <c r="R76" s="193"/>
    </row>
    <row r="77" spans="1:18" x14ac:dyDescent="0.25">
      <c r="A77" s="73">
        <v>1295279594</v>
      </c>
      <c r="B77" s="74" t="s">
        <v>222</v>
      </c>
      <c r="C77" s="75">
        <v>305.74</v>
      </c>
      <c r="D77" s="181">
        <v>1.5124</v>
      </c>
      <c r="E77" s="182">
        <v>39.86</v>
      </c>
      <c r="F77" s="182">
        <v>180.99999999999997</v>
      </c>
      <c r="G77" s="182">
        <v>26.94</v>
      </c>
      <c r="H77" s="182">
        <v>26.74</v>
      </c>
      <c r="I77" s="182">
        <v>31.9</v>
      </c>
      <c r="J77" s="76"/>
      <c r="K77" s="75"/>
      <c r="L77" s="75">
        <v>306.44</v>
      </c>
      <c r="M77" s="77"/>
      <c r="N77" s="78">
        <v>37.74</v>
      </c>
      <c r="O77" s="78">
        <v>344.18</v>
      </c>
      <c r="P77" s="3">
        <v>73</v>
      </c>
      <c r="Q77" s="4"/>
      <c r="R77" s="193"/>
    </row>
    <row r="78" spans="1:18" x14ac:dyDescent="0.25">
      <c r="A78" s="73">
        <v>1225524747</v>
      </c>
      <c r="B78" s="74" t="s">
        <v>223</v>
      </c>
      <c r="C78" s="75">
        <v>269.88</v>
      </c>
      <c r="D78" s="181">
        <v>1.1423000000000001</v>
      </c>
      <c r="E78" s="182">
        <v>39.86</v>
      </c>
      <c r="F78" s="182">
        <v>144.58999999999997</v>
      </c>
      <c r="G78" s="182">
        <v>20.56</v>
      </c>
      <c r="H78" s="182">
        <v>26.74</v>
      </c>
      <c r="I78" s="182">
        <v>31.9</v>
      </c>
      <c r="J78" s="76"/>
      <c r="K78" s="75"/>
      <c r="L78" s="75">
        <v>269.88</v>
      </c>
      <c r="M78" s="77"/>
      <c r="N78" s="78">
        <v>37.74</v>
      </c>
      <c r="O78" s="78">
        <v>307.62</v>
      </c>
      <c r="P78" s="3">
        <v>74</v>
      </c>
      <c r="Q78" s="4"/>
      <c r="R78" s="193"/>
    </row>
    <row r="79" spans="1:18" x14ac:dyDescent="0.25">
      <c r="A79" s="73">
        <v>1215400668</v>
      </c>
      <c r="B79" s="74" t="s">
        <v>224</v>
      </c>
      <c r="C79" s="75">
        <v>256.64</v>
      </c>
      <c r="D79" s="181">
        <v>1.0172000000000001</v>
      </c>
      <c r="E79" s="182">
        <v>39.86</v>
      </c>
      <c r="F79" s="182">
        <v>134.82</v>
      </c>
      <c r="G79" s="182">
        <v>13.59</v>
      </c>
      <c r="H79" s="182">
        <v>26.74</v>
      </c>
      <c r="I79" s="182">
        <v>31.9</v>
      </c>
      <c r="J79" s="76"/>
      <c r="K79" s="75"/>
      <c r="L79" s="75">
        <v>256.64</v>
      </c>
      <c r="M79" s="77"/>
      <c r="N79" s="78">
        <v>37.74</v>
      </c>
      <c r="O79" s="78">
        <v>294.38</v>
      </c>
      <c r="P79" s="3">
        <v>75</v>
      </c>
      <c r="Q79" s="4"/>
      <c r="R79" s="193"/>
    </row>
    <row r="80" spans="1:18" x14ac:dyDescent="0.25">
      <c r="A80" s="73">
        <v>1144804485</v>
      </c>
      <c r="B80" s="74" t="s">
        <v>225</v>
      </c>
      <c r="C80" s="75">
        <v>271.58999999999997</v>
      </c>
      <c r="D80" s="181">
        <v>1.1787000000000001</v>
      </c>
      <c r="E80" s="182">
        <v>39.86</v>
      </c>
      <c r="F80" s="182">
        <v>148.52999999999997</v>
      </c>
      <c r="G80" s="182">
        <v>23.22</v>
      </c>
      <c r="H80" s="182">
        <v>26.74</v>
      </c>
      <c r="I80" s="182">
        <v>31.9</v>
      </c>
      <c r="J80" s="76"/>
      <c r="K80" s="75"/>
      <c r="L80" s="75">
        <v>271.58999999999997</v>
      </c>
      <c r="M80" s="77"/>
      <c r="N80" s="78">
        <v>37.74</v>
      </c>
      <c r="O80" s="78">
        <v>309.33</v>
      </c>
      <c r="P80" s="3">
        <v>76</v>
      </c>
      <c r="Q80" s="4"/>
      <c r="R80" s="193"/>
    </row>
    <row r="81" spans="1:18" x14ac:dyDescent="0.25">
      <c r="A81" s="73">
        <v>1114501459</v>
      </c>
      <c r="B81" s="74" t="s">
        <v>588</v>
      </c>
      <c r="C81" s="75">
        <v>257.04999999999995</v>
      </c>
      <c r="D81" s="181">
        <v>1.2287999999999999</v>
      </c>
      <c r="E81" s="182">
        <v>39.86</v>
      </c>
      <c r="F81" s="182">
        <v>153.99999999999997</v>
      </c>
      <c r="G81" s="182">
        <v>22.76</v>
      </c>
      <c r="H81" s="182">
        <v>8.64</v>
      </c>
      <c r="I81" s="182">
        <v>31.9</v>
      </c>
      <c r="J81" s="76"/>
      <c r="K81" s="75"/>
      <c r="L81" s="75">
        <v>257.16000000000003</v>
      </c>
      <c r="M81" s="77"/>
      <c r="N81" s="78">
        <v>37.74</v>
      </c>
      <c r="O81" s="78">
        <v>294.90000000000003</v>
      </c>
      <c r="P81" s="3">
        <v>77</v>
      </c>
      <c r="Q81" s="4"/>
      <c r="R81" s="193"/>
    </row>
    <row r="82" spans="1:18" x14ac:dyDescent="0.25">
      <c r="A82" s="73">
        <v>1558393835</v>
      </c>
      <c r="B82" s="74" t="s">
        <v>226</v>
      </c>
      <c r="C82" s="75">
        <v>257.72999999999996</v>
      </c>
      <c r="D82" s="181">
        <v>1.1755</v>
      </c>
      <c r="E82" s="182">
        <v>39.86</v>
      </c>
      <c r="F82" s="182">
        <v>147.32999999999998</v>
      </c>
      <c r="G82" s="182">
        <v>12.67</v>
      </c>
      <c r="H82" s="182">
        <v>26.74</v>
      </c>
      <c r="I82" s="182">
        <v>31.9</v>
      </c>
      <c r="J82" s="76"/>
      <c r="K82" s="75"/>
      <c r="L82" s="75">
        <v>258.5</v>
      </c>
      <c r="M82" s="77"/>
      <c r="N82" s="78">
        <v>37.74</v>
      </c>
      <c r="O82" s="78">
        <v>296.24</v>
      </c>
      <c r="P82" s="3">
        <v>78</v>
      </c>
      <c r="Q82" s="4"/>
      <c r="R82" s="193"/>
    </row>
    <row r="83" spans="1:18" x14ac:dyDescent="0.25">
      <c r="A83" s="73">
        <v>1083711626</v>
      </c>
      <c r="B83" s="74" t="s">
        <v>227</v>
      </c>
      <c r="C83" s="75">
        <v>259.01</v>
      </c>
      <c r="D83" s="181">
        <v>1.3469</v>
      </c>
      <c r="E83" s="182">
        <v>39.86</v>
      </c>
      <c r="F83" s="182">
        <v>165.29999999999998</v>
      </c>
      <c r="G83" s="182">
        <v>13.32</v>
      </c>
      <c r="H83" s="182">
        <v>8.64</v>
      </c>
      <c r="I83" s="182">
        <v>31.9</v>
      </c>
      <c r="J83" s="76"/>
      <c r="K83" s="75"/>
      <c r="L83" s="75">
        <v>259.02</v>
      </c>
      <c r="M83" s="77"/>
      <c r="N83" s="78">
        <v>37.74</v>
      </c>
      <c r="O83" s="78">
        <v>296.76</v>
      </c>
      <c r="P83" s="3">
        <v>79</v>
      </c>
      <c r="Q83" s="4"/>
      <c r="R83" s="193"/>
    </row>
    <row r="84" spans="1:18" x14ac:dyDescent="0.25">
      <c r="A84" s="73">
        <v>1669821336</v>
      </c>
      <c r="B84" s="74" t="s">
        <v>228</v>
      </c>
      <c r="C84" s="75">
        <v>246.57999999999998</v>
      </c>
      <c r="D84" s="181">
        <v>1.1734</v>
      </c>
      <c r="E84" s="182">
        <v>39.86</v>
      </c>
      <c r="F84" s="182">
        <v>149.18999999999997</v>
      </c>
      <c r="G84" s="182">
        <v>12.89</v>
      </c>
      <c r="H84" s="182">
        <v>8.64</v>
      </c>
      <c r="I84" s="182">
        <v>31.9</v>
      </c>
      <c r="J84" s="76"/>
      <c r="K84" s="75"/>
      <c r="L84" s="75">
        <v>246.57999999999998</v>
      </c>
      <c r="M84" s="77"/>
      <c r="N84" s="78">
        <v>37.74</v>
      </c>
      <c r="O84" s="78">
        <v>284.32</v>
      </c>
      <c r="P84" s="3">
        <v>80</v>
      </c>
      <c r="Q84" s="4"/>
      <c r="R84" s="193"/>
    </row>
    <row r="85" spans="1:18" x14ac:dyDescent="0.25">
      <c r="A85" s="73">
        <v>1083661193</v>
      </c>
      <c r="B85" s="74" t="s">
        <v>229</v>
      </c>
      <c r="C85" s="75">
        <v>255.41000000000003</v>
      </c>
      <c r="D85" s="181">
        <v>1.0449999999999999</v>
      </c>
      <c r="E85" s="182">
        <v>39.86</v>
      </c>
      <c r="F85" s="182">
        <v>137.47999999999999</v>
      </c>
      <c r="G85" s="182">
        <v>15.51</v>
      </c>
      <c r="H85" s="182">
        <v>26.74</v>
      </c>
      <c r="I85" s="182">
        <v>31.9</v>
      </c>
      <c r="J85" s="76"/>
      <c r="K85" s="75"/>
      <c r="L85" s="75">
        <v>255.41000000000003</v>
      </c>
      <c r="M85" s="77"/>
      <c r="N85" s="78">
        <v>37.74</v>
      </c>
      <c r="O85" s="78">
        <v>293.15000000000003</v>
      </c>
      <c r="P85" s="3">
        <v>81</v>
      </c>
      <c r="Q85" s="4"/>
      <c r="R85" s="193"/>
    </row>
    <row r="86" spans="1:18" x14ac:dyDescent="0.25">
      <c r="A86" s="73">
        <v>1336118298</v>
      </c>
      <c r="B86" s="74" t="s">
        <v>230</v>
      </c>
      <c r="C86" s="75">
        <v>280.51</v>
      </c>
      <c r="D86" s="181">
        <v>1.4487000000000001</v>
      </c>
      <c r="E86" s="182">
        <v>39.86</v>
      </c>
      <c r="F86" s="182">
        <v>171.76999999999998</v>
      </c>
      <c r="G86" s="182">
        <v>11.16</v>
      </c>
      <c r="H86" s="182">
        <v>26.74</v>
      </c>
      <c r="I86" s="182">
        <v>31.9</v>
      </c>
      <c r="J86" s="76"/>
      <c r="K86" s="75"/>
      <c r="L86" s="75">
        <v>281.43</v>
      </c>
      <c r="M86" s="77"/>
      <c r="N86" s="78">
        <v>37.74</v>
      </c>
      <c r="O86" s="78">
        <v>319.17</v>
      </c>
      <c r="P86" s="3">
        <v>82</v>
      </c>
      <c r="Q86" s="4"/>
      <c r="R86" s="193"/>
    </row>
    <row r="87" spans="1:18" x14ac:dyDescent="0.25">
      <c r="A87" s="73">
        <v>1194309336</v>
      </c>
      <c r="B87" s="74" t="s">
        <v>231</v>
      </c>
      <c r="C87" s="75">
        <v>278.42999999999995</v>
      </c>
      <c r="D87" s="181">
        <v>1.2271000000000001</v>
      </c>
      <c r="E87" s="182">
        <v>39.86</v>
      </c>
      <c r="F87" s="182">
        <v>153.60999999999999</v>
      </c>
      <c r="G87" s="182">
        <v>23.29</v>
      </c>
      <c r="H87" s="182">
        <v>26.74</v>
      </c>
      <c r="I87" s="182">
        <v>31.9</v>
      </c>
      <c r="J87" s="76"/>
      <c r="K87" s="75"/>
      <c r="L87" s="75">
        <v>278.42999999999995</v>
      </c>
      <c r="M87" s="77"/>
      <c r="N87" s="78">
        <v>37.74</v>
      </c>
      <c r="O87" s="78">
        <v>316.16999999999996</v>
      </c>
      <c r="P87" s="3">
        <v>83</v>
      </c>
      <c r="Q87" s="4"/>
      <c r="R87" s="193"/>
    </row>
    <row r="88" spans="1:18" x14ac:dyDescent="0.25">
      <c r="A88" s="73">
        <v>1699710293</v>
      </c>
      <c r="B88" s="74" t="s">
        <v>232</v>
      </c>
      <c r="C88" s="75">
        <v>269.60999999999996</v>
      </c>
      <c r="D88" s="181">
        <v>1.1680999999999999</v>
      </c>
      <c r="E88" s="182">
        <v>39.86</v>
      </c>
      <c r="F88" s="182">
        <v>145.19999999999999</v>
      </c>
      <c r="G88" s="182">
        <v>20.22</v>
      </c>
      <c r="H88" s="182">
        <v>26.74</v>
      </c>
      <c r="I88" s="182">
        <v>31.9</v>
      </c>
      <c r="J88" s="76"/>
      <c r="K88" s="75"/>
      <c r="L88" s="75">
        <v>269.60999999999996</v>
      </c>
      <c r="M88" s="77"/>
      <c r="N88" s="78">
        <v>37.74</v>
      </c>
      <c r="O88" s="78">
        <v>307.34999999999997</v>
      </c>
      <c r="P88" s="3">
        <v>84</v>
      </c>
      <c r="Q88" s="4"/>
      <c r="R88" s="193"/>
    </row>
    <row r="89" spans="1:18" x14ac:dyDescent="0.25">
      <c r="A89" s="73">
        <v>1083659692</v>
      </c>
      <c r="B89" s="74" t="s">
        <v>233</v>
      </c>
      <c r="C89" s="75">
        <v>258.06</v>
      </c>
      <c r="D89" s="181">
        <v>1.2484</v>
      </c>
      <c r="E89" s="182">
        <v>39.86</v>
      </c>
      <c r="F89" s="182">
        <v>152.66</v>
      </c>
      <c r="G89" s="182">
        <v>8.6300000000000008</v>
      </c>
      <c r="H89" s="182">
        <v>26.74</v>
      </c>
      <c r="I89" s="182">
        <v>31.9</v>
      </c>
      <c r="J89" s="76"/>
      <c r="K89" s="75"/>
      <c r="L89" s="75">
        <v>259.79000000000002</v>
      </c>
      <c r="M89" s="77"/>
      <c r="N89" s="78">
        <v>37.74</v>
      </c>
      <c r="O89" s="78">
        <v>297.53000000000003</v>
      </c>
      <c r="P89" s="3">
        <v>85</v>
      </c>
      <c r="Q89" s="4"/>
      <c r="R89" s="193"/>
    </row>
    <row r="90" spans="1:18" x14ac:dyDescent="0.25">
      <c r="A90" s="73">
        <v>1740249382</v>
      </c>
      <c r="B90" s="74" t="s">
        <v>234</v>
      </c>
      <c r="C90" s="75">
        <v>268.24</v>
      </c>
      <c r="D90" s="181">
        <v>1.0821000000000001</v>
      </c>
      <c r="E90" s="182">
        <v>39.86</v>
      </c>
      <c r="F90" s="182">
        <v>139.73999999999998</v>
      </c>
      <c r="G90" s="182">
        <v>35.26</v>
      </c>
      <c r="H90" s="182">
        <v>26.74</v>
      </c>
      <c r="I90" s="182">
        <v>31.9</v>
      </c>
      <c r="J90" s="76"/>
      <c r="K90" s="75"/>
      <c r="L90" s="75">
        <v>273.5</v>
      </c>
      <c r="M90" s="77"/>
      <c r="N90" s="78">
        <v>37.74</v>
      </c>
      <c r="O90" s="78">
        <v>311.24</v>
      </c>
      <c r="P90" s="3">
        <v>86</v>
      </c>
      <c r="Q90" s="4"/>
      <c r="R90" s="193"/>
    </row>
    <row r="91" spans="1:18" x14ac:dyDescent="0.25">
      <c r="A91" s="73">
        <v>1225000888</v>
      </c>
      <c r="B91" s="74" t="s">
        <v>235</v>
      </c>
      <c r="C91" s="75">
        <v>271.21999999999997</v>
      </c>
      <c r="D91" s="181">
        <v>1.2211000000000001</v>
      </c>
      <c r="E91" s="182">
        <v>39.86</v>
      </c>
      <c r="F91" s="182">
        <v>152.72</v>
      </c>
      <c r="G91" s="182">
        <v>23.98</v>
      </c>
      <c r="H91" s="182">
        <v>26.74</v>
      </c>
      <c r="I91" s="182">
        <v>31.9</v>
      </c>
      <c r="J91" s="76"/>
      <c r="K91" s="75"/>
      <c r="L91" s="75">
        <v>275.2</v>
      </c>
      <c r="M91" s="77"/>
      <c r="N91" s="78">
        <v>37.74</v>
      </c>
      <c r="O91" s="78">
        <v>312.94</v>
      </c>
      <c r="P91" s="3">
        <v>87</v>
      </c>
      <c r="Q91" s="4"/>
      <c r="R91" s="193"/>
    </row>
    <row r="92" spans="1:18" x14ac:dyDescent="0.25">
      <c r="A92" s="73">
        <v>1407803679</v>
      </c>
      <c r="B92" s="74" t="s">
        <v>236</v>
      </c>
      <c r="C92" s="75">
        <v>254.94</v>
      </c>
      <c r="D92" s="181">
        <v>1.0801000000000001</v>
      </c>
      <c r="E92" s="182">
        <v>39.86</v>
      </c>
      <c r="F92" s="182">
        <v>140.20999999999998</v>
      </c>
      <c r="G92" s="182">
        <v>13.89</v>
      </c>
      <c r="H92" s="182">
        <v>26.74</v>
      </c>
      <c r="I92" s="182">
        <v>31.9</v>
      </c>
      <c r="J92" s="76"/>
      <c r="K92" s="75"/>
      <c r="L92" s="75">
        <v>254.94</v>
      </c>
      <c r="M92" s="77"/>
      <c r="N92" s="78">
        <v>37.74</v>
      </c>
      <c r="O92" s="78">
        <v>292.68</v>
      </c>
      <c r="P92" s="3">
        <v>88</v>
      </c>
      <c r="Q92" s="4"/>
      <c r="R92" s="193"/>
    </row>
    <row r="93" spans="1:18" x14ac:dyDescent="0.25">
      <c r="A93" s="73">
        <v>1134249006</v>
      </c>
      <c r="B93" s="74" t="s">
        <v>773</v>
      </c>
      <c r="C93" s="75">
        <v>270.45</v>
      </c>
      <c r="D93" s="181">
        <v>1.1279999999999999</v>
      </c>
      <c r="E93" s="182">
        <v>39.86</v>
      </c>
      <c r="F93" s="182">
        <v>144.42999999999998</v>
      </c>
      <c r="G93" s="182">
        <v>15.75</v>
      </c>
      <c r="H93" s="182">
        <v>26.74</v>
      </c>
      <c r="I93" s="182">
        <v>31.9</v>
      </c>
      <c r="J93" s="76"/>
      <c r="K93" s="75"/>
      <c r="L93" s="75">
        <v>270.45</v>
      </c>
      <c r="M93" s="77"/>
      <c r="N93" s="78">
        <v>37.74</v>
      </c>
      <c r="O93" s="78">
        <v>308.19</v>
      </c>
      <c r="P93" s="3">
        <v>89</v>
      </c>
      <c r="Q93" s="4"/>
      <c r="R93" s="193"/>
    </row>
    <row r="94" spans="1:18" x14ac:dyDescent="0.25">
      <c r="A94" s="73">
        <v>1710312079</v>
      </c>
      <c r="B94" s="74" t="s">
        <v>237</v>
      </c>
      <c r="C94" s="75">
        <v>289.87</v>
      </c>
      <c r="D94" s="181">
        <v>1.2786999999999999</v>
      </c>
      <c r="E94" s="182">
        <v>39.86</v>
      </c>
      <c r="F94" s="182">
        <v>156.79</v>
      </c>
      <c r="G94" s="182">
        <v>28.25</v>
      </c>
      <c r="H94" s="182">
        <v>26.74</v>
      </c>
      <c r="I94" s="182">
        <v>31.9</v>
      </c>
      <c r="J94" s="76"/>
      <c r="K94" s="75"/>
      <c r="L94" s="75">
        <v>289.87</v>
      </c>
      <c r="M94" s="77"/>
      <c r="N94" s="78">
        <v>37.74</v>
      </c>
      <c r="O94" s="78">
        <v>327.61</v>
      </c>
      <c r="P94" s="3">
        <v>90</v>
      </c>
      <c r="Q94" s="4"/>
      <c r="R94" s="193"/>
    </row>
    <row r="95" spans="1:18" x14ac:dyDescent="0.25">
      <c r="A95" s="73">
        <v>1710537998</v>
      </c>
      <c r="B95" s="74" t="s">
        <v>238</v>
      </c>
      <c r="C95" s="75">
        <v>263.43</v>
      </c>
      <c r="D95" s="181">
        <v>1.0238</v>
      </c>
      <c r="E95" s="182">
        <v>39.86</v>
      </c>
      <c r="F95" s="182">
        <v>135.63</v>
      </c>
      <c r="G95" s="182">
        <v>24.95</v>
      </c>
      <c r="H95" s="182">
        <v>26.74</v>
      </c>
      <c r="I95" s="182">
        <v>31.9</v>
      </c>
      <c r="J95" s="76"/>
      <c r="K95" s="75"/>
      <c r="L95" s="75">
        <v>263.43</v>
      </c>
      <c r="M95" s="77"/>
      <c r="N95" s="78">
        <v>37.74</v>
      </c>
      <c r="O95" s="78">
        <v>301.17</v>
      </c>
      <c r="P95" s="3">
        <v>91</v>
      </c>
      <c r="Q95" s="4"/>
      <c r="R95" s="193"/>
    </row>
    <row r="96" spans="1:18" x14ac:dyDescent="0.25">
      <c r="A96" s="73">
        <v>1841854361</v>
      </c>
      <c r="B96" s="74" t="s">
        <v>239</v>
      </c>
      <c r="C96" s="75">
        <v>284.71999999999997</v>
      </c>
      <c r="D96" s="181">
        <v>1.4293</v>
      </c>
      <c r="E96" s="182">
        <v>39.86</v>
      </c>
      <c r="F96" s="182">
        <v>172.77999999999997</v>
      </c>
      <c r="G96" s="182">
        <v>13.15</v>
      </c>
      <c r="H96" s="182">
        <v>26.74</v>
      </c>
      <c r="I96" s="182">
        <v>31.9</v>
      </c>
      <c r="J96" s="76"/>
      <c r="K96" s="75"/>
      <c r="L96" s="75">
        <v>284.71999999999997</v>
      </c>
      <c r="M96" s="77"/>
      <c r="N96" s="78">
        <v>37.74</v>
      </c>
      <c r="O96" s="78">
        <v>322.45999999999998</v>
      </c>
      <c r="P96" s="3">
        <v>92</v>
      </c>
      <c r="Q96" s="4"/>
      <c r="R96" s="193"/>
    </row>
    <row r="97" spans="1:18" x14ac:dyDescent="0.25">
      <c r="A97" s="73">
        <v>1346806015</v>
      </c>
      <c r="B97" s="74" t="s">
        <v>240</v>
      </c>
      <c r="C97" s="75">
        <v>276.87</v>
      </c>
      <c r="D97" s="181">
        <v>1.1547000000000001</v>
      </c>
      <c r="E97" s="182">
        <v>39.86</v>
      </c>
      <c r="F97" s="182">
        <v>145.38999999999999</v>
      </c>
      <c r="G97" s="182">
        <v>27.49</v>
      </c>
      <c r="H97" s="182">
        <v>26.74</v>
      </c>
      <c r="I97" s="182">
        <v>31.9</v>
      </c>
      <c r="J97" s="76"/>
      <c r="K97" s="75"/>
      <c r="L97" s="75">
        <v>276.87</v>
      </c>
      <c r="M97" s="77"/>
      <c r="N97" s="78">
        <v>37.74</v>
      </c>
      <c r="O97" s="78">
        <v>314.61</v>
      </c>
      <c r="P97" s="3">
        <v>93</v>
      </c>
      <c r="Q97" s="4"/>
      <c r="R97" s="193"/>
    </row>
    <row r="98" spans="1:18" x14ac:dyDescent="0.25">
      <c r="A98" s="73">
        <v>1801428768</v>
      </c>
      <c r="B98" s="74" t="s">
        <v>241</v>
      </c>
      <c r="C98" s="75">
        <v>279.53000000000003</v>
      </c>
      <c r="D98" s="181">
        <v>1.3247</v>
      </c>
      <c r="E98" s="182">
        <v>39.86</v>
      </c>
      <c r="F98" s="182">
        <v>162.73999999999998</v>
      </c>
      <c r="G98" s="182">
        <v>19.239999999999998</v>
      </c>
      <c r="H98" s="182">
        <v>26.74</v>
      </c>
      <c r="I98" s="182">
        <v>31.9</v>
      </c>
      <c r="J98" s="76"/>
      <c r="K98" s="75"/>
      <c r="L98" s="75">
        <v>280.48</v>
      </c>
      <c r="M98" s="77"/>
      <c r="N98" s="78">
        <v>37.74</v>
      </c>
      <c r="O98" s="78">
        <v>318.22000000000003</v>
      </c>
      <c r="P98" s="3">
        <v>94</v>
      </c>
      <c r="Q98" s="4"/>
      <c r="R98" s="193"/>
    </row>
    <row r="99" spans="1:18" x14ac:dyDescent="0.25">
      <c r="A99" s="73">
        <v>1407325103</v>
      </c>
      <c r="B99" s="74" t="s">
        <v>242</v>
      </c>
      <c r="C99" s="75">
        <v>267.39</v>
      </c>
      <c r="D99" s="181">
        <v>1.2648999999999999</v>
      </c>
      <c r="E99" s="182">
        <v>39.86</v>
      </c>
      <c r="F99" s="182">
        <v>157.10999999999999</v>
      </c>
      <c r="G99" s="182">
        <v>12.56</v>
      </c>
      <c r="H99" s="182">
        <v>26.74</v>
      </c>
      <c r="I99" s="182">
        <v>31.9</v>
      </c>
      <c r="J99" s="76"/>
      <c r="K99" s="75"/>
      <c r="L99" s="75">
        <v>268.17</v>
      </c>
      <c r="M99" s="77"/>
      <c r="N99" s="78">
        <v>37.74</v>
      </c>
      <c r="O99" s="78">
        <v>305.91000000000003</v>
      </c>
      <c r="P99" s="3">
        <v>95</v>
      </c>
      <c r="Q99" s="4"/>
      <c r="R99" s="193"/>
    </row>
    <row r="100" spans="1:18" x14ac:dyDescent="0.25">
      <c r="A100" s="73">
        <v>1891722187</v>
      </c>
      <c r="B100" s="74" t="s">
        <v>243</v>
      </c>
      <c r="C100" s="75">
        <v>264.26</v>
      </c>
      <c r="D100" s="181">
        <v>1.1052</v>
      </c>
      <c r="E100" s="182">
        <v>39.86</v>
      </c>
      <c r="F100" s="182">
        <v>143.79999999999998</v>
      </c>
      <c r="G100" s="182">
        <v>20.95</v>
      </c>
      <c r="H100" s="182">
        <v>26.74</v>
      </c>
      <c r="I100" s="182">
        <v>31.9</v>
      </c>
      <c r="J100" s="76"/>
      <c r="K100" s="75"/>
      <c r="L100" s="75">
        <v>264.26</v>
      </c>
      <c r="M100" s="77"/>
      <c r="N100" s="78">
        <v>37.74</v>
      </c>
      <c r="O100" s="78">
        <v>302</v>
      </c>
      <c r="P100" s="3">
        <v>96</v>
      </c>
      <c r="Q100" s="4"/>
      <c r="R100" s="193"/>
    </row>
    <row r="101" spans="1:18" x14ac:dyDescent="0.25">
      <c r="A101" s="73">
        <v>1073599510</v>
      </c>
      <c r="B101" s="74" t="s">
        <v>244</v>
      </c>
      <c r="C101" s="75">
        <v>259.47000000000003</v>
      </c>
      <c r="D101" s="181">
        <v>1.0922000000000001</v>
      </c>
      <c r="E101" s="182">
        <v>39.86</v>
      </c>
      <c r="F101" s="182">
        <v>143.19999999999999</v>
      </c>
      <c r="G101" s="182">
        <v>15.3</v>
      </c>
      <c r="H101" s="182">
        <v>26.74</v>
      </c>
      <c r="I101" s="182">
        <v>31.9</v>
      </c>
      <c r="J101" s="76"/>
      <c r="K101" s="75"/>
      <c r="L101" s="75">
        <v>259.47000000000003</v>
      </c>
      <c r="M101" s="77"/>
      <c r="N101" s="78">
        <v>37.74</v>
      </c>
      <c r="O101" s="78">
        <v>297.21000000000004</v>
      </c>
      <c r="P101" s="3">
        <v>97</v>
      </c>
      <c r="Q101" s="4"/>
      <c r="R101" s="193"/>
    </row>
    <row r="102" spans="1:18" x14ac:dyDescent="0.25">
      <c r="A102" s="73">
        <v>1972587376</v>
      </c>
      <c r="B102" s="74" t="s">
        <v>245</v>
      </c>
      <c r="C102" s="75">
        <v>239.21999999999997</v>
      </c>
      <c r="D102" s="181">
        <v>1.1676</v>
      </c>
      <c r="E102" s="182">
        <v>39.86</v>
      </c>
      <c r="F102" s="182">
        <v>148.44</v>
      </c>
      <c r="G102" s="182">
        <v>25.14</v>
      </c>
      <c r="H102" s="182">
        <v>0</v>
      </c>
      <c r="I102" s="182">
        <v>31.9</v>
      </c>
      <c r="J102" s="76"/>
      <c r="K102" s="75"/>
      <c r="L102" s="75">
        <v>245.34</v>
      </c>
      <c r="M102" s="77"/>
      <c r="N102" s="78">
        <v>37.74</v>
      </c>
      <c r="O102" s="78">
        <v>283.08</v>
      </c>
      <c r="P102" s="3">
        <v>98</v>
      </c>
      <c r="Q102" s="4"/>
      <c r="R102" s="193"/>
    </row>
    <row r="103" spans="1:18" x14ac:dyDescent="0.25">
      <c r="A103" s="73">
        <v>1942236161</v>
      </c>
      <c r="B103" s="74" t="s">
        <v>246</v>
      </c>
      <c r="C103" s="75">
        <v>264.63</v>
      </c>
      <c r="D103" s="181">
        <v>1.1870000000000001</v>
      </c>
      <c r="E103" s="182">
        <v>39.86</v>
      </c>
      <c r="F103" s="182">
        <v>147.30999999999997</v>
      </c>
      <c r="G103" s="182">
        <v>20.13</v>
      </c>
      <c r="H103" s="182">
        <v>26.74</v>
      </c>
      <c r="I103" s="182">
        <v>31.9</v>
      </c>
      <c r="J103" s="76"/>
      <c r="K103" s="75"/>
      <c r="L103" s="75">
        <v>265.94</v>
      </c>
      <c r="M103" s="77"/>
      <c r="N103" s="78">
        <v>37.74</v>
      </c>
      <c r="O103" s="78">
        <v>303.68</v>
      </c>
      <c r="P103" s="3">
        <v>99</v>
      </c>
      <c r="Q103" s="4"/>
      <c r="R103" s="193"/>
    </row>
    <row r="104" spans="1:18" x14ac:dyDescent="0.25">
      <c r="A104" s="73">
        <v>1437103850</v>
      </c>
      <c r="B104" s="74" t="s">
        <v>247</v>
      </c>
      <c r="C104" s="75">
        <v>257.25</v>
      </c>
      <c r="D104" s="181">
        <v>1.179314330001999</v>
      </c>
      <c r="E104" s="182">
        <v>39.86</v>
      </c>
      <c r="F104" s="182">
        <v>148.39999999999998</v>
      </c>
      <c r="G104" s="182">
        <v>10.32</v>
      </c>
      <c r="H104" s="182">
        <v>26.74</v>
      </c>
      <c r="I104" s="182">
        <v>31.9</v>
      </c>
      <c r="J104" s="76"/>
      <c r="K104" s="75"/>
      <c r="L104" s="75">
        <v>257.25</v>
      </c>
      <c r="M104" s="77"/>
      <c r="N104" s="78">
        <v>37.74</v>
      </c>
      <c r="O104" s="78">
        <v>294.99</v>
      </c>
      <c r="P104" s="3">
        <v>100</v>
      </c>
      <c r="Q104" s="4"/>
      <c r="R104" s="193"/>
    </row>
    <row r="105" spans="1:18" x14ac:dyDescent="0.25">
      <c r="A105" s="73">
        <v>1851375703</v>
      </c>
      <c r="B105" s="74" t="s">
        <v>248</v>
      </c>
      <c r="C105" s="75">
        <v>279.54000000000002</v>
      </c>
      <c r="D105" s="181">
        <v>1.3629</v>
      </c>
      <c r="E105" s="182">
        <v>39.86</v>
      </c>
      <c r="F105" s="182">
        <v>161.70999999999998</v>
      </c>
      <c r="G105" s="182">
        <v>23.82</v>
      </c>
      <c r="H105" s="182">
        <v>26.74</v>
      </c>
      <c r="I105" s="182">
        <v>31.9</v>
      </c>
      <c r="J105" s="76"/>
      <c r="K105" s="75"/>
      <c r="L105" s="75">
        <v>284.02999999999997</v>
      </c>
      <c r="M105" s="77"/>
      <c r="N105" s="78">
        <v>37.74</v>
      </c>
      <c r="O105" s="78">
        <v>321.77</v>
      </c>
      <c r="P105" s="3">
        <v>101</v>
      </c>
      <c r="Q105" s="4"/>
      <c r="R105" s="193"/>
    </row>
    <row r="106" spans="1:18" x14ac:dyDescent="0.25">
      <c r="A106" s="73">
        <v>1639630452</v>
      </c>
      <c r="B106" s="74" t="s">
        <v>250</v>
      </c>
      <c r="C106" s="75">
        <v>268.7</v>
      </c>
      <c r="D106" s="181">
        <v>1.1032999999999999</v>
      </c>
      <c r="E106" s="182">
        <v>39.86</v>
      </c>
      <c r="F106" s="182">
        <v>142.39999999999998</v>
      </c>
      <c r="G106" s="182">
        <v>24.87</v>
      </c>
      <c r="H106" s="182">
        <v>26.74</v>
      </c>
      <c r="I106" s="182">
        <v>31.9</v>
      </c>
      <c r="J106" s="76"/>
      <c r="K106" s="75"/>
      <c r="L106" s="75">
        <v>268.7</v>
      </c>
      <c r="M106" s="77"/>
      <c r="N106" s="78">
        <v>37.74</v>
      </c>
      <c r="O106" s="78">
        <v>306.44</v>
      </c>
      <c r="P106" s="3">
        <v>102</v>
      </c>
      <c r="Q106" s="4"/>
      <c r="R106" s="193"/>
    </row>
    <row r="107" spans="1:18" x14ac:dyDescent="0.25">
      <c r="A107" s="73">
        <v>1093131310</v>
      </c>
      <c r="B107" s="74" t="s">
        <v>251</v>
      </c>
      <c r="C107" s="75">
        <v>269.28000000000003</v>
      </c>
      <c r="D107" s="181">
        <v>1.1910000000000001</v>
      </c>
      <c r="E107" s="182">
        <v>39.86</v>
      </c>
      <c r="F107" s="182">
        <v>145.72999999999999</v>
      </c>
      <c r="G107" s="182">
        <v>20.63</v>
      </c>
      <c r="H107" s="182">
        <v>26.74</v>
      </c>
      <c r="I107" s="182">
        <v>31.9</v>
      </c>
      <c r="J107" s="76"/>
      <c r="K107" s="75"/>
      <c r="L107" s="75">
        <v>269.28000000000003</v>
      </c>
      <c r="M107" s="77"/>
      <c r="N107" s="78">
        <v>37.74</v>
      </c>
      <c r="O107" s="78">
        <v>307.02000000000004</v>
      </c>
      <c r="P107" s="3">
        <v>103</v>
      </c>
      <c r="Q107" s="4"/>
      <c r="R107" s="193"/>
    </row>
    <row r="108" spans="1:18" x14ac:dyDescent="0.25">
      <c r="A108" s="73">
        <v>1912485517</v>
      </c>
      <c r="B108" s="74" t="s">
        <v>252</v>
      </c>
      <c r="C108" s="75">
        <v>276.09000000000003</v>
      </c>
      <c r="D108" s="181">
        <v>1.1349</v>
      </c>
      <c r="E108" s="182">
        <v>39.86</v>
      </c>
      <c r="F108" s="182">
        <v>144.86999999999998</v>
      </c>
      <c r="G108" s="182">
        <v>32.630000000000003</v>
      </c>
      <c r="H108" s="182">
        <v>26.74</v>
      </c>
      <c r="I108" s="182">
        <v>31.9</v>
      </c>
      <c r="J108" s="76"/>
      <c r="K108" s="75"/>
      <c r="L108" s="75">
        <v>276.09000000000003</v>
      </c>
      <c r="M108" s="77"/>
      <c r="N108" s="78">
        <v>37.74</v>
      </c>
      <c r="O108" s="78">
        <v>313.83000000000004</v>
      </c>
      <c r="P108" s="3">
        <v>104</v>
      </c>
      <c r="Q108" s="4"/>
      <c r="R108" s="193"/>
    </row>
    <row r="109" spans="1:18" x14ac:dyDescent="0.25">
      <c r="A109" s="73">
        <v>1841697422</v>
      </c>
      <c r="B109" s="74" t="s">
        <v>253</v>
      </c>
      <c r="C109" s="75">
        <v>233.68</v>
      </c>
      <c r="D109" s="181">
        <v>1.1660999999999999</v>
      </c>
      <c r="E109" s="182">
        <v>39.86</v>
      </c>
      <c r="F109" s="182">
        <v>147.60999999999999</v>
      </c>
      <c r="G109" s="182">
        <v>20.49</v>
      </c>
      <c r="H109" s="182">
        <v>26.74</v>
      </c>
      <c r="I109" s="182">
        <v>31.9</v>
      </c>
      <c r="J109" s="76"/>
      <c r="K109" s="75"/>
      <c r="L109" s="75">
        <v>266.60000000000002</v>
      </c>
      <c r="M109" s="77"/>
      <c r="N109" s="78">
        <v>37.74</v>
      </c>
      <c r="O109" s="78">
        <v>304.34000000000003</v>
      </c>
      <c r="P109" s="3">
        <v>105</v>
      </c>
      <c r="Q109" s="4"/>
      <c r="R109" s="193"/>
    </row>
    <row r="110" spans="1:18" x14ac:dyDescent="0.25">
      <c r="A110" s="73">
        <v>1356346191</v>
      </c>
      <c r="B110" s="74" t="s">
        <v>254</v>
      </c>
      <c r="C110" s="75">
        <v>232.12</v>
      </c>
      <c r="D110" s="181">
        <v>0.89249999999999996</v>
      </c>
      <c r="E110" s="182">
        <v>39.86</v>
      </c>
      <c r="F110" s="182">
        <v>123.04999999999998</v>
      </c>
      <c r="G110" s="182">
        <v>23.35</v>
      </c>
      <c r="H110" s="182">
        <v>8.64</v>
      </c>
      <c r="I110" s="182">
        <v>31.9</v>
      </c>
      <c r="J110" s="76"/>
      <c r="K110" s="75"/>
      <c r="L110" s="75">
        <v>232.12</v>
      </c>
      <c r="M110" s="77"/>
      <c r="N110" s="78">
        <v>37.74</v>
      </c>
      <c r="O110" s="78">
        <v>269.86</v>
      </c>
      <c r="P110" s="3">
        <v>106</v>
      </c>
      <c r="Q110" s="4"/>
      <c r="R110" s="193"/>
    </row>
    <row r="111" spans="1:18" x14ac:dyDescent="0.25">
      <c r="A111" s="73">
        <v>1477537199</v>
      </c>
      <c r="B111" s="74" t="s">
        <v>255</v>
      </c>
      <c r="C111" s="75">
        <v>254.22000000000003</v>
      </c>
      <c r="D111" s="181">
        <v>1.2123999999999999</v>
      </c>
      <c r="E111" s="182">
        <v>39.86</v>
      </c>
      <c r="F111" s="182">
        <v>153.19</v>
      </c>
      <c r="G111" s="182">
        <v>7.93</v>
      </c>
      <c r="H111" s="182">
        <v>26.74</v>
      </c>
      <c r="I111" s="182">
        <v>31.9</v>
      </c>
      <c r="J111" s="76"/>
      <c r="K111" s="75"/>
      <c r="L111" s="75">
        <v>259.62</v>
      </c>
      <c r="M111" s="77"/>
      <c r="N111" s="78">
        <v>37.74</v>
      </c>
      <c r="O111" s="78">
        <v>297.36</v>
      </c>
      <c r="P111" s="3">
        <v>107</v>
      </c>
      <c r="Q111" s="4"/>
      <c r="R111" s="193"/>
    </row>
    <row r="112" spans="1:18" x14ac:dyDescent="0.25">
      <c r="A112" s="73">
        <v>1831551514</v>
      </c>
      <c r="B112" s="74" t="s">
        <v>774</v>
      </c>
      <c r="C112" s="75">
        <v>260.98</v>
      </c>
      <c r="D112" s="181">
        <v>1.2374000000000001</v>
      </c>
      <c r="E112" s="182">
        <v>39.86</v>
      </c>
      <c r="F112" s="182">
        <v>153.32</v>
      </c>
      <c r="G112" s="182">
        <v>14.58</v>
      </c>
      <c r="H112" s="182">
        <v>26.74</v>
      </c>
      <c r="I112" s="182">
        <v>31.9</v>
      </c>
      <c r="J112" s="76"/>
      <c r="K112" s="75"/>
      <c r="L112" s="75">
        <v>266.39999999999998</v>
      </c>
      <c r="M112" s="77"/>
      <c r="N112" s="78">
        <v>37.74</v>
      </c>
      <c r="O112" s="78">
        <v>304.14</v>
      </c>
      <c r="P112" s="3">
        <v>108</v>
      </c>
      <c r="Q112" s="4"/>
      <c r="R112" s="193"/>
    </row>
    <row r="113" spans="1:18" x14ac:dyDescent="0.25">
      <c r="A113" s="73">
        <v>1154792000</v>
      </c>
      <c r="B113" s="74" t="s">
        <v>256</v>
      </c>
      <c r="C113" s="75">
        <v>242.07000000000002</v>
      </c>
      <c r="D113" s="181">
        <v>1.0766</v>
      </c>
      <c r="E113" s="182">
        <v>39.86</v>
      </c>
      <c r="F113" s="182">
        <v>139.76999999999998</v>
      </c>
      <c r="G113" s="182">
        <v>8.7799999999999994</v>
      </c>
      <c r="H113" s="182">
        <v>26.74</v>
      </c>
      <c r="I113" s="182">
        <v>31.9</v>
      </c>
      <c r="J113" s="76"/>
      <c r="K113" s="75"/>
      <c r="L113" s="75">
        <v>247.05</v>
      </c>
      <c r="M113" s="77"/>
      <c r="N113" s="78">
        <v>37.74</v>
      </c>
      <c r="O113" s="78">
        <v>284.79000000000002</v>
      </c>
      <c r="P113" s="3">
        <v>109</v>
      </c>
      <c r="Q113" s="4"/>
      <c r="R113" s="193"/>
    </row>
    <row r="114" spans="1:18" x14ac:dyDescent="0.25">
      <c r="A114" s="73">
        <v>1184196206</v>
      </c>
      <c r="B114" s="74" t="s">
        <v>257</v>
      </c>
      <c r="C114" s="75">
        <v>242.3</v>
      </c>
      <c r="D114" s="181">
        <v>0.94099999999999995</v>
      </c>
      <c r="E114" s="182">
        <v>39.86</v>
      </c>
      <c r="F114" s="182">
        <v>127.85</v>
      </c>
      <c r="G114" s="182">
        <v>15.75</v>
      </c>
      <c r="H114" s="182">
        <v>26.74</v>
      </c>
      <c r="I114" s="182">
        <v>31.9</v>
      </c>
      <c r="J114" s="76"/>
      <c r="K114" s="75"/>
      <c r="L114" s="75">
        <v>242.3</v>
      </c>
      <c r="M114" s="77"/>
      <c r="N114" s="78">
        <v>37.74</v>
      </c>
      <c r="O114" s="78">
        <v>280.04000000000002</v>
      </c>
      <c r="P114" s="3">
        <v>110</v>
      </c>
      <c r="Q114" s="4"/>
      <c r="R114" s="193"/>
    </row>
    <row r="115" spans="1:18" x14ac:dyDescent="0.25">
      <c r="A115" s="73">
        <v>1245350289</v>
      </c>
      <c r="B115" s="74" t="s">
        <v>775</v>
      </c>
      <c r="C115" s="75">
        <v>263.15999999999997</v>
      </c>
      <c r="D115" s="181">
        <v>1.1240000000000001</v>
      </c>
      <c r="E115" s="182">
        <v>39.86</v>
      </c>
      <c r="F115" s="182">
        <v>143.47</v>
      </c>
      <c r="G115" s="182">
        <v>15.21</v>
      </c>
      <c r="H115" s="182">
        <v>26.74</v>
      </c>
      <c r="I115" s="182">
        <v>31.9</v>
      </c>
      <c r="J115" s="76"/>
      <c r="K115" s="75"/>
      <c r="L115" s="75">
        <v>263.15999999999997</v>
      </c>
      <c r="M115" s="77"/>
      <c r="N115" s="78">
        <v>37.74</v>
      </c>
      <c r="O115" s="78">
        <v>300.89999999999998</v>
      </c>
      <c r="P115" s="3">
        <v>111</v>
      </c>
      <c r="Q115" s="4"/>
      <c r="R115" s="193"/>
    </row>
    <row r="116" spans="1:18" x14ac:dyDescent="0.25">
      <c r="A116" s="73">
        <v>1003366311</v>
      </c>
      <c r="B116" s="74" t="s">
        <v>600</v>
      </c>
      <c r="C116" s="75">
        <v>248.19</v>
      </c>
      <c r="D116" s="181">
        <v>1.1669</v>
      </c>
      <c r="E116" s="182">
        <v>39.86</v>
      </c>
      <c r="F116" s="182">
        <v>147.92999999999998</v>
      </c>
      <c r="G116" s="182">
        <v>16.48</v>
      </c>
      <c r="H116" s="182">
        <v>8.64</v>
      </c>
      <c r="I116" s="182">
        <v>31.9</v>
      </c>
      <c r="J116" s="76"/>
      <c r="K116" s="75"/>
      <c r="L116" s="75">
        <v>248.19</v>
      </c>
      <c r="M116" s="77"/>
      <c r="N116" s="78">
        <v>37.74</v>
      </c>
      <c r="O116" s="78">
        <v>285.93</v>
      </c>
      <c r="P116" s="3">
        <v>112</v>
      </c>
      <c r="Q116" s="4"/>
      <c r="R116" s="193"/>
    </row>
    <row r="117" spans="1:18" x14ac:dyDescent="0.25">
      <c r="A117" s="73">
        <v>1750418802</v>
      </c>
      <c r="B117" s="74" t="s">
        <v>258</v>
      </c>
      <c r="C117" s="75">
        <v>234.28</v>
      </c>
      <c r="D117" s="181">
        <v>1.179314330001999</v>
      </c>
      <c r="E117" s="182">
        <v>39.86</v>
      </c>
      <c r="F117" s="182">
        <v>148.26999999999998</v>
      </c>
      <c r="G117" s="182">
        <v>14.22</v>
      </c>
      <c r="H117" s="182">
        <v>0</v>
      </c>
      <c r="I117" s="182">
        <v>31.9</v>
      </c>
      <c r="J117" s="76"/>
      <c r="K117" s="75"/>
      <c r="L117" s="75">
        <v>234.28</v>
      </c>
      <c r="M117" s="77"/>
      <c r="N117" s="78">
        <v>37.74</v>
      </c>
      <c r="O117" s="78">
        <v>272.02</v>
      </c>
      <c r="P117" s="3">
        <v>113</v>
      </c>
      <c r="Q117" s="4"/>
      <c r="R117" s="193"/>
    </row>
    <row r="118" spans="1:18" x14ac:dyDescent="0.25">
      <c r="A118" s="73">
        <v>1265556294</v>
      </c>
      <c r="B118" s="74" t="s">
        <v>259</v>
      </c>
      <c r="C118" s="75">
        <v>272.92</v>
      </c>
      <c r="D118" s="181">
        <v>1.4046000000000001</v>
      </c>
      <c r="E118" s="182">
        <v>39.86</v>
      </c>
      <c r="F118" s="182">
        <v>167.54</v>
      </c>
      <c r="G118" s="182">
        <v>10.5</v>
      </c>
      <c r="H118" s="182">
        <v>26.74</v>
      </c>
      <c r="I118" s="182">
        <v>31.9</v>
      </c>
      <c r="J118" s="76"/>
      <c r="K118" s="75"/>
      <c r="L118" s="75">
        <v>276.54000000000002</v>
      </c>
      <c r="M118" s="77"/>
      <c r="N118" s="78">
        <v>37.74</v>
      </c>
      <c r="O118" s="78">
        <v>314.28000000000003</v>
      </c>
      <c r="P118" s="3">
        <v>114</v>
      </c>
      <c r="Q118" s="4"/>
      <c r="R118" s="193"/>
    </row>
    <row r="119" spans="1:18" x14ac:dyDescent="0.25">
      <c r="A119" s="73">
        <v>1952766271</v>
      </c>
      <c r="B119" s="74" t="s">
        <v>260</v>
      </c>
      <c r="C119" s="75">
        <v>271.32</v>
      </c>
      <c r="D119" s="181">
        <v>1.4025000000000001</v>
      </c>
      <c r="E119" s="182">
        <v>39.86</v>
      </c>
      <c r="F119" s="182">
        <v>169.55999999999997</v>
      </c>
      <c r="G119" s="182">
        <v>21.35</v>
      </c>
      <c r="H119" s="182">
        <v>8.64</v>
      </c>
      <c r="I119" s="182">
        <v>31.9</v>
      </c>
      <c r="J119" s="76"/>
      <c r="K119" s="75"/>
      <c r="L119" s="75">
        <v>271.32</v>
      </c>
      <c r="M119" s="77"/>
      <c r="N119" s="78">
        <v>37.74</v>
      </c>
      <c r="O119" s="78">
        <v>309.06</v>
      </c>
      <c r="P119" s="3">
        <v>115</v>
      </c>
      <c r="Q119" s="4"/>
      <c r="R119" s="193"/>
    </row>
    <row r="120" spans="1:18" x14ac:dyDescent="0.25">
      <c r="A120" s="73">
        <v>1609124155</v>
      </c>
      <c r="B120" s="74" t="s">
        <v>261</v>
      </c>
      <c r="C120" s="75">
        <v>271.71999999999997</v>
      </c>
      <c r="D120" s="181">
        <v>1.1335999999999999</v>
      </c>
      <c r="E120" s="182">
        <v>39.86</v>
      </c>
      <c r="F120" s="182">
        <v>143.76999999999998</v>
      </c>
      <c r="G120" s="182">
        <v>26.97</v>
      </c>
      <c r="H120" s="182">
        <v>26.74</v>
      </c>
      <c r="I120" s="182">
        <v>31.9</v>
      </c>
      <c r="J120" s="76"/>
      <c r="K120" s="75"/>
      <c r="L120" s="75">
        <v>271.71999999999997</v>
      </c>
      <c r="M120" s="77"/>
      <c r="N120" s="78">
        <v>37.74</v>
      </c>
      <c r="O120" s="78">
        <v>309.45999999999998</v>
      </c>
      <c r="P120" s="3">
        <v>116</v>
      </c>
      <c r="Q120" s="4"/>
      <c r="R120" s="193"/>
    </row>
    <row r="121" spans="1:18" x14ac:dyDescent="0.25">
      <c r="A121" s="73">
        <v>1407803828</v>
      </c>
      <c r="B121" s="74" t="s">
        <v>262</v>
      </c>
      <c r="C121" s="75">
        <v>261.91999999999996</v>
      </c>
      <c r="D121" s="181">
        <v>1.1591</v>
      </c>
      <c r="E121" s="182">
        <v>39.86</v>
      </c>
      <c r="F121" s="182">
        <v>148.11999999999998</v>
      </c>
      <c r="G121" s="182">
        <v>12.35</v>
      </c>
      <c r="H121" s="182">
        <v>26.74</v>
      </c>
      <c r="I121" s="182">
        <v>31.9</v>
      </c>
      <c r="J121" s="76"/>
      <c r="K121" s="75"/>
      <c r="L121" s="75">
        <v>261.91999999999996</v>
      </c>
      <c r="M121" s="77"/>
      <c r="N121" s="78">
        <v>37.74</v>
      </c>
      <c r="O121" s="78">
        <v>299.65999999999997</v>
      </c>
      <c r="P121" s="3">
        <v>117</v>
      </c>
      <c r="Q121" s="4"/>
      <c r="R121" s="193"/>
    </row>
    <row r="122" spans="1:18" x14ac:dyDescent="0.25">
      <c r="A122" s="73">
        <v>1821024274</v>
      </c>
      <c r="B122" s="74" t="s">
        <v>263</v>
      </c>
      <c r="C122" s="75">
        <v>252</v>
      </c>
      <c r="D122" s="181">
        <v>1.179314330001999</v>
      </c>
      <c r="E122" s="182">
        <v>39.86</v>
      </c>
      <c r="F122" s="182">
        <v>145.54999999999998</v>
      </c>
      <c r="G122" s="182">
        <v>7.93</v>
      </c>
      <c r="H122" s="182">
        <v>26.74</v>
      </c>
      <c r="I122" s="182">
        <v>31.9</v>
      </c>
      <c r="J122" s="76"/>
      <c r="K122" s="75"/>
      <c r="L122" s="75">
        <v>252</v>
      </c>
      <c r="M122" s="77"/>
      <c r="N122" s="78">
        <v>37.74</v>
      </c>
      <c r="O122" s="78">
        <v>289.74</v>
      </c>
      <c r="P122" s="3">
        <v>118</v>
      </c>
      <c r="Q122" s="4"/>
      <c r="R122" s="193"/>
    </row>
    <row r="123" spans="1:18" x14ac:dyDescent="0.25">
      <c r="A123" s="73">
        <v>1770995094</v>
      </c>
      <c r="B123" s="74" t="s">
        <v>264</v>
      </c>
      <c r="C123" s="75">
        <v>245.2</v>
      </c>
      <c r="D123" s="181">
        <v>1.0337000000000001</v>
      </c>
      <c r="E123" s="182">
        <v>39.86</v>
      </c>
      <c r="F123" s="182">
        <v>136.16999999999999</v>
      </c>
      <c r="G123" s="182">
        <v>11.39</v>
      </c>
      <c r="H123" s="182">
        <v>26.74</v>
      </c>
      <c r="I123" s="182">
        <v>31.9</v>
      </c>
      <c r="J123" s="76"/>
      <c r="K123" s="75"/>
      <c r="L123" s="75">
        <v>246.06</v>
      </c>
      <c r="M123" s="77"/>
      <c r="N123" s="78">
        <v>37.74</v>
      </c>
      <c r="O123" s="78">
        <v>283.8</v>
      </c>
      <c r="P123" s="3">
        <v>119</v>
      </c>
      <c r="Q123" s="4"/>
      <c r="R123" s="193"/>
    </row>
    <row r="124" spans="1:18" x14ac:dyDescent="0.25">
      <c r="A124" s="73">
        <v>1275508970</v>
      </c>
      <c r="B124" s="74" t="s">
        <v>265</v>
      </c>
      <c r="C124" s="75">
        <v>247.89</v>
      </c>
      <c r="D124" s="181">
        <v>1.0082</v>
      </c>
      <c r="E124" s="182">
        <v>39.86</v>
      </c>
      <c r="F124" s="182">
        <v>133.99999999999997</v>
      </c>
      <c r="G124" s="182">
        <v>16.32</v>
      </c>
      <c r="H124" s="182">
        <v>26.74</v>
      </c>
      <c r="I124" s="182">
        <v>31.9</v>
      </c>
      <c r="J124" s="76"/>
      <c r="K124" s="75"/>
      <c r="L124" s="75">
        <v>248.82</v>
      </c>
      <c r="M124" s="77"/>
      <c r="N124" s="78">
        <v>37.74</v>
      </c>
      <c r="O124" s="78">
        <v>286.56</v>
      </c>
      <c r="P124" s="3">
        <v>120</v>
      </c>
      <c r="Q124" s="4"/>
      <c r="R124" s="193"/>
    </row>
    <row r="125" spans="1:18" x14ac:dyDescent="0.25">
      <c r="A125" s="73">
        <v>1417944752</v>
      </c>
      <c r="B125" s="74" t="s">
        <v>266</v>
      </c>
      <c r="C125" s="75">
        <v>234.62</v>
      </c>
      <c r="D125" s="181">
        <v>1.2788999999999999</v>
      </c>
      <c r="E125" s="182">
        <v>39.86</v>
      </c>
      <c r="F125" s="182">
        <v>157.91</v>
      </c>
      <c r="G125" s="182">
        <v>8.1</v>
      </c>
      <c r="H125" s="182">
        <v>8.64</v>
      </c>
      <c r="I125" s="182">
        <v>31.9</v>
      </c>
      <c r="J125" s="76"/>
      <c r="K125" s="75"/>
      <c r="L125" s="75">
        <v>246.41</v>
      </c>
      <c r="M125" s="77"/>
      <c r="N125" s="78">
        <v>37.74</v>
      </c>
      <c r="O125" s="78">
        <v>284.14999999999998</v>
      </c>
      <c r="P125" s="3">
        <v>121</v>
      </c>
      <c r="Q125" s="4"/>
      <c r="R125" s="193"/>
    </row>
    <row r="126" spans="1:18" x14ac:dyDescent="0.25">
      <c r="A126" s="73">
        <v>1396747689</v>
      </c>
      <c r="B126" s="74" t="s">
        <v>267</v>
      </c>
      <c r="C126" s="75">
        <v>255.85000000000002</v>
      </c>
      <c r="D126" s="181">
        <v>1.1369</v>
      </c>
      <c r="E126" s="182">
        <v>39.86</v>
      </c>
      <c r="F126" s="182">
        <v>143.74999999999997</v>
      </c>
      <c r="G126" s="182">
        <v>12.37</v>
      </c>
      <c r="H126" s="182">
        <v>26.74</v>
      </c>
      <c r="I126" s="182">
        <v>31.9</v>
      </c>
      <c r="J126" s="76"/>
      <c r="K126" s="75"/>
      <c r="L126" s="75">
        <v>255.85000000000002</v>
      </c>
      <c r="M126" s="77"/>
      <c r="N126" s="78">
        <v>37.74</v>
      </c>
      <c r="O126" s="78">
        <v>293.59000000000003</v>
      </c>
      <c r="P126" s="3">
        <v>122</v>
      </c>
      <c r="Q126" s="4"/>
      <c r="R126" s="193"/>
    </row>
    <row r="127" spans="1:18" x14ac:dyDescent="0.25">
      <c r="A127" s="73">
        <v>1932135381</v>
      </c>
      <c r="B127" s="74" t="s">
        <v>268</v>
      </c>
      <c r="C127" s="75">
        <v>264.12</v>
      </c>
      <c r="D127" s="181">
        <v>1.1547000000000001</v>
      </c>
      <c r="E127" s="182">
        <v>39.86</v>
      </c>
      <c r="F127" s="182">
        <v>146.82999999999998</v>
      </c>
      <c r="G127" s="182">
        <v>14.36</v>
      </c>
      <c r="H127" s="182">
        <v>26.74</v>
      </c>
      <c r="I127" s="182">
        <v>31.9</v>
      </c>
      <c r="J127" s="76"/>
      <c r="K127" s="75"/>
      <c r="L127" s="75">
        <v>264.12</v>
      </c>
      <c r="M127" s="77"/>
      <c r="N127" s="78">
        <v>37.74</v>
      </c>
      <c r="O127" s="78">
        <v>301.86</v>
      </c>
      <c r="P127" s="3">
        <v>123</v>
      </c>
      <c r="Q127" s="4"/>
      <c r="R127" s="193"/>
    </row>
    <row r="128" spans="1:18" x14ac:dyDescent="0.25">
      <c r="A128" s="73">
        <v>1710932355</v>
      </c>
      <c r="B128" s="74" t="s">
        <v>269</v>
      </c>
      <c r="C128" s="75">
        <v>256.26</v>
      </c>
      <c r="D128" s="181">
        <v>0.95320000000000005</v>
      </c>
      <c r="E128" s="182">
        <v>39.86</v>
      </c>
      <c r="F128" s="182">
        <v>129.29</v>
      </c>
      <c r="G128" s="182">
        <v>23.9</v>
      </c>
      <c r="H128" s="182">
        <v>26.74</v>
      </c>
      <c r="I128" s="182">
        <v>31.9</v>
      </c>
      <c r="J128" s="76"/>
      <c r="K128" s="75"/>
      <c r="L128" s="75">
        <v>256.26</v>
      </c>
      <c r="M128" s="77"/>
      <c r="N128" s="78">
        <v>37.74</v>
      </c>
      <c r="O128" s="78">
        <v>294</v>
      </c>
      <c r="P128" s="3">
        <v>124</v>
      </c>
      <c r="Q128" s="4"/>
      <c r="R128" s="193"/>
    </row>
    <row r="129" spans="1:18" x14ac:dyDescent="0.25">
      <c r="A129" s="73">
        <v>1376570275</v>
      </c>
      <c r="B129" s="74" t="s">
        <v>270</v>
      </c>
      <c r="C129" s="75">
        <v>241.84000000000003</v>
      </c>
      <c r="D129" s="181">
        <v>1.1768000000000001</v>
      </c>
      <c r="E129" s="182">
        <v>39.86</v>
      </c>
      <c r="F129" s="182">
        <v>147.85</v>
      </c>
      <c r="G129" s="182">
        <v>11.53</v>
      </c>
      <c r="H129" s="182">
        <v>8.64</v>
      </c>
      <c r="I129" s="182">
        <v>31.9</v>
      </c>
      <c r="J129" s="76"/>
      <c r="K129" s="75"/>
      <c r="L129" s="75">
        <v>241.84000000000003</v>
      </c>
      <c r="M129" s="77"/>
      <c r="N129" s="78">
        <v>37.74</v>
      </c>
      <c r="O129" s="78">
        <v>279.58000000000004</v>
      </c>
      <c r="P129" s="3">
        <v>125</v>
      </c>
      <c r="Q129" s="4"/>
      <c r="R129" s="193"/>
    </row>
    <row r="130" spans="1:18" x14ac:dyDescent="0.25">
      <c r="A130" s="73">
        <v>1417951492</v>
      </c>
      <c r="B130" s="74" t="s">
        <v>271</v>
      </c>
      <c r="C130" s="75">
        <v>213.8</v>
      </c>
      <c r="D130" s="181">
        <v>0.93779999999999997</v>
      </c>
      <c r="E130" s="182">
        <v>39.86</v>
      </c>
      <c r="F130" s="182">
        <v>128.29999999999998</v>
      </c>
      <c r="G130" s="182">
        <v>14.62</v>
      </c>
      <c r="H130" s="182">
        <v>0</v>
      </c>
      <c r="I130" s="182">
        <v>31.9</v>
      </c>
      <c r="J130" s="76"/>
      <c r="K130" s="75"/>
      <c r="L130" s="75">
        <v>214.68</v>
      </c>
      <c r="M130" s="77"/>
      <c r="N130" s="78">
        <v>37.74</v>
      </c>
      <c r="O130" s="78">
        <v>252.42000000000002</v>
      </c>
      <c r="P130" s="3">
        <v>126</v>
      </c>
      <c r="Q130" s="4"/>
      <c r="R130" s="193"/>
    </row>
    <row r="131" spans="1:18" x14ac:dyDescent="0.25">
      <c r="A131" s="73">
        <v>1730183625</v>
      </c>
      <c r="B131" s="74" t="s">
        <v>272</v>
      </c>
      <c r="C131" s="75">
        <v>212.7</v>
      </c>
      <c r="D131" s="181">
        <v>0.93630000000000002</v>
      </c>
      <c r="E131" s="182">
        <v>39.86</v>
      </c>
      <c r="F131" s="182">
        <v>128.85999999999999</v>
      </c>
      <c r="G131" s="182">
        <v>10.11</v>
      </c>
      <c r="H131" s="182">
        <v>0</v>
      </c>
      <c r="I131" s="182">
        <v>31.9</v>
      </c>
      <c r="J131" s="76"/>
      <c r="K131" s="75"/>
      <c r="L131" s="75">
        <v>212.7</v>
      </c>
      <c r="M131" s="77"/>
      <c r="N131" s="78">
        <v>37.74</v>
      </c>
      <c r="O131" s="78">
        <v>250.44</v>
      </c>
      <c r="P131" s="3">
        <v>127</v>
      </c>
      <c r="Q131" s="4"/>
      <c r="R131" s="193"/>
    </row>
    <row r="132" spans="1:18" x14ac:dyDescent="0.25">
      <c r="A132" s="73">
        <v>1730136128</v>
      </c>
      <c r="B132" s="74" t="s">
        <v>273</v>
      </c>
      <c r="C132" s="75">
        <v>259.95999999999998</v>
      </c>
      <c r="D132" s="181">
        <v>1.1995</v>
      </c>
      <c r="E132" s="182">
        <v>39.86</v>
      </c>
      <c r="F132" s="182">
        <v>149.38</v>
      </c>
      <c r="G132" s="182">
        <v>11.54</v>
      </c>
      <c r="H132" s="182">
        <v>26.74</v>
      </c>
      <c r="I132" s="182">
        <v>31.9</v>
      </c>
      <c r="J132" s="76"/>
      <c r="K132" s="75"/>
      <c r="L132" s="75">
        <v>259.95999999999998</v>
      </c>
      <c r="M132" s="77"/>
      <c r="N132" s="78">
        <v>37.74</v>
      </c>
      <c r="O132" s="78">
        <v>297.7</v>
      </c>
      <c r="P132" s="3">
        <v>128</v>
      </c>
      <c r="Q132" s="4"/>
      <c r="R132" s="193"/>
    </row>
    <row r="133" spans="1:18" x14ac:dyDescent="0.25">
      <c r="A133" s="73">
        <v>1679555403</v>
      </c>
      <c r="B133" s="74" t="s">
        <v>274</v>
      </c>
      <c r="C133" s="75">
        <v>239.51</v>
      </c>
      <c r="D133" s="181">
        <v>0.94350000000000001</v>
      </c>
      <c r="E133" s="182">
        <v>39.86</v>
      </c>
      <c r="F133" s="182">
        <v>128.22999999999999</v>
      </c>
      <c r="G133" s="182">
        <v>30.24</v>
      </c>
      <c r="H133" s="182">
        <v>0</v>
      </c>
      <c r="I133" s="182">
        <v>31.9</v>
      </c>
      <c r="J133" s="76"/>
      <c r="K133" s="75"/>
      <c r="L133" s="75">
        <v>239.51</v>
      </c>
      <c r="M133" s="77"/>
      <c r="N133" s="78">
        <v>37.74</v>
      </c>
      <c r="O133" s="78">
        <v>277.25</v>
      </c>
      <c r="P133" s="3">
        <v>129</v>
      </c>
      <c r="Q133" s="4"/>
      <c r="R133" s="193"/>
    </row>
    <row r="134" spans="1:18" x14ac:dyDescent="0.25">
      <c r="A134" s="73">
        <v>1982948550</v>
      </c>
      <c r="B134" s="74" t="s">
        <v>275</v>
      </c>
      <c r="C134" s="75">
        <v>203.45999999999998</v>
      </c>
      <c r="D134" s="181">
        <v>0.87060000000000004</v>
      </c>
      <c r="E134" s="182">
        <v>39.86</v>
      </c>
      <c r="F134" s="182">
        <v>121.38</v>
      </c>
      <c r="G134" s="182">
        <v>9.6199999999999992</v>
      </c>
      <c r="H134" s="182">
        <v>0</v>
      </c>
      <c r="I134" s="182">
        <v>31.9</v>
      </c>
      <c r="J134" s="76"/>
      <c r="K134" s="75"/>
      <c r="L134" s="75">
        <v>203.45999999999998</v>
      </c>
      <c r="M134" s="77"/>
      <c r="N134" s="78">
        <v>37.74</v>
      </c>
      <c r="O134" s="78">
        <v>241.2</v>
      </c>
      <c r="P134" s="3">
        <v>130</v>
      </c>
      <c r="Q134" s="4"/>
      <c r="R134" s="193"/>
    </row>
    <row r="135" spans="1:18" x14ac:dyDescent="0.25">
      <c r="A135" s="73">
        <v>1174524458</v>
      </c>
      <c r="B135" s="74" t="s">
        <v>276</v>
      </c>
      <c r="C135" s="75">
        <v>242.31</v>
      </c>
      <c r="D135" s="181">
        <v>1.1468</v>
      </c>
      <c r="E135" s="182">
        <v>39.86</v>
      </c>
      <c r="F135" s="182">
        <v>146.59</v>
      </c>
      <c r="G135" s="182">
        <v>21.75</v>
      </c>
      <c r="H135" s="182">
        <v>0</v>
      </c>
      <c r="I135" s="182">
        <v>31.9</v>
      </c>
      <c r="J135" s="76"/>
      <c r="K135" s="75"/>
      <c r="L135" s="75">
        <v>242.31</v>
      </c>
      <c r="M135" s="77"/>
      <c r="N135" s="78">
        <v>37.74</v>
      </c>
      <c r="O135" s="78">
        <v>280.05</v>
      </c>
      <c r="P135" s="3">
        <v>131</v>
      </c>
      <c r="Q135" s="4"/>
      <c r="R135" s="193"/>
    </row>
    <row r="136" spans="1:18" x14ac:dyDescent="0.25">
      <c r="A136" s="73">
        <v>1477511079</v>
      </c>
      <c r="B136" s="74" t="s">
        <v>277</v>
      </c>
      <c r="C136" s="75">
        <v>256.05</v>
      </c>
      <c r="D136" s="181">
        <v>1.0578000000000001</v>
      </c>
      <c r="E136" s="182">
        <v>39.86</v>
      </c>
      <c r="F136" s="182">
        <v>138.29</v>
      </c>
      <c r="G136" s="182">
        <v>15.94</v>
      </c>
      <c r="H136" s="182">
        <v>26.74</v>
      </c>
      <c r="I136" s="182">
        <v>31.9</v>
      </c>
      <c r="J136" s="76"/>
      <c r="K136" s="75"/>
      <c r="L136" s="75">
        <v>256.05</v>
      </c>
      <c r="M136" s="77"/>
      <c r="N136" s="78">
        <v>37.74</v>
      </c>
      <c r="O136" s="78">
        <v>293.79000000000002</v>
      </c>
      <c r="P136" s="3">
        <v>132</v>
      </c>
      <c r="Q136" s="4"/>
      <c r="R136" s="193"/>
    </row>
    <row r="137" spans="1:18" x14ac:dyDescent="0.25">
      <c r="A137" s="73">
        <v>1396802260</v>
      </c>
      <c r="B137" s="74" t="s">
        <v>278</v>
      </c>
      <c r="C137" s="75">
        <v>294.45</v>
      </c>
      <c r="D137" s="181">
        <v>1.1808000000000001</v>
      </c>
      <c r="E137" s="182">
        <v>39.86</v>
      </c>
      <c r="F137" s="182">
        <v>148.54999999999998</v>
      </c>
      <c r="G137" s="182">
        <v>34.83</v>
      </c>
      <c r="H137" s="182">
        <v>26.74</v>
      </c>
      <c r="I137" s="182">
        <v>31.9</v>
      </c>
      <c r="J137" s="76"/>
      <c r="K137" s="75"/>
      <c r="L137" s="75">
        <v>294.45</v>
      </c>
      <c r="M137" s="77"/>
      <c r="N137" s="78">
        <v>37.74</v>
      </c>
      <c r="O137" s="78">
        <v>332.19</v>
      </c>
      <c r="P137" s="3">
        <v>133</v>
      </c>
      <c r="Q137" s="4"/>
      <c r="R137" s="193"/>
    </row>
    <row r="138" spans="1:18" x14ac:dyDescent="0.25">
      <c r="A138" s="73">
        <v>1588618045</v>
      </c>
      <c r="B138" s="74" t="s">
        <v>279</v>
      </c>
      <c r="C138" s="75">
        <v>260.11999999999995</v>
      </c>
      <c r="D138" s="181">
        <v>1.2632000000000001</v>
      </c>
      <c r="E138" s="182">
        <v>39.86</v>
      </c>
      <c r="F138" s="182">
        <v>154.38999999999999</v>
      </c>
      <c r="G138" s="182">
        <v>8.1</v>
      </c>
      <c r="H138" s="182">
        <v>26.74</v>
      </c>
      <c r="I138" s="182">
        <v>31.9</v>
      </c>
      <c r="J138" s="76"/>
      <c r="K138" s="75"/>
      <c r="L138" s="75">
        <v>260.99</v>
      </c>
      <c r="M138" s="77"/>
      <c r="N138" s="78">
        <v>37.74</v>
      </c>
      <c r="O138" s="78">
        <v>298.73</v>
      </c>
      <c r="P138" s="3">
        <v>134</v>
      </c>
      <c r="Q138" s="4"/>
      <c r="R138" s="193"/>
    </row>
    <row r="139" spans="1:18" x14ac:dyDescent="0.25">
      <c r="A139" s="73">
        <v>1104946060</v>
      </c>
      <c r="B139" s="74" t="s">
        <v>776</v>
      </c>
      <c r="C139" s="75">
        <v>276.31</v>
      </c>
      <c r="D139" s="181">
        <v>1.1816</v>
      </c>
      <c r="E139" s="182">
        <v>39.86</v>
      </c>
      <c r="F139" s="182">
        <v>150.77999999999997</v>
      </c>
      <c r="G139" s="182">
        <v>19.41</v>
      </c>
      <c r="H139" s="182">
        <v>26.74</v>
      </c>
      <c r="I139" s="182">
        <v>31.9</v>
      </c>
      <c r="J139" s="76"/>
      <c r="K139" s="75"/>
      <c r="L139" s="75">
        <v>276.31</v>
      </c>
      <c r="M139" s="77"/>
      <c r="N139" s="78">
        <v>37.74</v>
      </c>
      <c r="O139" s="78">
        <v>314.05</v>
      </c>
      <c r="P139" s="3">
        <v>135</v>
      </c>
      <c r="Q139" s="4"/>
      <c r="R139" s="193"/>
    </row>
    <row r="140" spans="1:18" x14ac:dyDescent="0.25">
      <c r="A140" s="73">
        <v>1962066480</v>
      </c>
      <c r="B140" s="74" t="s">
        <v>280</v>
      </c>
      <c r="C140" s="75">
        <v>279.51</v>
      </c>
      <c r="D140" s="181">
        <v>1.4397</v>
      </c>
      <c r="E140" s="182">
        <v>39.86</v>
      </c>
      <c r="F140" s="182">
        <v>176.27999999999997</v>
      </c>
      <c r="G140" s="182">
        <v>8.02</v>
      </c>
      <c r="H140" s="182">
        <v>26.74</v>
      </c>
      <c r="I140" s="182">
        <v>31.9</v>
      </c>
      <c r="J140" s="76"/>
      <c r="K140" s="75"/>
      <c r="L140" s="75">
        <v>282.8</v>
      </c>
      <c r="M140" s="77"/>
      <c r="N140" s="78">
        <v>37.74</v>
      </c>
      <c r="O140" s="78">
        <v>320.54000000000002</v>
      </c>
      <c r="P140" s="3">
        <v>136</v>
      </c>
      <c r="Q140" s="4"/>
      <c r="R140" s="193"/>
    </row>
    <row r="141" spans="1:18" x14ac:dyDescent="0.25">
      <c r="A141" s="73">
        <v>1366487464</v>
      </c>
      <c r="B141" s="74" t="s">
        <v>281</v>
      </c>
      <c r="C141" s="75">
        <v>265.70999999999998</v>
      </c>
      <c r="D141" s="181">
        <v>1.2876000000000001</v>
      </c>
      <c r="E141" s="182">
        <v>39.86</v>
      </c>
      <c r="F141" s="182">
        <v>158.41999999999999</v>
      </c>
      <c r="G141" s="182">
        <v>10.97</v>
      </c>
      <c r="H141" s="182">
        <v>26.74</v>
      </c>
      <c r="I141" s="182">
        <v>31.9</v>
      </c>
      <c r="J141" s="76"/>
      <c r="K141" s="75"/>
      <c r="L141" s="75">
        <v>267.89</v>
      </c>
      <c r="M141" s="77"/>
      <c r="N141" s="78">
        <v>37.74</v>
      </c>
      <c r="O141" s="78">
        <v>305.63</v>
      </c>
      <c r="P141" s="3">
        <v>137</v>
      </c>
      <c r="Q141" s="4"/>
      <c r="R141" s="193"/>
    </row>
    <row r="142" spans="1:18" x14ac:dyDescent="0.25">
      <c r="A142" s="73">
        <v>1407882830</v>
      </c>
      <c r="B142" s="74" t="s">
        <v>282</v>
      </c>
      <c r="C142" s="75">
        <v>258.83999999999997</v>
      </c>
      <c r="D142" s="181">
        <v>1.2171000000000001</v>
      </c>
      <c r="E142" s="182">
        <v>39.86</v>
      </c>
      <c r="F142" s="182">
        <v>149.41</v>
      </c>
      <c r="G142" s="182">
        <v>10.42</v>
      </c>
      <c r="H142" s="182">
        <v>26.74</v>
      </c>
      <c r="I142" s="182">
        <v>31.9</v>
      </c>
      <c r="J142" s="76"/>
      <c r="K142" s="75"/>
      <c r="L142" s="75">
        <v>258.83999999999997</v>
      </c>
      <c r="M142" s="77"/>
      <c r="N142" s="78">
        <v>37.74</v>
      </c>
      <c r="O142" s="78">
        <v>296.58</v>
      </c>
      <c r="P142" s="3">
        <v>138</v>
      </c>
      <c r="Q142" s="4"/>
      <c r="R142" s="193"/>
    </row>
    <row r="143" spans="1:18" x14ac:dyDescent="0.25">
      <c r="A143" s="73">
        <v>1588642102</v>
      </c>
      <c r="B143" s="74" t="s">
        <v>283</v>
      </c>
      <c r="C143" s="75">
        <v>275.43</v>
      </c>
      <c r="D143" s="181">
        <v>1.2398</v>
      </c>
      <c r="E143" s="182">
        <v>39.86</v>
      </c>
      <c r="F143" s="182">
        <v>155.04999999999998</v>
      </c>
      <c r="G143" s="182">
        <v>19.239999999999998</v>
      </c>
      <c r="H143" s="182">
        <v>26.74</v>
      </c>
      <c r="I143" s="182">
        <v>31.9</v>
      </c>
      <c r="J143" s="76"/>
      <c r="K143" s="75"/>
      <c r="L143" s="75">
        <v>275.43</v>
      </c>
      <c r="M143" s="77"/>
      <c r="N143" s="78">
        <v>37.74</v>
      </c>
      <c r="O143" s="78">
        <v>313.17</v>
      </c>
      <c r="P143" s="3">
        <v>139</v>
      </c>
      <c r="Q143" s="4"/>
      <c r="R143" s="193"/>
    </row>
    <row r="144" spans="1:18" x14ac:dyDescent="0.25">
      <c r="A144" s="73">
        <v>1063458958</v>
      </c>
      <c r="B144" s="74" t="s">
        <v>284</v>
      </c>
      <c r="C144" s="75">
        <v>261.45999999999998</v>
      </c>
      <c r="D144" s="181">
        <v>1.2030000000000001</v>
      </c>
      <c r="E144" s="182">
        <v>39.86</v>
      </c>
      <c r="F144" s="182">
        <v>150.19</v>
      </c>
      <c r="G144" s="182">
        <v>11.98</v>
      </c>
      <c r="H144" s="182">
        <v>26.74</v>
      </c>
      <c r="I144" s="182">
        <v>31.9</v>
      </c>
      <c r="J144" s="76"/>
      <c r="K144" s="75"/>
      <c r="L144" s="75">
        <v>261.45999999999998</v>
      </c>
      <c r="M144" s="77"/>
      <c r="N144" s="78">
        <v>37.74</v>
      </c>
      <c r="O144" s="78">
        <v>299.2</v>
      </c>
      <c r="P144" s="3">
        <v>140</v>
      </c>
      <c r="Q144" s="4"/>
      <c r="R144" s="193"/>
    </row>
    <row r="145" spans="1:18" x14ac:dyDescent="0.25">
      <c r="A145" s="73">
        <v>1619908977</v>
      </c>
      <c r="B145" s="74" t="s">
        <v>285</v>
      </c>
      <c r="C145" s="75">
        <v>266.05</v>
      </c>
      <c r="D145" s="181">
        <v>1.2614000000000001</v>
      </c>
      <c r="E145" s="182">
        <v>39.86</v>
      </c>
      <c r="F145" s="182">
        <v>155.14999999999998</v>
      </c>
      <c r="G145" s="182">
        <v>8.9</v>
      </c>
      <c r="H145" s="182">
        <v>26.74</v>
      </c>
      <c r="I145" s="182">
        <v>31.9</v>
      </c>
      <c r="J145" s="76"/>
      <c r="K145" s="75"/>
      <c r="L145" s="75">
        <v>266.05</v>
      </c>
      <c r="M145" s="77"/>
      <c r="N145" s="78">
        <v>37.74</v>
      </c>
      <c r="O145" s="78">
        <v>303.79000000000002</v>
      </c>
      <c r="P145" s="3">
        <v>141</v>
      </c>
      <c r="Q145" s="4"/>
      <c r="R145" s="193"/>
    </row>
    <row r="146" spans="1:18" x14ac:dyDescent="0.25">
      <c r="A146" s="73">
        <v>1740300607</v>
      </c>
      <c r="B146" s="74" t="s">
        <v>777</v>
      </c>
      <c r="C146" s="75">
        <v>272.27</v>
      </c>
      <c r="D146" s="181">
        <v>1.3218000000000001</v>
      </c>
      <c r="E146" s="182">
        <v>39.86</v>
      </c>
      <c r="F146" s="182">
        <v>161.77999999999997</v>
      </c>
      <c r="G146" s="182">
        <v>13.53</v>
      </c>
      <c r="H146" s="182">
        <v>26.74</v>
      </c>
      <c r="I146" s="182">
        <v>31.9</v>
      </c>
      <c r="J146" s="76"/>
      <c r="K146" s="75"/>
      <c r="L146" s="75">
        <v>273.81</v>
      </c>
      <c r="M146" s="77"/>
      <c r="N146" s="78">
        <v>37.74</v>
      </c>
      <c r="O146" s="78">
        <v>311.55</v>
      </c>
      <c r="P146" s="3">
        <v>142</v>
      </c>
      <c r="Q146" s="4"/>
      <c r="R146" s="193"/>
    </row>
    <row r="147" spans="1:18" x14ac:dyDescent="0.25">
      <c r="A147" s="73">
        <v>1033784970</v>
      </c>
      <c r="B147" s="74" t="s">
        <v>286</v>
      </c>
      <c r="C147" s="75">
        <v>276.75</v>
      </c>
      <c r="D147" s="181">
        <v>1.2625999999999999</v>
      </c>
      <c r="E147" s="182">
        <v>39.86</v>
      </c>
      <c r="F147" s="182">
        <v>155.01</v>
      </c>
      <c r="G147" s="182">
        <v>20.62</v>
      </c>
      <c r="H147" s="182">
        <v>26.74</v>
      </c>
      <c r="I147" s="182">
        <v>31.9</v>
      </c>
      <c r="J147" s="76"/>
      <c r="K147" s="75"/>
      <c r="L147" s="75">
        <v>276.75</v>
      </c>
      <c r="M147" s="77"/>
      <c r="N147" s="78">
        <v>37.74</v>
      </c>
      <c r="O147" s="78">
        <v>314.49</v>
      </c>
      <c r="P147" s="3">
        <v>143</v>
      </c>
      <c r="Q147" s="4"/>
      <c r="R147" s="193"/>
    </row>
    <row r="148" spans="1:18" x14ac:dyDescent="0.25">
      <c r="A148" s="73">
        <v>1437609732</v>
      </c>
      <c r="B148" s="74" t="s">
        <v>612</v>
      </c>
      <c r="C148" s="75">
        <v>263</v>
      </c>
      <c r="D148" s="181">
        <v>1.2055</v>
      </c>
      <c r="E148" s="182">
        <v>39.86</v>
      </c>
      <c r="F148" s="182">
        <v>150.01999999999998</v>
      </c>
      <c r="G148" s="182">
        <v>14.37</v>
      </c>
      <c r="H148" s="182">
        <v>26.74</v>
      </c>
      <c r="I148" s="182">
        <v>31.9</v>
      </c>
      <c r="J148" s="76"/>
      <c r="K148" s="75"/>
      <c r="L148" s="75">
        <v>263</v>
      </c>
      <c r="M148" s="77"/>
      <c r="N148" s="78">
        <v>37.74</v>
      </c>
      <c r="O148" s="78">
        <v>300.74</v>
      </c>
      <c r="P148" s="3">
        <v>144</v>
      </c>
      <c r="Q148" s="4"/>
      <c r="R148" s="193"/>
    </row>
    <row r="149" spans="1:18" x14ac:dyDescent="0.25">
      <c r="A149" s="73">
        <v>1649590498</v>
      </c>
      <c r="B149" s="74" t="s">
        <v>287</v>
      </c>
      <c r="C149" s="75">
        <v>253.77000000000004</v>
      </c>
      <c r="D149" s="181">
        <v>1.179314330001999</v>
      </c>
      <c r="E149" s="182">
        <v>39.86</v>
      </c>
      <c r="F149" s="182">
        <v>146.63999999999999</v>
      </c>
      <c r="G149" s="182">
        <v>8.61</v>
      </c>
      <c r="H149" s="182">
        <v>26.74</v>
      </c>
      <c r="I149" s="182">
        <v>31.9</v>
      </c>
      <c r="J149" s="76"/>
      <c r="K149" s="75"/>
      <c r="L149" s="75">
        <v>253.77000000000004</v>
      </c>
      <c r="M149" s="77"/>
      <c r="N149" s="78">
        <v>37.74</v>
      </c>
      <c r="O149" s="78">
        <v>291.51000000000005</v>
      </c>
      <c r="P149" s="3">
        <v>145</v>
      </c>
      <c r="Q149" s="4"/>
      <c r="R149" s="193"/>
    </row>
    <row r="150" spans="1:18" x14ac:dyDescent="0.25">
      <c r="A150" s="73">
        <v>1932145836</v>
      </c>
      <c r="B150" s="74" t="s">
        <v>288</v>
      </c>
      <c r="C150" s="75">
        <v>243.83999999999997</v>
      </c>
      <c r="D150" s="181">
        <v>1.1498999999999999</v>
      </c>
      <c r="E150" s="182">
        <v>39.86</v>
      </c>
      <c r="F150" s="182">
        <v>146.08000000000001</v>
      </c>
      <c r="G150" s="182">
        <v>18.579999999999998</v>
      </c>
      <c r="H150" s="182">
        <v>8.64</v>
      </c>
      <c r="I150" s="182">
        <v>31.9</v>
      </c>
      <c r="J150" s="76"/>
      <c r="K150" s="75"/>
      <c r="L150" s="75">
        <v>245.06</v>
      </c>
      <c r="M150" s="77"/>
      <c r="N150" s="78">
        <v>37.74</v>
      </c>
      <c r="O150" s="78">
        <v>282.8</v>
      </c>
      <c r="P150" s="3">
        <v>146</v>
      </c>
      <c r="Q150" s="4"/>
      <c r="R150" s="193"/>
    </row>
    <row r="151" spans="1:18" x14ac:dyDescent="0.25">
      <c r="A151" s="73">
        <v>1285665539</v>
      </c>
      <c r="B151" s="74" t="s">
        <v>289</v>
      </c>
      <c r="C151" s="75">
        <v>263.27</v>
      </c>
      <c r="D151" s="181">
        <v>1.1866000000000001</v>
      </c>
      <c r="E151" s="182">
        <v>39.86</v>
      </c>
      <c r="F151" s="182">
        <v>147.97999999999999</v>
      </c>
      <c r="G151" s="182">
        <v>16.78</v>
      </c>
      <c r="H151" s="182">
        <v>26.74</v>
      </c>
      <c r="I151" s="182">
        <v>31.9</v>
      </c>
      <c r="J151" s="76"/>
      <c r="K151" s="75"/>
      <c r="L151" s="75">
        <v>263.27</v>
      </c>
      <c r="M151" s="77"/>
      <c r="N151" s="78">
        <v>37.74</v>
      </c>
      <c r="O151" s="78">
        <v>301.01</v>
      </c>
      <c r="P151" s="3">
        <v>147</v>
      </c>
      <c r="Q151" s="4"/>
      <c r="R151" s="193"/>
    </row>
    <row r="152" spans="1:18" x14ac:dyDescent="0.25">
      <c r="A152" s="73">
        <v>1104800069</v>
      </c>
      <c r="B152" s="74" t="s">
        <v>290</v>
      </c>
      <c r="C152" s="75">
        <v>284.81000000000006</v>
      </c>
      <c r="D152" s="181">
        <v>1.3688</v>
      </c>
      <c r="E152" s="182">
        <v>39.86</v>
      </c>
      <c r="F152" s="182">
        <v>167.01</v>
      </c>
      <c r="G152" s="182">
        <v>24.53</v>
      </c>
      <c r="H152" s="182">
        <v>26.74</v>
      </c>
      <c r="I152" s="182">
        <v>31.9</v>
      </c>
      <c r="J152" s="76"/>
      <c r="K152" s="75"/>
      <c r="L152" s="75">
        <v>290.04000000000002</v>
      </c>
      <c r="M152" s="77"/>
      <c r="N152" s="78">
        <v>37.74</v>
      </c>
      <c r="O152" s="78">
        <v>327.78000000000003</v>
      </c>
      <c r="P152" s="3">
        <v>148</v>
      </c>
      <c r="Q152" s="4"/>
      <c r="R152" s="193"/>
    </row>
    <row r="153" spans="1:18" x14ac:dyDescent="0.25">
      <c r="A153" s="73">
        <v>1912027871</v>
      </c>
      <c r="B153" s="74" t="s">
        <v>291</v>
      </c>
      <c r="C153" s="75">
        <v>272.81</v>
      </c>
      <c r="D153" s="181">
        <v>1.1547000000000001</v>
      </c>
      <c r="E153" s="182">
        <v>39.86</v>
      </c>
      <c r="F153" s="182">
        <v>147.16999999999999</v>
      </c>
      <c r="G153" s="182">
        <v>20.77</v>
      </c>
      <c r="H153" s="182">
        <v>26.74</v>
      </c>
      <c r="I153" s="182">
        <v>31.9</v>
      </c>
      <c r="J153" s="76"/>
      <c r="K153" s="75"/>
      <c r="L153" s="75">
        <v>272.81</v>
      </c>
      <c r="M153" s="77"/>
      <c r="N153" s="78">
        <v>37.74</v>
      </c>
      <c r="O153" s="78">
        <v>310.55</v>
      </c>
      <c r="P153" s="3">
        <v>149</v>
      </c>
      <c r="Q153" s="4"/>
      <c r="R153" s="193"/>
    </row>
    <row r="154" spans="1:18" x14ac:dyDescent="0.25">
      <c r="A154" s="73">
        <v>1326143504</v>
      </c>
      <c r="B154" s="74" t="s">
        <v>292</v>
      </c>
      <c r="C154" s="75">
        <v>263.56</v>
      </c>
      <c r="D154" s="181">
        <v>1.1775</v>
      </c>
      <c r="E154" s="182">
        <v>39.86</v>
      </c>
      <c r="F154" s="182">
        <v>148.20999999999998</v>
      </c>
      <c r="G154" s="182">
        <v>11.11</v>
      </c>
      <c r="H154" s="182">
        <v>26.74</v>
      </c>
      <c r="I154" s="182">
        <v>31.9</v>
      </c>
      <c r="J154" s="76"/>
      <c r="K154" s="75"/>
      <c r="L154" s="75">
        <v>263.56</v>
      </c>
      <c r="M154" s="77"/>
      <c r="N154" s="78">
        <v>37.74</v>
      </c>
      <c r="O154" s="78">
        <v>301.3</v>
      </c>
      <c r="P154" s="3">
        <v>150</v>
      </c>
      <c r="Q154" s="4"/>
      <c r="R154" s="193"/>
    </row>
    <row r="155" spans="1:18" x14ac:dyDescent="0.25">
      <c r="A155" s="73">
        <v>1578715504</v>
      </c>
      <c r="B155" s="74" t="s">
        <v>293</v>
      </c>
      <c r="C155" s="75">
        <v>301.67</v>
      </c>
      <c r="D155" s="181">
        <v>1.5336000000000001</v>
      </c>
      <c r="E155" s="182">
        <v>39.86</v>
      </c>
      <c r="F155" s="182">
        <v>186.57</v>
      </c>
      <c r="G155" s="182">
        <v>18.010000000000002</v>
      </c>
      <c r="H155" s="182">
        <v>26.74</v>
      </c>
      <c r="I155" s="182">
        <v>31.9</v>
      </c>
      <c r="J155" s="76"/>
      <c r="K155" s="75"/>
      <c r="L155" s="75">
        <v>303.08</v>
      </c>
      <c r="M155" s="77"/>
      <c r="N155" s="78">
        <v>37.74</v>
      </c>
      <c r="O155" s="78">
        <v>340.82</v>
      </c>
      <c r="P155" s="3">
        <v>151</v>
      </c>
      <c r="Q155" s="4"/>
      <c r="R155" s="193"/>
    </row>
    <row r="156" spans="1:18" x14ac:dyDescent="0.25">
      <c r="A156" s="73">
        <v>1861513715</v>
      </c>
      <c r="B156" s="74" t="s">
        <v>778</v>
      </c>
      <c r="C156" s="75">
        <v>262.18</v>
      </c>
      <c r="D156" s="181">
        <v>1.2005999999999999</v>
      </c>
      <c r="E156" s="182">
        <v>39.86</v>
      </c>
      <c r="F156" s="182">
        <v>148.11999999999998</v>
      </c>
      <c r="G156" s="182">
        <v>17.62</v>
      </c>
      <c r="H156" s="182">
        <v>26.74</v>
      </c>
      <c r="I156" s="182">
        <v>31.9</v>
      </c>
      <c r="J156" s="76"/>
      <c r="K156" s="75"/>
      <c r="L156" s="75">
        <v>264.24</v>
      </c>
      <c r="M156" s="77"/>
      <c r="N156" s="78">
        <v>37.74</v>
      </c>
      <c r="O156" s="78">
        <v>301.98</v>
      </c>
      <c r="P156" s="3">
        <v>152</v>
      </c>
      <c r="Q156" s="4"/>
      <c r="R156" s="193"/>
    </row>
    <row r="157" spans="1:18" x14ac:dyDescent="0.25">
      <c r="A157" s="73">
        <v>1376926519</v>
      </c>
      <c r="B157" s="74" t="s">
        <v>294</v>
      </c>
      <c r="C157" s="75">
        <v>267.53000000000003</v>
      </c>
      <c r="D157" s="181">
        <v>1.4007000000000001</v>
      </c>
      <c r="E157" s="182">
        <v>39.86</v>
      </c>
      <c r="F157" s="182">
        <v>169.30999999999997</v>
      </c>
      <c r="G157" s="182">
        <v>15.72</v>
      </c>
      <c r="H157" s="182">
        <v>8.64</v>
      </c>
      <c r="I157" s="182">
        <v>31.9</v>
      </c>
      <c r="J157" s="76"/>
      <c r="K157" s="75"/>
      <c r="L157" s="75">
        <v>267.53000000000003</v>
      </c>
      <c r="M157" s="77"/>
      <c r="N157" s="78">
        <v>37.74</v>
      </c>
      <c r="O157" s="78">
        <v>305.27000000000004</v>
      </c>
      <c r="P157" s="3">
        <v>153</v>
      </c>
      <c r="Q157" s="4"/>
      <c r="R157" s="193"/>
    </row>
    <row r="158" spans="1:18" x14ac:dyDescent="0.25">
      <c r="A158" s="73">
        <v>1699886085</v>
      </c>
      <c r="B158" s="74" t="s">
        <v>295</v>
      </c>
      <c r="C158" s="75">
        <v>275.81</v>
      </c>
      <c r="D158" s="181">
        <v>1.2190000000000001</v>
      </c>
      <c r="E158" s="182">
        <v>39.86</v>
      </c>
      <c r="F158" s="182">
        <v>153.54</v>
      </c>
      <c r="G158" s="182">
        <v>22.76</v>
      </c>
      <c r="H158" s="182">
        <v>26.74</v>
      </c>
      <c r="I158" s="182">
        <v>31.9</v>
      </c>
      <c r="J158" s="76"/>
      <c r="K158" s="75"/>
      <c r="L158" s="75">
        <v>275.81</v>
      </c>
      <c r="M158" s="77"/>
      <c r="N158" s="78">
        <v>37.74</v>
      </c>
      <c r="O158" s="78">
        <v>313.55</v>
      </c>
      <c r="P158" s="3">
        <v>154</v>
      </c>
      <c r="Q158" s="4"/>
      <c r="R158" s="193"/>
    </row>
    <row r="159" spans="1:18" x14ac:dyDescent="0.25">
      <c r="A159" s="73">
        <v>1336142470</v>
      </c>
      <c r="B159" s="74" t="s">
        <v>296</v>
      </c>
      <c r="C159" s="75">
        <v>247.41</v>
      </c>
      <c r="D159" s="181">
        <v>0.9446</v>
      </c>
      <c r="E159" s="182">
        <v>39.86</v>
      </c>
      <c r="F159" s="182">
        <v>128.91999999999999</v>
      </c>
      <c r="G159" s="182">
        <v>19.48</v>
      </c>
      <c r="H159" s="182">
        <v>26.74</v>
      </c>
      <c r="I159" s="182">
        <v>31.9</v>
      </c>
      <c r="J159" s="76"/>
      <c r="K159" s="75"/>
      <c r="L159" s="75">
        <v>247.41</v>
      </c>
      <c r="M159" s="77"/>
      <c r="N159" s="78">
        <v>37.74</v>
      </c>
      <c r="O159" s="78">
        <v>285.14999999999998</v>
      </c>
      <c r="P159" s="3">
        <v>155</v>
      </c>
      <c r="Q159" s="4"/>
      <c r="R159" s="193"/>
    </row>
    <row r="160" spans="1:18" x14ac:dyDescent="0.25">
      <c r="A160" s="73">
        <v>1639556806</v>
      </c>
      <c r="B160" s="74" t="s">
        <v>297</v>
      </c>
      <c r="C160" s="75">
        <v>236.42000000000002</v>
      </c>
      <c r="D160" s="181">
        <v>0.96399999999999997</v>
      </c>
      <c r="E160" s="182">
        <v>39.86</v>
      </c>
      <c r="F160" s="182">
        <v>130.51</v>
      </c>
      <c r="G160" s="182">
        <v>19.12</v>
      </c>
      <c r="H160" s="182">
        <v>26.74</v>
      </c>
      <c r="I160" s="182">
        <v>31.9</v>
      </c>
      <c r="J160" s="76"/>
      <c r="K160" s="75"/>
      <c r="L160" s="75">
        <v>248.13</v>
      </c>
      <c r="M160" s="77"/>
      <c r="N160" s="78">
        <v>37.74</v>
      </c>
      <c r="O160" s="78">
        <v>285.87</v>
      </c>
      <c r="P160" s="3">
        <v>156</v>
      </c>
      <c r="Q160" s="4"/>
      <c r="R160" s="193"/>
    </row>
    <row r="161" spans="1:18" x14ac:dyDescent="0.25">
      <c r="A161" s="73">
        <v>1811984925</v>
      </c>
      <c r="B161" s="74" t="s">
        <v>298</v>
      </c>
      <c r="C161" s="75">
        <v>256.39999999999998</v>
      </c>
      <c r="D161" s="181">
        <v>1.1294</v>
      </c>
      <c r="E161" s="182">
        <v>39.86</v>
      </c>
      <c r="F161" s="182">
        <v>144.95999999999998</v>
      </c>
      <c r="G161" s="182">
        <v>15.34</v>
      </c>
      <c r="H161" s="182">
        <v>26.74</v>
      </c>
      <c r="I161" s="182">
        <v>31.9</v>
      </c>
      <c r="J161" s="76"/>
      <c r="K161" s="75"/>
      <c r="L161" s="75">
        <v>258.8</v>
      </c>
      <c r="M161" s="77"/>
      <c r="N161" s="78">
        <v>37.74</v>
      </c>
      <c r="O161" s="78">
        <v>296.54000000000002</v>
      </c>
      <c r="P161" s="3">
        <v>157</v>
      </c>
      <c r="Q161" s="4"/>
      <c r="R161" s="193"/>
    </row>
    <row r="162" spans="1:18" x14ac:dyDescent="0.25">
      <c r="A162" s="73">
        <v>1104950765</v>
      </c>
      <c r="B162" s="74" t="s">
        <v>299</v>
      </c>
      <c r="C162" s="75">
        <v>287.12</v>
      </c>
      <c r="D162" s="181">
        <v>1.3285</v>
      </c>
      <c r="E162" s="182">
        <v>39.86</v>
      </c>
      <c r="F162" s="182">
        <v>161.22999999999999</v>
      </c>
      <c r="G162" s="182">
        <v>26.69</v>
      </c>
      <c r="H162" s="182">
        <v>26.74</v>
      </c>
      <c r="I162" s="182">
        <v>31.9</v>
      </c>
      <c r="J162" s="76"/>
      <c r="K162" s="75"/>
      <c r="L162" s="75">
        <v>287.12</v>
      </c>
      <c r="M162" s="77"/>
      <c r="N162" s="78">
        <v>37.74</v>
      </c>
      <c r="O162" s="78">
        <v>324.86</v>
      </c>
      <c r="P162" s="3">
        <v>158</v>
      </c>
      <c r="Q162" s="4"/>
      <c r="R162" s="193"/>
    </row>
    <row r="163" spans="1:18" x14ac:dyDescent="0.25">
      <c r="A163" s="73">
        <v>1689621880</v>
      </c>
      <c r="B163" s="74" t="s">
        <v>300</v>
      </c>
      <c r="C163" s="75">
        <v>258.68</v>
      </c>
      <c r="D163" s="181">
        <v>1.1157999999999999</v>
      </c>
      <c r="E163" s="182">
        <v>39.86</v>
      </c>
      <c r="F163" s="182">
        <v>143.79</v>
      </c>
      <c r="G163" s="182">
        <v>13.21</v>
      </c>
      <c r="H163" s="182">
        <v>26.74</v>
      </c>
      <c r="I163" s="182">
        <v>31.9</v>
      </c>
      <c r="J163" s="76"/>
      <c r="K163" s="75"/>
      <c r="L163" s="75">
        <v>258.68</v>
      </c>
      <c r="M163" s="77"/>
      <c r="N163" s="78">
        <v>37.74</v>
      </c>
      <c r="O163" s="78">
        <v>296.42</v>
      </c>
      <c r="P163" s="3">
        <v>159</v>
      </c>
      <c r="Q163" s="4"/>
      <c r="R163" s="193"/>
    </row>
    <row r="164" spans="1:18" x14ac:dyDescent="0.25">
      <c r="A164" s="73">
        <v>1477137628</v>
      </c>
      <c r="B164" s="74" t="s">
        <v>301</v>
      </c>
      <c r="C164" s="75">
        <v>282.17999999999995</v>
      </c>
      <c r="D164" s="181">
        <v>1.2114</v>
      </c>
      <c r="E164" s="182">
        <v>39.86</v>
      </c>
      <c r="F164" s="182">
        <v>151.29999999999998</v>
      </c>
      <c r="G164" s="182">
        <v>32.229999999999997</v>
      </c>
      <c r="H164" s="182">
        <v>26.74</v>
      </c>
      <c r="I164" s="182">
        <v>31.9</v>
      </c>
      <c r="J164" s="76"/>
      <c r="K164" s="75"/>
      <c r="L164" s="75">
        <v>282.17999999999995</v>
      </c>
      <c r="M164" s="77"/>
      <c r="N164" s="78">
        <v>37.74</v>
      </c>
      <c r="O164" s="78">
        <v>319.91999999999996</v>
      </c>
      <c r="P164" s="3">
        <v>160</v>
      </c>
      <c r="Q164" s="4"/>
      <c r="R164" s="193"/>
    </row>
    <row r="165" spans="1:18" x14ac:dyDescent="0.25">
      <c r="A165" s="73">
        <v>1932750841</v>
      </c>
      <c r="B165" s="74" t="s">
        <v>302</v>
      </c>
      <c r="C165" s="75">
        <v>273.64000000000004</v>
      </c>
      <c r="D165" s="181">
        <v>1.1820999999999999</v>
      </c>
      <c r="E165" s="182">
        <v>39.86</v>
      </c>
      <c r="F165" s="182">
        <v>150.85999999999999</v>
      </c>
      <c r="G165" s="182">
        <v>24.42</v>
      </c>
      <c r="H165" s="182">
        <v>26.74</v>
      </c>
      <c r="I165" s="182">
        <v>31.9</v>
      </c>
      <c r="J165" s="76"/>
      <c r="K165" s="75"/>
      <c r="L165" s="75">
        <v>273.77999999999997</v>
      </c>
      <c r="M165" s="77"/>
      <c r="N165" s="78">
        <v>37.74</v>
      </c>
      <c r="O165" s="78">
        <v>311.52</v>
      </c>
      <c r="P165" s="3">
        <v>161</v>
      </c>
      <c r="Q165" s="4"/>
      <c r="R165" s="193"/>
    </row>
    <row r="166" spans="1:18" x14ac:dyDescent="0.25">
      <c r="A166" s="73">
        <v>1760462196</v>
      </c>
      <c r="B166" s="74" t="s">
        <v>303</v>
      </c>
      <c r="C166" s="75">
        <v>242.59</v>
      </c>
      <c r="D166" s="181">
        <v>0.99580000000000002</v>
      </c>
      <c r="E166" s="182">
        <v>39.86</v>
      </c>
      <c r="F166" s="182">
        <v>132.99999999999997</v>
      </c>
      <c r="G166" s="182">
        <v>9.66</v>
      </c>
      <c r="H166" s="182">
        <v>26.74</v>
      </c>
      <c r="I166" s="182">
        <v>31.9</v>
      </c>
      <c r="J166" s="76"/>
      <c r="K166" s="75"/>
      <c r="L166" s="75">
        <v>242.59</v>
      </c>
      <c r="M166" s="77"/>
      <c r="N166" s="78">
        <v>37.74</v>
      </c>
      <c r="O166" s="78">
        <v>280.33</v>
      </c>
      <c r="P166" s="3">
        <v>162</v>
      </c>
      <c r="Q166" s="4"/>
      <c r="R166" s="193"/>
    </row>
    <row r="167" spans="1:18" x14ac:dyDescent="0.25">
      <c r="A167" s="73">
        <v>1255367447</v>
      </c>
      <c r="B167" s="74" t="s">
        <v>304</v>
      </c>
      <c r="C167" s="75">
        <v>245.37</v>
      </c>
      <c r="D167" s="181">
        <v>1.2370000000000001</v>
      </c>
      <c r="E167" s="182">
        <v>39.86</v>
      </c>
      <c r="F167" s="182">
        <v>152.82000000000002</v>
      </c>
      <c r="G167" s="182">
        <v>11.65</v>
      </c>
      <c r="H167" s="182">
        <v>8.64</v>
      </c>
      <c r="I167" s="182">
        <v>31.9</v>
      </c>
      <c r="J167" s="76"/>
      <c r="K167" s="75"/>
      <c r="L167" s="75">
        <v>245.37</v>
      </c>
      <c r="M167" s="77"/>
      <c r="N167" s="78">
        <v>37.74</v>
      </c>
      <c r="O167" s="78">
        <v>283.11</v>
      </c>
      <c r="P167" s="3">
        <v>163</v>
      </c>
      <c r="Q167" s="4"/>
      <c r="R167" s="193"/>
    </row>
    <row r="168" spans="1:18" x14ac:dyDescent="0.25">
      <c r="A168" s="73">
        <v>1053953844</v>
      </c>
      <c r="B168" s="74" t="s">
        <v>305</v>
      </c>
      <c r="C168" s="75">
        <v>257.35000000000002</v>
      </c>
      <c r="D168" s="181">
        <v>1.145</v>
      </c>
      <c r="E168" s="182">
        <v>39.86</v>
      </c>
      <c r="F168" s="182">
        <v>146.66</v>
      </c>
      <c r="G168" s="182">
        <v>18.3</v>
      </c>
      <c r="H168" s="182">
        <v>26.74</v>
      </c>
      <c r="I168" s="182">
        <v>31.9</v>
      </c>
      <c r="J168" s="76"/>
      <c r="K168" s="75"/>
      <c r="L168" s="75">
        <v>263.45999999999998</v>
      </c>
      <c r="M168" s="77"/>
      <c r="N168" s="78">
        <v>37.74</v>
      </c>
      <c r="O168" s="78">
        <v>301.2</v>
      </c>
      <c r="P168" s="3">
        <v>164</v>
      </c>
      <c r="Q168" s="4"/>
      <c r="R168" s="193"/>
    </row>
    <row r="169" spans="1:18" x14ac:dyDescent="0.25">
      <c r="A169" s="73">
        <v>1689777971</v>
      </c>
      <c r="B169" s="74" t="s">
        <v>306</v>
      </c>
      <c r="C169" s="75">
        <v>261.54000000000002</v>
      </c>
      <c r="D169" s="181">
        <v>1.3514999999999999</v>
      </c>
      <c r="E169" s="182">
        <v>39.86</v>
      </c>
      <c r="F169" s="182">
        <v>159.79</v>
      </c>
      <c r="G169" s="182">
        <v>8.5</v>
      </c>
      <c r="H169" s="182">
        <v>26.74</v>
      </c>
      <c r="I169" s="182">
        <v>31.9</v>
      </c>
      <c r="J169" s="76"/>
      <c r="K169" s="75"/>
      <c r="L169" s="75">
        <v>266.79000000000002</v>
      </c>
      <c r="M169" s="77"/>
      <c r="N169" s="78">
        <v>37.74</v>
      </c>
      <c r="O169" s="78">
        <v>304.53000000000003</v>
      </c>
      <c r="P169" s="3">
        <v>165</v>
      </c>
      <c r="Q169" s="4"/>
      <c r="R169" s="193"/>
    </row>
    <row r="170" spans="1:18" x14ac:dyDescent="0.25">
      <c r="A170" s="73">
        <v>1972547321</v>
      </c>
      <c r="B170" s="74" t="s">
        <v>307</v>
      </c>
      <c r="C170" s="75">
        <v>275.68</v>
      </c>
      <c r="D170" s="181">
        <v>1.3925000000000001</v>
      </c>
      <c r="E170" s="182">
        <v>39.86</v>
      </c>
      <c r="F170" s="182">
        <v>165.63</v>
      </c>
      <c r="G170" s="182">
        <v>15.62</v>
      </c>
      <c r="H170" s="182">
        <v>26.74</v>
      </c>
      <c r="I170" s="182">
        <v>31.9</v>
      </c>
      <c r="J170" s="76"/>
      <c r="K170" s="75"/>
      <c r="L170" s="75">
        <v>279.75</v>
      </c>
      <c r="M170" s="77"/>
      <c r="N170" s="78">
        <v>37.74</v>
      </c>
      <c r="O170" s="78">
        <v>317.49</v>
      </c>
      <c r="P170" s="3">
        <v>166</v>
      </c>
      <c r="Q170" s="4"/>
      <c r="R170" s="193"/>
    </row>
    <row r="171" spans="1:18" x14ac:dyDescent="0.25">
      <c r="A171" s="73">
        <v>1134298615</v>
      </c>
      <c r="B171" s="74" t="s">
        <v>308</v>
      </c>
      <c r="C171" s="75">
        <v>289.18</v>
      </c>
      <c r="D171" s="181">
        <v>1.7715000000000001</v>
      </c>
      <c r="E171" s="182">
        <v>39.86</v>
      </c>
      <c r="F171" s="182">
        <v>178.57</v>
      </c>
      <c r="G171" s="182">
        <v>19.309999999999999</v>
      </c>
      <c r="H171" s="182">
        <v>26.74</v>
      </c>
      <c r="I171" s="182">
        <v>31.9</v>
      </c>
      <c r="J171" s="76"/>
      <c r="K171" s="75"/>
      <c r="L171" s="75">
        <v>296.38</v>
      </c>
      <c r="M171" s="77"/>
      <c r="N171" s="78">
        <v>37.74</v>
      </c>
      <c r="O171" s="78">
        <v>334.12</v>
      </c>
      <c r="P171" s="3">
        <v>167</v>
      </c>
      <c r="Q171" s="4"/>
      <c r="R171" s="193"/>
    </row>
    <row r="172" spans="1:18" x14ac:dyDescent="0.25">
      <c r="A172" s="73">
        <v>1548206907</v>
      </c>
      <c r="B172" s="74" t="s">
        <v>309</v>
      </c>
      <c r="C172" s="75">
        <v>269.38</v>
      </c>
      <c r="D172" s="181">
        <v>1.1352</v>
      </c>
      <c r="E172" s="182">
        <v>39.86</v>
      </c>
      <c r="F172" s="182">
        <v>144.22</v>
      </c>
      <c r="G172" s="182">
        <v>23.32</v>
      </c>
      <c r="H172" s="182">
        <v>26.74</v>
      </c>
      <c r="I172" s="182">
        <v>31.9</v>
      </c>
      <c r="J172" s="76"/>
      <c r="K172" s="75"/>
      <c r="L172" s="75">
        <v>269.38</v>
      </c>
      <c r="M172" s="77"/>
      <c r="N172" s="78">
        <v>37.74</v>
      </c>
      <c r="O172" s="78">
        <v>307.12</v>
      </c>
      <c r="P172" s="3">
        <v>168</v>
      </c>
      <c r="Q172" s="4"/>
      <c r="R172" s="193"/>
    </row>
    <row r="173" spans="1:18" x14ac:dyDescent="0.25">
      <c r="A173" s="73">
        <v>1295704849</v>
      </c>
      <c r="B173" s="74" t="s">
        <v>310</v>
      </c>
      <c r="C173" s="75">
        <v>277.33999999999997</v>
      </c>
      <c r="D173" s="181">
        <v>1.4397</v>
      </c>
      <c r="E173" s="182">
        <v>39.86</v>
      </c>
      <c r="F173" s="182">
        <v>171.61999999999998</v>
      </c>
      <c r="G173" s="182">
        <v>8.02</v>
      </c>
      <c r="H173" s="182">
        <v>26.74</v>
      </c>
      <c r="I173" s="182">
        <v>31.9</v>
      </c>
      <c r="J173" s="76"/>
      <c r="K173" s="75"/>
      <c r="L173" s="75">
        <v>278.14</v>
      </c>
      <c r="M173" s="77"/>
      <c r="N173" s="78">
        <v>37.74</v>
      </c>
      <c r="O173" s="78">
        <v>315.88</v>
      </c>
      <c r="P173" s="3">
        <v>169</v>
      </c>
      <c r="Q173" s="4"/>
      <c r="R173" s="193"/>
    </row>
    <row r="174" spans="1:18" x14ac:dyDescent="0.25">
      <c r="A174" s="73">
        <v>1083298236</v>
      </c>
      <c r="B174" s="74" t="s">
        <v>311</v>
      </c>
      <c r="C174" s="75">
        <v>267.93</v>
      </c>
      <c r="D174" s="181">
        <v>1.1627000000000001</v>
      </c>
      <c r="E174" s="182">
        <v>39.86</v>
      </c>
      <c r="F174" s="182">
        <v>148.35</v>
      </c>
      <c r="G174" s="182">
        <v>22.2</v>
      </c>
      <c r="H174" s="182">
        <v>26.74</v>
      </c>
      <c r="I174" s="182">
        <v>31.9</v>
      </c>
      <c r="J174" s="76"/>
      <c r="K174" s="75"/>
      <c r="L174" s="75">
        <v>269.05</v>
      </c>
      <c r="M174" s="77"/>
      <c r="N174" s="78">
        <v>37.74</v>
      </c>
      <c r="O174" s="78">
        <v>306.79000000000002</v>
      </c>
      <c r="P174" s="3">
        <v>170</v>
      </c>
      <c r="Q174" s="4"/>
      <c r="R174" s="193"/>
    </row>
    <row r="175" spans="1:18" x14ac:dyDescent="0.25">
      <c r="A175" s="73">
        <v>1538113014</v>
      </c>
      <c r="B175" s="74" t="s">
        <v>312</v>
      </c>
      <c r="C175" s="75">
        <v>267.05</v>
      </c>
      <c r="D175" s="181">
        <v>1.1500999999999999</v>
      </c>
      <c r="E175" s="182">
        <v>39.86</v>
      </c>
      <c r="F175" s="182">
        <v>146.76</v>
      </c>
      <c r="G175" s="182">
        <v>21.13</v>
      </c>
      <c r="H175" s="182">
        <v>26.74</v>
      </c>
      <c r="I175" s="182">
        <v>31.9</v>
      </c>
      <c r="J175" s="76"/>
      <c r="K175" s="75"/>
      <c r="L175" s="75">
        <v>267.05</v>
      </c>
      <c r="M175" s="77"/>
      <c r="N175" s="78">
        <v>37.74</v>
      </c>
      <c r="O175" s="78">
        <v>304.79000000000002</v>
      </c>
      <c r="P175" s="3">
        <v>171</v>
      </c>
      <c r="Q175" s="4"/>
      <c r="R175" s="193"/>
    </row>
    <row r="176" spans="1:18" x14ac:dyDescent="0.25">
      <c r="A176" s="73">
        <v>1164476636</v>
      </c>
      <c r="B176" s="74" t="s">
        <v>313</v>
      </c>
      <c r="C176" s="75">
        <v>253.85</v>
      </c>
      <c r="D176" s="181">
        <v>1.0371999999999999</v>
      </c>
      <c r="E176" s="182">
        <v>39.86</v>
      </c>
      <c r="F176" s="182">
        <v>136.01</v>
      </c>
      <c r="G176" s="182">
        <v>18.46</v>
      </c>
      <c r="H176" s="182">
        <v>26.74</v>
      </c>
      <c r="I176" s="182">
        <v>31.9</v>
      </c>
      <c r="J176" s="76"/>
      <c r="K176" s="75"/>
      <c r="L176" s="75">
        <v>253.85</v>
      </c>
      <c r="M176" s="77"/>
      <c r="N176" s="78">
        <v>37.74</v>
      </c>
      <c r="O176" s="78">
        <v>291.58999999999997</v>
      </c>
      <c r="P176" s="3">
        <v>172</v>
      </c>
      <c r="Q176" s="4"/>
      <c r="R176" s="193"/>
    </row>
    <row r="177" spans="1:18" x14ac:dyDescent="0.25">
      <c r="A177" s="73">
        <v>1669425401</v>
      </c>
      <c r="B177" s="74" t="s">
        <v>314</v>
      </c>
      <c r="C177" s="75">
        <v>261.88</v>
      </c>
      <c r="D177" s="181">
        <v>1.0629999999999999</v>
      </c>
      <c r="E177" s="182">
        <v>39.86</v>
      </c>
      <c r="F177" s="182">
        <v>138.57</v>
      </c>
      <c r="G177" s="182">
        <v>21.89</v>
      </c>
      <c r="H177" s="182">
        <v>26.74</v>
      </c>
      <c r="I177" s="182">
        <v>31.9</v>
      </c>
      <c r="J177" s="76"/>
      <c r="K177" s="75"/>
      <c r="L177" s="75">
        <v>261.88</v>
      </c>
      <c r="M177" s="77"/>
      <c r="N177" s="78">
        <v>37.74</v>
      </c>
      <c r="O177" s="78">
        <v>299.62</v>
      </c>
      <c r="P177" s="3">
        <v>173</v>
      </c>
      <c r="Q177" s="4"/>
      <c r="R177" s="193"/>
    </row>
    <row r="178" spans="1:18" x14ac:dyDescent="0.25">
      <c r="A178" s="73">
        <v>1861446338</v>
      </c>
      <c r="B178" s="74" t="s">
        <v>315</v>
      </c>
      <c r="C178" s="75">
        <v>255.67000000000002</v>
      </c>
      <c r="D178" s="181">
        <v>1.1222000000000001</v>
      </c>
      <c r="E178" s="182">
        <v>39.86</v>
      </c>
      <c r="F178" s="182">
        <v>140.73999999999998</v>
      </c>
      <c r="G178" s="182">
        <v>19.18</v>
      </c>
      <c r="H178" s="182">
        <v>26.74</v>
      </c>
      <c r="I178" s="182">
        <v>31.9</v>
      </c>
      <c r="J178" s="76"/>
      <c r="K178" s="75"/>
      <c r="L178" s="75">
        <v>258.42</v>
      </c>
      <c r="M178" s="77"/>
      <c r="N178" s="78">
        <v>37.74</v>
      </c>
      <c r="O178" s="78">
        <v>296.16000000000003</v>
      </c>
      <c r="P178" s="3">
        <v>174</v>
      </c>
      <c r="Q178" s="4"/>
      <c r="R178" s="193"/>
    </row>
    <row r="179" spans="1:18" x14ac:dyDescent="0.25">
      <c r="A179" s="73">
        <v>1407800972</v>
      </c>
      <c r="B179" s="74" t="s">
        <v>316</v>
      </c>
      <c r="C179" s="75">
        <v>267.38</v>
      </c>
      <c r="D179" s="181">
        <v>1.1180000000000001</v>
      </c>
      <c r="E179" s="182">
        <v>39.86</v>
      </c>
      <c r="F179" s="182">
        <v>144.08999999999997</v>
      </c>
      <c r="G179" s="182">
        <v>18.8</v>
      </c>
      <c r="H179" s="182">
        <v>26.74</v>
      </c>
      <c r="I179" s="182">
        <v>31.9</v>
      </c>
      <c r="J179" s="76"/>
      <c r="K179" s="75"/>
      <c r="L179" s="75">
        <v>267.38</v>
      </c>
      <c r="M179" s="77"/>
      <c r="N179" s="78">
        <v>37.74</v>
      </c>
      <c r="O179" s="78">
        <v>305.12</v>
      </c>
      <c r="P179" s="3">
        <v>175</v>
      </c>
      <c r="Q179" s="4"/>
      <c r="R179" s="193"/>
    </row>
    <row r="180" spans="1:18" x14ac:dyDescent="0.25">
      <c r="A180" s="73">
        <v>1326089616</v>
      </c>
      <c r="B180" s="74" t="s">
        <v>317</v>
      </c>
      <c r="C180" s="75">
        <v>261.45</v>
      </c>
      <c r="D180" s="181">
        <v>1.0880000000000001</v>
      </c>
      <c r="E180" s="182">
        <v>39.86</v>
      </c>
      <c r="F180" s="182">
        <v>141.85</v>
      </c>
      <c r="G180" s="182">
        <v>19.23</v>
      </c>
      <c r="H180" s="182">
        <v>26.74</v>
      </c>
      <c r="I180" s="182">
        <v>31.9</v>
      </c>
      <c r="J180" s="76"/>
      <c r="K180" s="75"/>
      <c r="L180" s="75">
        <v>261.45</v>
      </c>
      <c r="M180" s="77"/>
      <c r="N180" s="78">
        <v>37.74</v>
      </c>
      <c r="O180" s="78">
        <v>299.19</v>
      </c>
      <c r="P180" s="3">
        <v>176</v>
      </c>
      <c r="Q180" s="4"/>
      <c r="R180" s="193"/>
    </row>
    <row r="181" spans="1:18" x14ac:dyDescent="0.25">
      <c r="A181" s="73">
        <v>1548770423</v>
      </c>
      <c r="B181" s="74" t="s">
        <v>318</v>
      </c>
      <c r="C181" s="75">
        <v>251.05</v>
      </c>
      <c r="D181" s="181">
        <v>1.1014999999999999</v>
      </c>
      <c r="E181" s="182">
        <v>39.86</v>
      </c>
      <c r="F181" s="182">
        <v>140.85999999999999</v>
      </c>
      <c r="G181" s="182">
        <v>13.89</v>
      </c>
      <c r="H181" s="182">
        <v>26.74</v>
      </c>
      <c r="I181" s="182">
        <v>31.9</v>
      </c>
      <c r="J181" s="76"/>
      <c r="K181" s="75"/>
      <c r="L181" s="75">
        <v>253.25</v>
      </c>
      <c r="M181" s="77"/>
      <c r="N181" s="78">
        <v>37.74</v>
      </c>
      <c r="O181" s="78">
        <v>290.99</v>
      </c>
      <c r="P181" s="3">
        <v>177</v>
      </c>
      <c r="Q181" s="4"/>
      <c r="R181" s="193"/>
    </row>
    <row r="182" spans="1:18" x14ac:dyDescent="0.25">
      <c r="A182" s="73">
        <v>1629535455</v>
      </c>
      <c r="B182" s="74" t="s">
        <v>319</v>
      </c>
      <c r="C182" s="75">
        <v>283.78000000000003</v>
      </c>
      <c r="D182" s="181">
        <v>1.1555</v>
      </c>
      <c r="E182" s="182">
        <v>39.86</v>
      </c>
      <c r="F182" s="182">
        <v>146.66999999999999</v>
      </c>
      <c r="G182" s="182">
        <v>37.29</v>
      </c>
      <c r="H182" s="182">
        <v>26.74</v>
      </c>
      <c r="I182" s="182">
        <v>31.9</v>
      </c>
      <c r="J182" s="76"/>
      <c r="K182" s="75"/>
      <c r="L182" s="75">
        <v>283.78000000000003</v>
      </c>
      <c r="M182" s="77"/>
      <c r="N182" s="78">
        <v>37.74</v>
      </c>
      <c r="O182" s="78">
        <v>321.52000000000004</v>
      </c>
      <c r="P182" s="3">
        <v>178</v>
      </c>
      <c r="Q182" s="4"/>
      <c r="R182" s="193"/>
    </row>
    <row r="183" spans="1:18" x14ac:dyDescent="0.25">
      <c r="A183" s="73">
        <v>1104471531</v>
      </c>
      <c r="B183" s="74" t="s">
        <v>320</v>
      </c>
      <c r="C183" s="75">
        <v>255.92000000000002</v>
      </c>
      <c r="D183" s="181">
        <v>1.1887000000000001</v>
      </c>
      <c r="E183" s="182">
        <v>39.86</v>
      </c>
      <c r="F183" s="182">
        <v>150.19</v>
      </c>
      <c r="G183" s="182">
        <v>8.07</v>
      </c>
      <c r="H183" s="182">
        <v>26.74</v>
      </c>
      <c r="I183" s="182">
        <v>31.9</v>
      </c>
      <c r="J183" s="76"/>
      <c r="K183" s="75"/>
      <c r="L183" s="75">
        <v>256.76</v>
      </c>
      <c r="M183" s="77"/>
      <c r="N183" s="78">
        <v>37.74</v>
      </c>
      <c r="O183" s="78">
        <v>294.5</v>
      </c>
      <c r="P183" s="3">
        <v>179</v>
      </c>
      <c r="Q183" s="4"/>
      <c r="R183" s="193"/>
    </row>
    <row r="184" spans="1:18" x14ac:dyDescent="0.25">
      <c r="A184" s="73">
        <v>1588219828</v>
      </c>
      <c r="B184" s="74" t="s">
        <v>321</v>
      </c>
      <c r="C184" s="75">
        <v>256.45</v>
      </c>
      <c r="D184" s="181">
        <v>1.1308</v>
      </c>
      <c r="E184" s="182">
        <v>39.86</v>
      </c>
      <c r="F184" s="182">
        <v>144.66999999999999</v>
      </c>
      <c r="G184" s="182">
        <v>9.89</v>
      </c>
      <c r="H184" s="182">
        <v>26.74</v>
      </c>
      <c r="I184" s="182">
        <v>31.9</v>
      </c>
      <c r="J184" s="76"/>
      <c r="K184" s="75"/>
      <c r="L184" s="75">
        <v>256.45</v>
      </c>
      <c r="M184" s="77"/>
      <c r="N184" s="78">
        <v>37.74</v>
      </c>
      <c r="O184" s="78">
        <v>294.19</v>
      </c>
      <c r="P184" s="3">
        <v>180</v>
      </c>
      <c r="Q184" s="4"/>
      <c r="R184" s="193"/>
    </row>
    <row r="185" spans="1:18" x14ac:dyDescent="0.25">
      <c r="A185" s="73">
        <v>1043865538</v>
      </c>
      <c r="B185" s="74" t="s">
        <v>322</v>
      </c>
      <c r="C185" s="75">
        <v>246.48</v>
      </c>
      <c r="D185" s="181">
        <v>1.0327999999999999</v>
      </c>
      <c r="E185" s="182">
        <v>39.86</v>
      </c>
      <c r="F185" s="182">
        <v>135.86999999999998</v>
      </c>
      <c r="G185" s="182">
        <v>10.91</v>
      </c>
      <c r="H185" s="182">
        <v>26.74</v>
      </c>
      <c r="I185" s="182">
        <v>31.9</v>
      </c>
      <c r="J185" s="76"/>
      <c r="K185" s="75"/>
      <c r="L185" s="75">
        <v>246.48</v>
      </c>
      <c r="M185" s="77"/>
      <c r="N185" s="78">
        <v>37.74</v>
      </c>
      <c r="O185" s="78">
        <v>284.21999999999997</v>
      </c>
      <c r="P185" s="3">
        <v>181</v>
      </c>
      <c r="Q185" s="4"/>
      <c r="R185" s="193"/>
    </row>
    <row r="186" spans="1:18" x14ac:dyDescent="0.25">
      <c r="A186" s="73">
        <v>1467007856</v>
      </c>
      <c r="B186" s="74" t="s">
        <v>323</v>
      </c>
      <c r="C186" s="75">
        <v>245.71</v>
      </c>
      <c r="D186" s="181">
        <v>1.1413</v>
      </c>
      <c r="E186" s="182">
        <v>39.86</v>
      </c>
      <c r="F186" s="182">
        <v>144.70999999999998</v>
      </c>
      <c r="G186" s="182">
        <v>10.83</v>
      </c>
      <c r="H186" s="182">
        <v>26.74</v>
      </c>
      <c r="I186" s="182">
        <v>31.9</v>
      </c>
      <c r="J186" s="76"/>
      <c r="K186" s="75"/>
      <c r="L186" s="75">
        <v>254.04</v>
      </c>
      <c r="M186" s="77"/>
      <c r="N186" s="78">
        <v>37.74</v>
      </c>
      <c r="O186" s="78">
        <v>291.77999999999997</v>
      </c>
      <c r="P186" s="3">
        <v>182</v>
      </c>
      <c r="Q186" s="4"/>
      <c r="R186" s="193"/>
    </row>
    <row r="187" spans="1:18" x14ac:dyDescent="0.25">
      <c r="A187" s="73">
        <v>1861446270</v>
      </c>
      <c r="B187" s="74" t="s">
        <v>324</v>
      </c>
      <c r="C187" s="75">
        <v>258.49</v>
      </c>
      <c r="D187" s="181">
        <v>1.1435</v>
      </c>
      <c r="E187" s="182">
        <v>39.86</v>
      </c>
      <c r="F187" s="182">
        <v>145.58999999999997</v>
      </c>
      <c r="G187" s="182">
        <v>21.52</v>
      </c>
      <c r="H187" s="182">
        <v>26.74</v>
      </c>
      <c r="I187" s="182">
        <v>31.9</v>
      </c>
      <c r="J187" s="76"/>
      <c r="K187" s="75"/>
      <c r="L187" s="75">
        <v>265.61</v>
      </c>
      <c r="M187" s="77"/>
      <c r="N187" s="78">
        <v>37.74</v>
      </c>
      <c r="O187" s="78">
        <v>303.35000000000002</v>
      </c>
      <c r="P187" s="3">
        <v>183</v>
      </c>
      <c r="Q187" s="4"/>
      <c r="R187" s="193"/>
    </row>
    <row r="188" spans="1:18" x14ac:dyDescent="0.25">
      <c r="A188" s="73">
        <v>1295101673</v>
      </c>
      <c r="B188" s="74" t="s">
        <v>325</v>
      </c>
      <c r="C188" s="75">
        <v>240.80000000000004</v>
      </c>
      <c r="D188" s="181">
        <v>1.0377000000000001</v>
      </c>
      <c r="E188" s="182">
        <v>39.86</v>
      </c>
      <c r="F188" s="182">
        <v>136.16999999999999</v>
      </c>
      <c r="G188" s="182">
        <v>8.02</v>
      </c>
      <c r="H188" s="182">
        <v>26.74</v>
      </c>
      <c r="I188" s="182">
        <v>31.9</v>
      </c>
      <c r="J188" s="76"/>
      <c r="K188" s="75"/>
      <c r="L188" s="75">
        <v>242.69</v>
      </c>
      <c r="M188" s="77"/>
      <c r="N188" s="78">
        <v>37.74</v>
      </c>
      <c r="O188" s="78">
        <v>280.43</v>
      </c>
      <c r="P188" s="3">
        <v>184</v>
      </c>
      <c r="Q188" s="4"/>
      <c r="R188" s="193"/>
    </row>
    <row r="189" spans="1:18" x14ac:dyDescent="0.25">
      <c r="A189" s="73">
        <v>1760415434</v>
      </c>
      <c r="B189" s="74" t="s">
        <v>326</v>
      </c>
      <c r="C189" s="75">
        <v>253.59</v>
      </c>
      <c r="D189" s="181">
        <v>1.0612999999999999</v>
      </c>
      <c r="E189" s="182">
        <v>39.86</v>
      </c>
      <c r="F189" s="182">
        <v>137.76</v>
      </c>
      <c r="G189" s="182">
        <v>13.92</v>
      </c>
      <c r="H189" s="182">
        <v>26.74</v>
      </c>
      <c r="I189" s="182">
        <v>31.9</v>
      </c>
      <c r="J189" s="76"/>
      <c r="K189" s="75"/>
      <c r="L189" s="75">
        <v>253.59</v>
      </c>
      <c r="M189" s="77"/>
      <c r="N189" s="78">
        <v>37.74</v>
      </c>
      <c r="O189" s="78">
        <v>291.33</v>
      </c>
      <c r="P189" s="3">
        <v>185</v>
      </c>
      <c r="Q189" s="4"/>
      <c r="R189" s="193"/>
    </row>
    <row r="190" spans="1:18" x14ac:dyDescent="0.25">
      <c r="A190" s="73">
        <v>1629494059</v>
      </c>
      <c r="B190" s="74" t="s">
        <v>327</v>
      </c>
      <c r="C190" s="75">
        <v>269.22999999999996</v>
      </c>
      <c r="D190" s="181">
        <v>1.3304</v>
      </c>
      <c r="E190" s="182">
        <v>39.86</v>
      </c>
      <c r="F190" s="182">
        <v>159.05999999999997</v>
      </c>
      <c r="G190" s="182">
        <v>11.4</v>
      </c>
      <c r="H190" s="182">
        <v>26.74</v>
      </c>
      <c r="I190" s="182">
        <v>31.9</v>
      </c>
      <c r="J190" s="76"/>
      <c r="K190" s="75"/>
      <c r="L190" s="75">
        <v>269.22999999999996</v>
      </c>
      <c r="M190" s="77"/>
      <c r="N190" s="78">
        <v>37.74</v>
      </c>
      <c r="O190" s="78">
        <v>306.96999999999997</v>
      </c>
      <c r="P190" s="3">
        <v>186</v>
      </c>
      <c r="Q190" s="4"/>
      <c r="R190" s="193"/>
    </row>
    <row r="191" spans="1:18" x14ac:dyDescent="0.25">
      <c r="A191" s="73">
        <v>1467421024</v>
      </c>
      <c r="B191" s="74" t="s">
        <v>328</v>
      </c>
      <c r="C191" s="75">
        <v>280.67</v>
      </c>
      <c r="D191" s="181">
        <v>1.3991</v>
      </c>
      <c r="E191" s="182">
        <v>39.86</v>
      </c>
      <c r="F191" s="182">
        <v>164.08999999999997</v>
      </c>
      <c r="G191" s="182">
        <v>17.059999999999999</v>
      </c>
      <c r="H191" s="182">
        <v>26.74</v>
      </c>
      <c r="I191" s="182">
        <v>31.9</v>
      </c>
      <c r="J191" s="76"/>
      <c r="K191" s="75"/>
      <c r="L191" s="75">
        <v>280.67</v>
      </c>
      <c r="M191" s="77"/>
      <c r="N191" s="78">
        <v>37.74</v>
      </c>
      <c r="O191" s="78">
        <v>318.41000000000003</v>
      </c>
      <c r="P191" s="3">
        <v>187</v>
      </c>
      <c r="Q191" s="4"/>
      <c r="R191" s="193"/>
    </row>
    <row r="192" spans="1:18" x14ac:dyDescent="0.25">
      <c r="A192" s="73">
        <v>1447254149</v>
      </c>
      <c r="B192" s="74" t="s">
        <v>329</v>
      </c>
      <c r="C192" s="75">
        <v>254.47000000000003</v>
      </c>
      <c r="D192" s="181">
        <v>1.2773000000000001</v>
      </c>
      <c r="E192" s="182">
        <v>39.86</v>
      </c>
      <c r="F192" s="182">
        <v>158.38</v>
      </c>
      <c r="G192" s="182">
        <v>29.31</v>
      </c>
      <c r="H192" s="182">
        <v>0</v>
      </c>
      <c r="I192" s="182">
        <v>31.9</v>
      </c>
      <c r="J192" s="76"/>
      <c r="K192" s="75"/>
      <c r="L192" s="75">
        <v>259.45</v>
      </c>
      <c r="M192" s="77"/>
      <c r="N192" s="78">
        <v>37.74</v>
      </c>
      <c r="O192" s="78">
        <v>297.19</v>
      </c>
      <c r="P192" s="3">
        <v>188</v>
      </c>
      <c r="Q192" s="4"/>
      <c r="R192" s="193"/>
    </row>
    <row r="193" spans="1:18" x14ac:dyDescent="0.25">
      <c r="A193" s="73">
        <v>1184174484</v>
      </c>
      <c r="B193" s="74" t="s">
        <v>626</v>
      </c>
      <c r="C193" s="75">
        <v>263.22000000000003</v>
      </c>
      <c r="D193" s="181">
        <v>1.2853000000000001</v>
      </c>
      <c r="E193" s="182">
        <v>39.86</v>
      </c>
      <c r="F193" s="182">
        <v>156.16999999999999</v>
      </c>
      <c r="G193" s="182">
        <v>23.02</v>
      </c>
      <c r="H193" s="182">
        <v>8.64</v>
      </c>
      <c r="I193" s="182">
        <v>31.9</v>
      </c>
      <c r="J193" s="76"/>
      <c r="K193" s="75"/>
      <c r="L193" s="75">
        <v>263.22000000000003</v>
      </c>
      <c r="M193" s="77"/>
      <c r="N193" s="78">
        <v>37.74</v>
      </c>
      <c r="O193" s="78">
        <v>300.96000000000004</v>
      </c>
      <c r="P193" s="3">
        <v>189</v>
      </c>
      <c r="Q193" s="4"/>
      <c r="R193" s="193"/>
    </row>
    <row r="194" spans="1:18" x14ac:dyDescent="0.25">
      <c r="A194" s="73">
        <v>1457397952</v>
      </c>
      <c r="B194" s="74" t="s">
        <v>330</v>
      </c>
      <c r="C194" s="75">
        <v>261.24</v>
      </c>
      <c r="D194" s="181">
        <v>1.2497</v>
      </c>
      <c r="E194" s="182">
        <v>39.86</v>
      </c>
      <c r="F194" s="182">
        <v>153.26</v>
      </c>
      <c r="G194" s="182">
        <v>10.68</v>
      </c>
      <c r="H194" s="182">
        <v>26.74</v>
      </c>
      <c r="I194" s="182">
        <v>31.9</v>
      </c>
      <c r="J194" s="76"/>
      <c r="K194" s="75"/>
      <c r="L194" s="75">
        <v>262.44</v>
      </c>
      <c r="M194" s="77"/>
      <c r="N194" s="78">
        <v>37.74</v>
      </c>
      <c r="O194" s="78">
        <v>300.18</v>
      </c>
      <c r="P194" s="3">
        <v>190</v>
      </c>
      <c r="Q194" s="4"/>
      <c r="R194" s="193"/>
    </row>
    <row r="195" spans="1:18" x14ac:dyDescent="0.25">
      <c r="A195" s="73">
        <v>1497058416</v>
      </c>
      <c r="B195" s="74" t="s">
        <v>331</v>
      </c>
      <c r="C195" s="75">
        <v>281.51</v>
      </c>
      <c r="D195" s="181">
        <v>1.4806999999999999</v>
      </c>
      <c r="E195" s="182">
        <v>39.86</v>
      </c>
      <c r="F195" s="182">
        <v>173.83999999999997</v>
      </c>
      <c r="G195" s="182">
        <v>12.41</v>
      </c>
      <c r="H195" s="182">
        <v>26.74</v>
      </c>
      <c r="I195" s="182">
        <v>31.9</v>
      </c>
      <c r="J195" s="76"/>
      <c r="K195" s="75"/>
      <c r="L195" s="75">
        <v>284.75</v>
      </c>
      <c r="M195" s="77"/>
      <c r="N195" s="78">
        <v>37.74</v>
      </c>
      <c r="O195" s="78">
        <v>322.49</v>
      </c>
      <c r="P195" s="3">
        <v>191</v>
      </c>
      <c r="Q195" s="4"/>
      <c r="R195" s="193"/>
    </row>
    <row r="196" spans="1:18" x14ac:dyDescent="0.25">
      <c r="A196" s="73">
        <v>1235591918</v>
      </c>
      <c r="B196" s="74" t="s">
        <v>332</v>
      </c>
      <c r="C196" s="75">
        <v>279.14</v>
      </c>
      <c r="D196" s="181">
        <v>1.2771999999999999</v>
      </c>
      <c r="E196" s="182">
        <v>39.86</v>
      </c>
      <c r="F196" s="182">
        <v>158.76999999999998</v>
      </c>
      <c r="G196" s="182">
        <v>19.07</v>
      </c>
      <c r="H196" s="182">
        <v>26.74</v>
      </c>
      <c r="I196" s="182">
        <v>31.9</v>
      </c>
      <c r="J196" s="76"/>
      <c r="K196" s="75"/>
      <c r="L196" s="75">
        <v>279.14</v>
      </c>
      <c r="M196" s="77"/>
      <c r="N196" s="78">
        <v>37.74</v>
      </c>
      <c r="O196" s="78">
        <v>316.88</v>
      </c>
      <c r="P196" s="3">
        <v>192</v>
      </c>
      <c r="Q196" s="4"/>
      <c r="R196" s="193"/>
    </row>
    <row r="197" spans="1:18" x14ac:dyDescent="0.25">
      <c r="A197" s="73">
        <v>1952337073</v>
      </c>
      <c r="B197" s="74" t="s">
        <v>333</v>
      </c>
      <c r="C197" s="75">
        <v>265.68</v>
      </c>
      <c r="D197" s="181">
        <v>1.2966</v>
      </c>
      <c r="E197" s="182">
        <v>39.86</v>
      </c>
      <c r="F197" s="182">
        <v>156.85999999999999</v>
      </c>
      <c r="G197" s="182">
        <v>8.02</v>
      </c>
      <c r="H197" s="182">
        <v>26.74</v>
      </c>
      <c r="I197" s="182">
        <v>31.9</v>
      </c>
      <c r="J197" s="76"/>
      <c r="K197" s="75"/>
      <c r="L197" s="75">
        <v>265.68</v>
      </c>
      <c r="M197" s="77"/>
      <c r="N197" s="78">
        <v>37.74</v>
      </c>
      <c r="O197" s="78">
        <v>303.42</v>
      </c>
      <c r="P197" s="3">
        <v>193</v>
      </c>
      <c r="Q197" s="4"/>
      <c r="R197" s="193"/>
    </row>
    <row r="198" spans="1:18" x14ac:dyDescent="0.25">
      <c r="A198" s="73">
        <v>1326074048</v>
      </c>
      <c r="B198" s="74" t="s">
        <v>334</v>
      </c>
      <c r="C198" s="75">
        <v>244.09999999999997</v>
      </c>
      <c r="D198" s="181">
        <v>1.2534000000000001</v>
      </c>
      <c r="E198" s="182">
        <v>39.86</v>
      </c>
      <c r="F198" s="182">
        <v>154.20000000000002</v>
      </c>
      <c r="G198" s="182">
        <v>15.95</v>
      </c>
      <c r="H198" s="182">
        <v>8.64</v>
      </c>
      <c r="I198" s="182">
        <v>31.9</v>
      </c>
      <c r="J198" s="76"/>
      <c r="K198" s="75"/>
      <c r="L198" s="75">
        <v>250.55</v>
      </c>
      <c r="M198" s="77"/>
      <c r="N198" s="78">
        <v>37.74</v>
      </c>
      <c r="O198" s="78">
        <v>288.29000000000002</v>
      </c>
      <c r="P198" s="3">
        <v>194</v>
      </c>
      <c r="Q198" s="4"/>
      <c r="R198" s="193"/>
    </row>
    <row r="199" spans="1:18" x14ac:dyDescent="0.25">
      <c r="A199" s="73">
        <v>1720033475</v>
      </c>
      <c r="B199" s="74" t="s">
        <v>336</v>
      </c>
      <c r="C199" s="75">
        <v>261.77999999999997</v>
      </c>
      <c r="D199" s="181">
        <v>1.2101999999999999</v>
      </c>
      <c r="E199" s="182">
        <v>39.86</v>
      </c>
      <c r="F199" s="182">
        <v>152.54</v>
      </c>
      <c r="G199" s="182">
        <v>8.1</v>
      </c>
      <c r="H199" s="182">
        <v>26.74</v>
      </c>
      <c r="I199" s="182">
        <v>31.9</v>
      </c>
      <c r="J199" s="76"/>
      <c r="K199" s="75"/>
      <c r="L199" s="75">
        <v>261.77999999999997</v>
      </c>
      <c r="M199" s="77"/>
      <c r="N199" s="78">
        <v>37.74</v>
      </c>
      <c r="O199" s="78">
        <v>299.52</v>
      </c>
      <c r="P199" s="3">
        <v>195</v>
      </c>
      <c r="Q199" s="4"/>
      <c r="R199" s="193"/>
    </row>
    <row r="200" spans="1:18" x14ac:dyDescent="0.25">
      <c r="A200" s="73">
        <v>1477641694</v>
      </c>
      <c r="B200" s="74" t="s">
        <v>337</v>
      </c>
      <c r="C200" s="75">
        <v>214.16000000000003</v>
      </c>
      <c r="D200" s="181">
        <v>0.90500000000000003</v>
      </c>
      <c r="E200" s="182">
        <v>39.86</v>
      </c>
      <c r="F200" s="182">
        <v>125.07999999999998</v>
      </c>
      <c r="G200" s="182">
        <v>18.440000000000001</v>
      </c>
      <c r="H200" s="182">
        <v>0</v>
      </c>
      <c r="I200" s="182">
        <v>31.9</v>
      </c>
      <c r="J200" s="76"/>
      <c r="K200" s="75"/>
      <c r="L200" s="75">
        <v>215.28</v>
      </c>
      <c r="M200" s="77"/>
      <c r="N200" s="78">
        <v>37.74</v>
      </c>
      <c r="O200" s="78">
        <v>253.02</v>
      </c>
      <c r="P200" s="3">
        <v>196</v>
      </c>
      <c r="Q200" s="4"/>
      <c r="R200" s="193"/>
    </row>
    <row r="201" spans="1:18" x14ac:dyDescent="0.25">
      <c r="A201" s="73">
        <v>1790317840</v>
      </c>
      <c r="B201" s="74" t="s">
        <v>338</v>
      </c>
      <c r="C201" s="75">
        <v>282.97000000000003</v>
      </c>
      <c r="D201" s="181">
        <v>1.3871</v>
      </c>
      <c r="E201" s="182">
        <v>39.86</v>
      </c>
      <c r="F201" s="182">
        <v>167.95</v>
      </c>
      <c r="G201" s="182">
        <v>19.61</v>
      </c>
      <c r="H201" s="182">
        <v>26.74</v>
      </c>
      <c r="I201" s="182">
        <v>31.9</v>
      </c>
      <c r="J201" s="76"/>
      <c r="K201" s="75"/>
      <c r="L201" s="75">
        <v>286.06</v>
      </c>
      <c r="M201" s="77"/>
      <c r="N201" s="78">
        <v>37.74</v>
      </c>
      <c r="O201" s="78">
        <v>323.8</v>
      </c>
      <c r="P201" s="3">
        <v>197</v>
      </c>
      <c r="Q201" s="4"/>
      <c r="R201" s="193"/>
    </row>
    <row r="202" spans="1:18" x14ac:dyDescent="0.25">
      <c r="A202" s="73">
        <v>1336565779</v>
      </c>
      <c r="B202" s="74" t="s">
        <v>339</v>
      </c>
      <c r="C202" s="75">
        <v>254.47000000000003</v>
      </c>
      <c r="D202" s="181">
        <v>1.1225000000000001</v>
      </c>
      <c r="E202" s="182">
        <v>39.86</v>
      </c>
      <c r="F202" s="182">
        <v>143.69999999999999</v>
      </c>
      <c r="G202" s="182">
        <v>13.93</v>
      </c>
      <c r="H202" s="182">
        <v>26.74</v>
      </c>
      <c r="I202" s="182">
        <v>31.9</v>
      </c>
      <c r="J202" s="76"/>
      <c r="K202" s="75"/>
      <c r="L202" s="75">
        <v>256.13</v>
      </c>
      <c r="M202" s="77"/>
      <c r="N202" s="78">
        <v>37.74</v>
      </c>
      <c r="O202" s="78">
        <v>293.87</v>
      </c>
      <c r="P202" s="3">
        <v>198</v>
      </c>
      <c r="Q202" s="4"/>
      <c r="R202" s="193"/>
    </row>
    <row r="203" spans="1:18" x14ac:dyDescent="0.25">
      <c r="A203" s="73">
        <v>1649224056</v>
      </c>
      <c r="B203" s="74" t="s">
        <v>340</v>
      </c>
      <c r="C203" s="75">
        <v>250.44000000000003</v>
      </c>
      <c r="D203" s="181">
        <v>1.0902000000000001</v>
      </c>
      <c r="E203" s="182">
        <v>39.86</v>
      </c>
      <c r="F203" s="182">
        <v>140.72</v>
      </c>
      <c r="G203" s="182">
        <v>8.1</v>
      </c>
      <c r="H203" s="182">
        <v>26.74</v>
      </c>
      <c r="I203" s="182">
        <v>31.9</v>
      </c>
      <c r="J203" s="76"/>
      <c r="K203" s="75"/>
      <c r="L203" s="75">
        <v>250.44000000000003</v>
      </c>
      <c r="M203" s="77"/>
      <c r="N203" s="78">
        <v>37.74</v>
      </c>
      <c r="O203" s="78">
        <v>288.18</v>
      </c>
      <c r="P203" s="3">
        <v>199</v>
      </c>
      <c r="Q203" s="4"/>
      <c r="R203" s="193"/>
    </row>
    <row r="204" spans="1:18" x14ac:dyDescent="0.25">
      <c r="A204" s="73">
        <v>1831197714</v>
      </c>
      <c r="B204" s="74" t="s">
        <v>341</v>
      </c>
      <c r="C204" s="75">
        <v>271.12</v>
      </c>
      <c r="D204" s="181">
        <v>1.2716000000000001</v>
      </c>
      <c r="E204" s="182">
        <v>39.86</v>
      </c>
      <c r="F204" s="182">
        <v>156.91999999999999</v>
      </c>
      <c r="G204" s="182">
        <v>15.87</v>
      </c>
      <c r="H204" s="182">
        <v>26.74</v>
      </c>
      <c r="I204" s="182">
        <v>31.9</v>
      </c>
      <c r="J204" s="76"/>
      <c r="K204" s="75"/>
      <c r="L204" s="75">
        <v>271.29000000000002</v>
      </c>
      <c r="M204" s="77"/>
      <c r="N204" s="78">
        <v>37.74</v>
      </c>
      <c r="O204" s="78">
        <v>309.03000000000003</v>
      </c>
      <c r="P204" s="3">
        <v>200</v>
      </c>
      <c r="Q204" s="4"/>
      <c r="R204" s="193"/>
    </row>
    <row r="205" spans="1:18" x14ac:dyDescent="0.25">
      <c r="A205" s="73">
        <v>1952396509</v>
      </c>
      <c r="B205" s="74" t="s">
        <v>342</v>
      </c>
      <c r="C205" s="75">
        <v>254.43</v>
      </c>
      <c r="D205" s="181">
        <v>1.0975999999999999</v>
      </c>
      <c r="E205" s="182">
        <v>39.86</v>
      </c>
      <c r="F205" s="182">
        <v>141.89999999999998</v>
      </c>
      <c r="G205" s="182">
        <v>7.93</v>
      </c>
      <c r="H205" s="182">
        <v>26.74</v>
      </c>
      <c r="I205" s="182">
        <v>31.9</v>
      </c>
      <c r="J205" s="76"/>
      <c r="K205" s="75"/>
      <c r="L205" s="75">
        <v>254.43</v>
      </c>
      <c r="M205" s="77"/>
      <c r="N205" s="78">
        <v>37.74</v>
      </c>
      <c r="O205" s="78">
        <v>292.17</v>
      </c>
      <c r="P205" s="3">
        <v>201</v>
      </c>
      <c r="Q205" s="4"/>
      <c r="R205" s="193"/>
    </row>
    <row r="206" spans="1:18" x14ac:dyDescent="0.25">
      <c r="A206" s="73">
        <v>1396754875</v>
      </c>
      <c r="B206" s="74" t="s">
        <v>343</v>
      </c>
      <c r="C206" s="75">
        <v>271.82</v>
      </c>
      <c r="D206" s="181">
        <v>1.1365000000000001</v>
      </c>
      <c r="E206" s="182">
        <v>39.86</v>
      </c>
      <c r="F206" s="182">
        <v>146.77999999999997</v>
      </c>
      <c r="G206" s="182">
        <v>23.45</v>
      </c>
      <c r="H206" s="182">
        <v>26.74</v>
      </c>
      <c r="I206" s="182">
        <v>31.9</v>
      </c>
      <c r="J206" s="76"/>
      <c r="K206" s="75"/>
      <c r="L206" s="75">
        <v>271.82</v>
      </c>
      <c r="M206" s="77"/>
      <c r="N206" s="78">
        <v>37.74</v>
      </c>
      <c r="O206" s="78">
        <v>309.56</v>
      </c>
      <c r="P206" s="3">
        <v>202</v>
      </c>
      <c r="Q206" s="4"/>
      <c r="R206" s="193"/>
    </row>
    <row r="207" spans="1:18" x14ac:dyDescent="0.25">
      <c r="A207" s="73">
        <v>1952486771</v>
      </c>
      <c r="B207" s="74" t="s">
        <v>344</v>
      </c>
      <c r="C207" s="75">
        <v>286.21000000000004</v>
      </c>
      <c r="D207" s="181">
        <v>1.2417</v>
      </c>
      <c r="E207" s="182">
        <v>39.86</v>
      </c>
      <c r="F207" s="182">
        <v>153.94999999999999</v>
      </c>
      <c r="G207" s="182">
        <v>30.12</v>
      </c>
      <c r="H207" s="182">
        <v>26.74</v>
      </c>
      <c r="I207" s="182">
        <v>31.9</v>
      </c>
      <c r="J207" s="76"/>
      <c r="K207" s="75"/>
      <c r="L207" s="75">
        <v>286.21000000000004</v>
      </c>
      <c r="M207" s="77"/>
      <c r="N207" s="78">
        <v>37.74</v>
      </c>
      <c r="O207" s="78">
        <v>323.95000000000005</v>
      </c>
      <c r="P207" s="3">
        <v>203</v>
      </c>
      <c r="Q207" s="4"/>
      <c r="R207" s="193"/>
    </row>
    <row r="208" spans="1:18" x14ac:dyDescent="0.25">
      <c r="A208" s="73">
        <v>1396771515</v>
      </c>
      <c r="B208" s="74" t="s">
        <v>345</v>
      </c>
      <c r="C208" s="75">
        <v>261.18</v>
      </c>
      <c r="D208" s="181">
        <v>1.1521999999999999</v>
      </c>
      <c r="E208" s="182">
        <v>39.86</v>
      </c>
      <c r="F208" s="182">
        <v>145.66</v>
      </c>
      <c r="G208" s="182">
        <v>32.340000000000003</v>
      </c>
      <c r="H208" s="182">
        <v>8.64</v>
      </c>
      <c r="I208" s="182">
        <v>31.9</v>
      </c>
      <c r="J208" s="76"/>
      <c r="K208" s="75"/>
      <c r="L208" s="75">
        <v>261.18</v>
      </c>
      <c r="M208" s="77"/>
      <c r="N208" s="78">
        <v>37.74</v>
      </c>
      <c r="O208" s="78">
        <v>298.92</v>
      </c>
      <c r="P208" s="3">
        <v>204</v>
      </c>
      <c r="Q208" s="4"/>
      <c r="R208" s="193"/>
    </row>
    <row r="209" spans="1:18" x14ac:dyDescent="0.25">
      <c r="A209" s="73">
        <v>1932107547</v>
      </c>
      <c r="B209" s="74" t="s">
        <v>346</v>
      </c>
      <c r="C209" s="75">
        <v>244.69000000000003</v>
      </c>
      <c r="D209" s="181">
        <v>0.91830000000000001</v>
      </c>
      <c r="E209" s="182">
        <v>39.86</v>
      </c>
      <c r="F209" s="182">
        <v>125.82999999999998</v>
      </c>
      <c r="G209" s="182">
        <v>15.23</v>
      </c>
      <c r="H209" s="182">
        <v>26.74</v>
      </c>
      <c r="I209" s="182">
        <v>31.9</v>
      </c>
      <c r="J209" s="76"/>
      <c r="K209" s="75"/>
      <c r="L209" s="75">
        <v>244.69000000000003</v>
      </c>
      <c r="M209" s="77"/>
      <c r="N209" s="78">
        <v>37.74</v>
      </c>
      <c r="O209" s="78">
        <v>282.43</v>
      </c>
      <c r="P209" s="3">
        <v>205</v>
      </c>
      <c r="Q209" s="4"/>
      <c r="R209" s="193"/>
    </row>
    <row r="210" spans="1:18" x14ac:dyDescent="0.25">
      <c r="A210" s="73">
        <v>1013951896</v>
      </c>
      <c r="B210" s="74" t="s">
        <v>347</v>
      </c>
      <c r="C210" s="75">
        <v>248.62000000000003</v>
      </c>
      <c r="D210" s="181">
        <v>1.145</v>
      </c>
      <c r="E210" s="182">
        <v>39.86</v>
      </c>
      <c r="F210" s="182">
        <v>143.42999999999998</v>
      </c>
      <c r="G210" s="182">
        <v>11.16</v>
      </c>
      <c r="H210" s="182">
        <v>26.74</v>
      </c>
      <c r="I210" s="182">
        <v>31.9</v>
      </c>
      <c r="J210" s="76"/>
      <c r="K210" s="75"/>
      <c r="L210" s="75">
        <v>253.09</v>
      </c>
      <c r="M210" s="77"/>
      <c r="N210" s="78">
        <v>37.74</v>
      </c>
      <c r="O210" s="78">
        <v>290.83</v>
      </c>
      <c r="P210" s="3">
        <v>206</v>
      </c>
      <c r="Q210" s="4"/>
      <c r="R210" s="193"/>
    </row>
    <row r="211" spans="1:18" x14ac:dyDescent="0.25">
      <c r="A211" s="73">
        <v>1477146959</v>
      </c>
      <c r="B211" s="74" t="s">
        <v>348</v>
      </c>
      <c r="C211" s="75">
        <v>256.26000000000005</v>
      </c>
      <c r="D211" s="181">
        <v>1.4132</v>
      </c>
      <c r="E211" s="182">
        <v>39.86</v>
      </c>
      <c r="F211" s="182">
        <v>167.54</v>
      </c>
      <c r="G211" s="182">
        <v>14.58</v>
      </c>
      <c r="H211" s="182">
        <v>8.64</v>
      </c>
      <c r="I211" s="182">
        <v>31.9</v>
      </c>
      <c r="J211" s="76"/>
      <c r="K211" s="75"/>
      <c r="L211" s="75">
        <v>262.52</v>
      </c>
      <c r="M211" s="77"/>
      <c r="N211" s="78">
        <v>37.74</v>
      </c>
      <c r="O211" s="78">
        <v>300.26</v>
      </c>
      <c r="P211" s="3">
        <v>207</v>
      </c>
      <c r="Q211" s="4"/>
      <c r="R211" s="193"/>
    </row>
    <row r="212" spans="1:18" x14ac:dyDescent="0.25">
      <c r="A212" s="73">
        <v>1093754459</v>
      </c>
      <c r="B212" s="74" t="s">
        <v>349</v>
      </c>
      <c r="C212" s="75">
        <v>262.99</v>
      </c>
      <c r="D212" s="181">
        <v>1.2515000000000001</v>
      </c>
      <c r="E212" s="182">
        <v>39.86</v>
      </c>
      <c r="F212" s="182">
        <v>154.47999999999999</v>
      </c>
      <c r="G212" s="182">
        <v>14.69</v>
      </c>
      <c r="H212" s="182">
        <v>26.74</v>
      </c>
      <c r="I212" s="182">
        <v>31.9</v>
      </c>
      <c r="J212" s="76"/>
      <c r="K212" s="75"/>
      <c r="L212" s="75">
        <v>267.67</v>
      </c>
      <c r="M212" s="77"/>
      <c r="N212" s="78">
        <v>37.74</v>
      </c>
      <c r="O212" s="78">
        <v>305.41000000000003</v>
      </c>
      <c r="P212" s="3">
        <v>208</v>
      </c>
      <c r="Q212" s="4"/>
      <c r="R212" s="193"/>
    </row>
    <row r="213" spans="1:18" x14ac:dyDescent="0.25">
      <c r="A213" s="73">
        <v>1861521635</v>
      </c>
      <c r="B213" s="74" t="s">
        <v>350</v>
      </c>
      <c r="C213" s="75">
        <v>282.83999999999997</v>
      </c>
      <c r="D213" s="181">
        <v>1.3844000000000001</v>
      </c>
      <c r="E213" s="182">
        <v>39.86</v>
      </c>
      <c r="F213" s="182">
        <v>165.42</v>
      </c>
      <c r="G213" s="182">
        <v>18.89</v>
      </c>
      <c r="H213" s="182">
        <v>26.74</v>
      </c>
      <c r="I213" s="182">
        <v>31.9</v>
      </c>
      <c r="J213" s="76"/>
      <c r="K213" s="75"/>
      <c r="L213" s="75">
        <v>282.83999999999997</v>
      </c>
      <c r="M213" s="77"/>
      <c r="N213" s="78">
        <v>37.74</v>
      </c>
      <c r="O213" s="78">
        <v>320.58</v>
      </c>
      <c r="P213" s="3">
        <v>209</v>
      </c>
      <c r="Q213" s="4"/>
      <c r="R213" s="193"/>
    </row>
    <row r="214" spans="1:18" x14ac:dyDescent="0.25">
      <c r="A214" s="73">
        <v>1558391250</v>
      </c>
      <c r="B214" s="74" t="s">
        <v>351</v>
      </c>
      <c r="C214" s="75">
        <v>259.05999999999995</v>
      </c>
      <c r="D214" s="181">
        <v>1.2197</v>
      </c>
      <c r="E214" s="182">
        <v>39.86</v>
      </c>
      <c r="F214" s="182">
        <v>150.16</v>
      </c>
      <c r="G214" s="182">
        <v>14.98</v>
      </c>
      <c r="H214" s="182">
        <v>26.74</v>
      </c>
      <c r="I214" s="182">
        <v>31.9</v>
      </c>
      <c r="J214" s="76"/>
      <c r="K214" s="75"/>
      <c r="L214" s="75">
        <v>263.64</v>
      </c>
      <c r="M214" s="77"/>
      <c r="N214" s="78">
        <v>37.74</v>
      </c>
      <c r="O214" s="78">
        <v>301.38</v>
      </c>
      <c r="P214" s="3">
        <v>210</v>
      </c>
      <c r="Q214" s="4"/>
      <c r="R214" s="193"/>
    </row>
    <row r="215" spans="1:18" x14ac:dyDescent="0.25">
      <c r="A215" s="73">
        <v>1033611959</v>
      </c>
      <c r="B215" s="74" t="s">
        <v>352</v>
      </c>
      <c r="C215" s="75">
        <v>259.71999999999997</v>
      </c>
      <c r="D215" s="181">
        <v>1.0842000000000001</v>
      </c>
      <c r="E215" s="182">
        <v>39.86</v>
      </c>
      <c r="F215" s="182">
        <v>140.92999999999998</v>
      </c>
      <c r="G215" s="182">
        <v>24.09</v>
      </c>
      <c r="H215" s="182">
        <v>26.74</v>
      </c>
      <c r="I215" s="182">
        <v>31.9</v>
      </c>
      <c r="J215" s="76"/>
      <c r="K215" s="75"/>
      <c r="L215" s="75">
        <v>263.52</v>
      </c>
      <c r="M215" s="77"/>
      <c r="N215" s="78">
        <v>37.74</v>
      </c>
      <c r="O215" s="78">
        <v>301.26</v>
      </c>
      <c r="P215" s="3">
        <v>211</v>
      </c>
      <c r="Q215" s="4"/>
      <c r="R215" s="193"/>
    </row>
    <row r="216" spans="1:18" x14ac:dyDescent="0.25">
      <c r="A216" s="73">
        <v>1962832899</v>
      </c>
      <c r="B216" s="74" t="s">
        <v>353</v>
      </c>
      <c r="C216" s="75">
        <v>284.04000000000002</v>
      </c>
      <c r="D216" s="181">
        <v>1.1765000000000001</v>
      </c>
      <c r="E216" s="182">
        <v>39.86</v>
      </c>
      <c r="F216" s="182">
        <v>148.45999999999998</v>
      </c>
      <c r="G216" s="182">
        <v>33.08</v>
      </c>
      <c r="H216" s="182">
        <v>26.74</v>
      </c>
      <c r="I216" s="182">
        <v>31.9</v>
      </c>
      <c r="J216" s="76"/>
      <c r="K216" s="75"/>
      <c r="L216" s="75">
        <v>284.04000000000002</v>
      </c>
      <c r="M216" s="77"/>
      <c r="N216" s="78">
        <v>37.74</v>
      </c>
      <c r="O216" s="78">
        <v>321.78000000000003</v>
      </c>
      <c r="P216" s="3">
        <v>212</v>
      </c>
      <c r="Q216" s="4"/>
      <c r="R216" s="193"/>
    </row>
    <row r="217" spans="1:18" x14ac:dyDescent="0.25">
      <c r="A217" s="73">
        <v>1336612530</v>
      </c>
      <c r="B217" s="74" t="s">
        <v>354</v>
      </c>
      <c r="C217" s="75">
        <v>285.3</v>
      </c>
      <c r="D217" s="181">
        <v>1.3012999999999999</v>
      </c>
      <c r="E217" s="182">
        <v>39.86</v>
      </c>
      <c r="F217" s="182">
        <v>157.01</v>
      </c>
      <c r="G217" s="182">
        <v>28.48</v>
      </c>
      <c r="H217" s="182">
        <v>26.74</v>
      </c>
      <c r="I217" s="182">
        <v>31.9</v>
      </c>
      <c r="J217" s="76"/>
      <c r="K217" s="75"/>
      <c r="L217" s="75">
        <v>285.3</v>
      </c>
      <c r="M217" s="77"/>
      <c r="N217" s="78">
        <v>37.74</v>
      </c>
      <c r="O217" s="78">
        <v>323.04000000000002</v>
      </c>
      <c r="P217" s="3">
        <v>213</v>
      </c>
      <c r="Q217" s="4"/>
      <c r="R217" s="193"/>
    </row>
    <row r="218" spans="1:18" x14ac:dyDescent="0.25">
      <c r="A218" s="73">
        <v>1427248905</v>
      </c>
      <c r="B218" s="74" t="s">
        <v>355</v>
      </c>
      <c r="C218" s="75">
        <v>265.89</v>
      </c>
      <c r="D218" s="181">
        <v>1.3241000000000001</v>
      </c>
      <c r="E218" s="182">
        <v>39.86</v>
      </c>
      <c r="F218" s="182">
        <v>161.22</v>
      </c>
      <c r="G218" s="182">
        <v>24.18</v>
      </c>
      <c r="H218" s="182">
        <v>8.64</v>
      </c>
      <c r="I218" s="182">
        <v>31.9</v>
      </c>
      <c r="J218" s="76"/>
      <c r="K218" s="75"/>
      <c r="L218" s="75">
        <v>265.89</v>
      </c>
      <c r="M218" s="77"/>
      <c r="N218" s="78">
        <v>37.74</v>
      </c>
      <c r="O218" s="78">
        <v>303.63</v>
      </c>
      <c r="P218" s="3">
        <v>214</v>
      </c>
      <c r="Q218" s="4"/>
      <c r="R218" s="193"/>
    </row>
    <row r="219" spans="1:18" x14ac:dyDescent="0.25">
      <c r="A219" s="73">
        <v>1609976901</v>
      </c>
      <c r="B219" s="74" t="s">
        <v>356</v>
      </c>
      <c r="C219" s="75">
        <v>281.38</v>
      </c>
      <c r="D219" s="181">
        <v>1.3035000000000001</v>
      </c>
      <c r="E219" s="182">
        <v>39.86</v>
      </c>
      <c r="F219" s="182">
        <v>155.51999999999998</v>
      </c>
      <c r="G219" s="182">
        <v>22.76</v>
      </c>
      <c r="H219" s="182">
        <v>26.74</v>
      </c>
      <c r="I219" s="182">
        <v>31.9</v>
      </c>
      <c r="J219" s="76"/>
      <c r="K219" s="75"/>
      <c r="L219" s="75">
        <v>281.38</v>
      </c>
      <c r="M219" s="77"/>
      <c r="N219" s="78">
        <v>37.74</v>
      </c>
      <c r="O219" s="78">
        <v>319.12</v>
      </c>
      <c r="P219" s="3">
        <v>215</v>
      </c>
      <c r="Q219" s="4"/>
      <c r="R219" s="193"/>
    </row>
    <row r="220" spans="1:18" x14ac:dyDescent="0.25">
      <c r="A220" s="73">
        <v>1235239567</v>
      </c>
      <c r="B220" s="74" t="s">
        <v>357</v>
      </c>
      <c r="C220" s="75">
        <v>271.67999999999995</v>
      </c>
      <c r="D220" s="181">
        <v>1.3829</v>
      </c>
      <c r="E220" s="182">
        <v>39.86</v>
      </c>
      <c r="F220" s="182">
        <v>165.13</v>
      </c>
      <c r="G220" s="182">
        <v>8.1</v>
      </c>
      <c r="H220" s="182">
        <v>26.74</v>
      </c>
      <c r="I220" s="182">
        <v>31.9</v>
      </c>
      <c r="J220" s="76"/>
      <c r="K220" s="75"/>
      <c r="L220" s="75">
        <v>271.73</v>
      </c>
      <c r="M220" s="77"/>
      <c r="N220" s="78">
        <v>37.74</v>
      </c>
      <c r="O220" s="78">
        <v>309.47000000000003</v>
      </c>
      <c r="P220" s="3">
        <v>216</v>
      </c>
      <c r="Q220" s="4"/>
      <c r="R220" s="193"/>
    </row>
    <row r="221" spans="1:18" x14ac:dyDescent="0.25">
      <c r="A221" s="73">
        <v>1841390002</v>
      </c>
      <c r="B221" s="74" t="s">
        <v>358</v>
      </c>
      <c r="C221" s="75">
        <v>273.33000000000004</v>
      </c>
      <c r="D221" s="181">
        <v>1.3026</v>
      </c>
      <c r="E221" s="182">
        <v>39.86</v>
      </c>
      <c r="F221" s="182">
        <v>160.88</v>
      </c>
      <c r="G221" s="182">
        <v>11.61</v>
      </c>
      <c r="H221" s="182">
        <v>26.74</v>
      </c>
      <c r="I221" s="182">
        <v>31.9</v>
      </c>
      <c r="J221" s="76"/>
      <c r="K221" s="75"/>
      <c r="L221" s="75">
        <v>273.33000000000004</v>
      </c>
      <c r="M221" s="77"/>
      <c r="N221" s="78">
        <v>37.74</v>
      </c>
      <c r="O221" s="78">
        <v>311.07000000000005</v>
      </c>
      <c r="P221" s="3">
        <v>217</v>
      </c>
      <c r="Q221" s="4"/>
      <c r="R221" s="193"/>
    </row>
    <row r="222" spans="1:18" x14ac:dyDescent="0.25">
      <c r="A222" s="73">
        <v>1194825448</v>
      </c>
      <c r="B222" s="74" t="s">
        <v>359</v>
      </c>
      <c r="C222" s="75">
        <v>271.60999999999996</v>
      </c>
      <c r="D222" s="181">
        <v>1.3158000000000001</v>
      </c>
      <c r="E222" s="182">
        <v>39.86</v>
      </c>
      <c r="F222" s="182">
        <v>159.05999999999997</v>
      </c>
      <c r="G222" s="182">
        <v>8.2799999999999994</v>
      </c>
      <c r="H222" s="182">
        <v>26.74</v>
      </c>
      <c r="I222" s="182">
        <v>31.9</v>
      </c>
      <c r="J222" s="76"/>
      <c r="K222" s="75"/>
      <c r="L222" s="75">
        <v>271.60999999999996</v>
      </c>
      <c r="M222" s="77"/>
      <c r="N222" s="78">
        <v>37.74</v>
      </c>
      <c r="O222" s="78">
        <v>309.34999999999997</v>
      </c>
      <c r="P222" s="3">
        <v>218</v>
      </c>
      <c r="Q222" s="4"/>
      <c r="R222" s="193"/>
    </row>
    <row r="223" spans="1:18" x14ac:dyDescent="0.25">
      <c r="A223" s="73">
        <v>1275823155</v>
      </c>
      <c r="B223" s="74" t="s">
        <v>360</v>
      </c>
      <c r="C223" s="75">
        <v>282.76000000000005</v>
      </c>
      <c r="D223" s="181">
        <v>1.3551</v>
      </c>
      <c r="E223" s="182">
        <v>39.86</v>
      </c>
      <c r="F223" s="182">
        <v>162.66</v>
      </c>
      <c r="G223" s="182">
        <v>26.04</v>
      </c>
      <c r="H223" s="182">
        <v>26.74</v>
      </c>
      <c r="I223" s="182">
        <v>31.9</v>
      </c>
      <c r="J223" s="76"/>
      <c r="K223" s="75"/>
      <c r="L223" s="75">
        <v>287.2</v>
      </c>
      <c r="M223" s="77"/>
      <c r="N223" s="78">
        <v>37.74</v>
      </c>
      <c r="O223" s="78">
        <v>324.94</v>
      </c>
      <c r="P223" s="3">
        <v>219</v>
      </c>
      <c r="Q223" s="4"/>
      <c r="R223" s="193"/>
    </row>
    <row r="224" spans="1:18" x14ac:dyDescent="0.25">
      <c r="A224" s="73">
        <v>1265816185</v>
      </c>
      <c r="B224" s="74" t="s">
        <v>361</v>
      </c>
      <c r="C224" s="75">
        <v>274.73</v>
      </c>
      <c r="D224" s="181">
        <v>1.3254999999999999</v>
      </c>
      <c r="E224" s="182">
        <v>39.86</v>
      </c>
      <c r="F224" s="182">
        <v>162.14999999999998</v>
      </c>
      <c r="G224" s="182">
        <v>13.55</v>
      </c>
      <c r="H224" s="182">
        <v>26.74</v>
      </c>
      <c r="I224" s="182">
        <v>31.9</v>
      </c>
      <c r="J224" s="76"/>
      <c r="K224" s="75"/>
      <c r="L224" s="75">
        <v>274.73</v>
      </c>
      <c r="M224" s="77"/>
      <c r="N224" s="78">
        <v>37.74</v>
      </c>
      <c r="O224" s="78">
        <v>312.47000000000003</v>
      </c>
      <c r="P224" s="3">
        <v>220</v>
      </c>
      <c r="Q224" s="4"/>
      <c r="R224" s="193"/>
    </row>
    <row r="225" spans="1:18" x14ac:dyDescent="0.25">
      <c r="A225" s="73">
        <v>1326519844</v>
      </c>
      <c r="B225" s="74" t="s">
        <v>362</v>
      </c>
      <c r="C225" s="75">
        <v>285.12</v>
      </c>
      <c r="D225" s="181">
        <v>1.3206</v>
      </c>
      <c r="E225" s="182">
        <v>39.86</v>
      </c>
      <c r="F225" s="182">
        <v>160.20999999999998</v>
      </c>
      <c r="G225" s="182">
        <v>23.52</v>
      </c>
      <c r="H225" s="182">
        <v>26.74</v>
      </c>
      <c r="I225" s="182">
        <v>31.9</v>
      </c>
      <c r="J225" s="76"/>
      <c r="K225" s="75"/>
      <c r="L225" s="75">
        <v>285.12</v>
      </c>
      <c r="M225" s="77"/>
      <c r="N225" s="78">
        <v>37.74</v>
      </c>
      <c r="O225" s="78">
        <v>322.86</v>
      </c>
      <c r="P225" s="3">
        <v>221</v>
      </c>
      <c r="Q225" s="4"/>
      <c r="R225" s="193"/>
    </row>
    <row r="226" spans="1:18" x14ac:dyDescent="0.25">
      <c r="A226" s="73">
        <v>1396202024</v>
      </c>
      <c r="B226" s="74" t="s">
        <v>363</v>
      </c>
      <c r="C226" s="75">
        <v>263.01</v>
      </c>
      <c r="D226" s="181">
        <v>1.0567</v>
      </c>
      <c r="E226" s="182">
        <v>39.86</v>
      </c>
      <c r="F226" s="182">
        <v>137.95999999999998</v>
      </c>
      <c r="G226" s="182">
        <v>17.399999999999999</v>
      </c>
      <c r="H226" s="182">
        <v>26.74</v>
      </c>
      <c r="I226" s="182">
        <v>31.9</v>
      </c>
      <c r="J226" s="76"/>
      <c r="K226" s="75"/>
      <c r="L226" s="75">
        <v>263.01</v>
      </c>
      <c r="M226" s="77"/>
      <c r="N226" s="78">
        <v>37.74</v>
      </c>
      <c r="O226" s="78">
        <v>300.75</v>
      </c>
      <c r="P226" s="3">
        <v>222</v>
      </c>
      <c r="Q226" s="4"/>
      <c r="R226" s="193"/>
    </row>
    <row r="227" spans="1:18" x14ac:dyDescent="0.25">
      <c r="A227" s="73">
        <v>1114480233</v>
      </c>
      <c r="B227" s="74" t="s">
        <v>364</v>
      </c>
      <c r="C227" s="75">
        <v>260.31</v>
      </c>
      <c r="D227" s="181">
        <v>1.169</v>
      </c>
      <c r="E227" s="182">
        <v>39.86</v>
      </c>
      <c r="F227" s="182">
        <v>147.76999999999998</v>
      </c>
      <c r="G227" s="182">
        <v>16.38</v>
      </c>
      <c r="H227" s="182">
        <v>26.74</v>
      </c>
      <c r="I227" s="182">
        <v>31.9</v>
      </c>
      <c r="J227" s="76"/>
      <c r="K227" s="75"/>
      <c r="L227" s="75">
        <v>262.64999999999998</v>
      </c>
      <c r="M227" s="77"/>
      <c r="N227" s="78">
        <v>37.74</v>
      </c>
      <c r="O227" s="78">
        <v>300.39</v>
      </c>
      <c r="P227" s="3">
        <v>223</v>
      </c>
      <c r="Q227" s="4"/>
      <c r="R227" s="193"/>
    </row>
    <row r="228" spans="1:18" x14ac:dyDescent="0.25">
      <c r="A228" s="73">
        <v>1902462401</v>
      </c>
      <c r="B228" s="74" t="s">
        <v>365</v>
      </c>
      <c r="C228" s="75">
        <v>264.14999999999998</v>
      </c>
      <c r="D228" s="181">
        <v>1.0935999999999999</v>
      </c>
      <c r="E228" s="182">
        <v>39.86</v>
      </c>
      <c r="F228" s="182">
        <v>139.79</v>
      </c>
      <c r="G228" s="182">
        <v>17.72</v>
      </c>
      <c r="H228" s="182">
        <v>26.74</v>
      </c>
      <c r="I228" s="182">
        <v>31.9</v>
      </c>
      <c r="J228" s="76"/>
      <c r="K228" s="75"/>
      <c r="L228" s="75">
        <v>264.14999999999998</v>
      </c>
      <c r="M228" s="77"/>
      <c r="N228" s="78">
        <v>37.74</v>
      </c>
      <c r="O228" s="78">
        <v>301.89</v>
      </c>
      <c r="P228" s="3">
        <v>224</v>
      </c>
      <c r="Q228" s="4"/>
      <c r="R228" s="193"/>
    </row>
    <row r="229" spans="1:18" x14ac:dyDescent="0.25">
      <c r="A229" s="73">
        <v>1962052498</v>
      </c>
      <c r="B229" s="74" t="s">
        <v>366</v>
      </c>
      <c r="C229" s="75">
        <v>243.95000000000005</v>
      </c>
      <c r="D229" s="181">
        <v>1.0044999999999999</v>
      </c>
      <c r="E229" s="182">
        <v>39.86</v>
      </c>
      <c r="F229" s="182">
        <v>133.72999999999999</v>
      </c>
      <c r="G229" s="182">
        <v>8.0500000000000007</v>
      </c>
      <c r="H229" s="182">
        <v>26.74</v>
      </c>
      <c r="I229" s="182">
        <v>31.9</v>
      </c>
      <c r="J229" s="76"/>
      <c r="K229" s="75"/>
      <c r="L229" s="75">
        <v>243.95000000000005</v>
      </c>
      <c r="M229" s="77"/>
      <c r="N229" s="78">
        <v>37.74</v>
      </c>
      <c r="O229" s="78">
        <v>281.69000000000005</v>
      </c>
      <c r="P229" s="3">
        <v>225</v>
      </c>
      <c r="Q229" s="4"/>
      <c r="R229" s="193"/>
    </row>
    <row r="230" spans="1:18" x14ac:dyDescent="0.25">
      <c r="A230" s="73">
        <v>1225688757</v>
      </c>
      <c r="B230" s="74" t="s">
        <v>367</v>
      </c>
      <c r="C230" s="75">
        <v>255.89</v>
      </c>
      <c r="D230" s="181">
        <v>1.1839999999999999</v>
      </c>
      <c r="E230" s="182">
        <v>39.86</v>
      </c>
      <c r="F230" s="182">
        <v>147.88</v>
      </c>
      <c r="G230" s="182">
        <v>7.19</v>
      </c>
      <c r="H230" s="182">
        <v>26.74</v>
      </c>
      <c r="I230" s="182">
        <v>31.9</v>
      </c>
      <c r="J230" s="76"/>
      <c r="K230" s="75"/>
      <c r="L230" s="75">
        <v>255.89</v>
      </c>
      <c r="M230" s="77"/>
      <c r="N230" s="78">
        <v>37.74</v>
      </c>
      <c r="O230" s="78">
        <v>293.63</v>
      </c>
      <c r="P230" s="3">
        <v>226</v>
      </c>
      <c r="Q230" s="4"/>
      <c r="R230" s="193"/>
    </row>
    <row r="231" spans="1:18" x14ac:dyDescent="0.25">
      <c r="A231" s="73">
        <v>1851941389</v>
      </c>
      <c r="B231" s="74" t="s">
        <v>368</v>
      </c>
      <c r="C231" s="75">
        <v>242.96</v>
      </c>
      <c r="D231" s="181">
        <v>1.0308999999999999</v>
      </c>
      <c r="E231" s="182">
        <v>39.86</v>
      </c>
      <c r="F231" s="182">
        <v>135.89999999999998</v>
      </c>
      <c r="G231" s="182">
        <v>8.1</v>
      </c>
      <c r="H231" s="182">
        <v>26.74</v>
      </c>
      <c r="I231" s="182">
        <v>31.9</v>
      </c>
      <c r="J231" s="76"/>
      <c r="K231" s="75"/>
      <c r="L231" s="75">
        <v>242.96</v>
      </c>
      <c r="M231" s="77"/>
      <c r="N231" s="78">
        <v>37.74</v>
      </c>
      <c r="O231" s="78">
        <v>280.7</v>
      </c>
      <c r="P231" s="3">
        <v>227</v>
      </c>
      <c r="Q231" s="4"/>
      <c r="R231" s="193"/>
    </row>
    <row r="232" spans="1:18" x14ac:dyDescent="0.25">
      <c r="A232" s="73">
        <v>1194779504</v>
      </c>
      <c r="B232" s="74" t="s">
        <v>369</v>
      </c>
      <c r="C232" s="75">
        <v>263.51</v>
      </c>
      <c r="D232" s="181">
        <v>1.232</v>
      </c>
      <c r="E232" s="182">
        <v>39.86</v>
      </c>
      <c r="F232" s="182">
        <v>152.42999999999998</v>
      </c>
      <c r="G232" s="182">
        <v>12.2</v>
      </c>
      <c r="H232" s="182">
        <v>26.74</v>
      </c>
      <c r="I232" s="182">
        <v>31.9</v>
      </c>
      <c r="J232" s="76"/>
      <c r="K232" s="75"/>
      <c r="L232" s="75">
        <v>263.51</v>
      </c>
      <c r="M232" s="77"/>
      <c r="N232" s="78">
        <v>37.74</v>
      </c>
      <c r="O232" s="78">
        <v>301.25</v>
      </c>
      <c r="P232" s="3">
        <v>228</v>
      </c>
      <c r="Q232" s="4"/>
      <c r="R232" s="193"/>
    </row>
    <row r="233" spans="1:18" x14ac:dyDescent="0.25">
      <c r="A233" s="73">
        <v>1538137468</v>
      </c>
      <c r="B233" s="74" t="s">
        <v>370</v>
      </c>
      <c r="C233" s="75">
        <v>244.41000000000003</v>
      </c>
      <c r="D233" s="181">
        <v>1.0301</v>
      </c>
      <c r="E233" s="182">
        <v>39.86</v>
      </c>
      <c r="F233" s="182">
        <v>134.39999999999998</v>
      </c>
      <c r="G233" s="182">
        <v>11.3</v>
      </c>
      <c r="H233" s="182">
        <v>26.74</v>
      </c>
      <c r="I233" s="182">
        <v>31.9</v>
      </c>
      <c r="J233" s="76"/>
      <c r="K233" s="75"/>
      <c r="L233" s="75">
        <v>244.41000000000003</v>
      </c>
      <c r="M233" s="77"/>
      <c r="N233" s="78">
        <v>37.74</v>
      </c>
      <c r="O233" s="78">
        <v>282.15000000000003</v>
      </c>
      <c r="P233" s="3">
        <v>229</v>
      </c>
      <c r="Q233" s="4"/>
      <c r="R233" s="193"/>
    </row>
    <row r="234" spans="1:18" x14ac:dyDescent="0.25">
      <c r="A234" s="73">
        <v>1780693663</v>
      </c>
      <c r="B234" s="74" t="s">
        <v>371</v>
      </c>
      <c r="C234" s="75">
        <v>220.41999999999996</v>
      </c>
      <c r="D234" s="181">
        <v>0.8327</v>
      </c>
      <c r="E234" s="182">
        <v>39.86</v>
      </c>
      <c r="F234" s="182">
        <v>119.31</v>
      </c>
      <c r="G234" s="182">
        <v>16.079999999999998</v>
      </c>
      <c r="H234" s="182">
        <v>0</v>
      </c>
      <c r="I234" s="182">
        <v>31.9</v>
      </c>
      <c r="J234" s="76"/>
      <c r="K234" s="75"/>
      <c r="L234" s="75">
        <v>220.41999999999996</v>
      </c>
      <c r="M234" s="77"/>
      <c r="N234" s="78">
        <v>37.74</v>
      </c>
      <c r="O234" s="78">
        <v>258.15999999999997</v>
      </c>
      <c r="P234" s="3">
        <v>230</v>
      </c>
      <c r="Q234" s="4"/>
      <c r="R234" s="193"/>
    </row>
    <row r="235" spans="1:18" x14ac:dyDescent="0.25">
      <c r="A235" s="73">
        <v>1407966864</v>
      </c>
      <c r="B235" s="74" t="s">
        <v>372</v>
      </c>
      <c r="C235" s="75">
        <v>240.13</v>
      </c>
      <c r="D235" s="181">
        <v>0.96709999999999996</v>
      </c>
      <c r="E235" s="182">
        <v>39.86</v>
      </c>
      <c r="F235" s="182">
        <v>130.13</v>
      </c>
      <c r="G235" s="182">
        <v>16.87</v>
      </c>
      <c r="H235" s="182">
        <v>26.74</v>
      </c>
      <c r="I235" s="182">
        <v>31.9</v>
      </c>
      <c r="J235" s="76"/>
      <c r="K235" s="75"/>
      <c r="L235" s="75">
        <v>245.5</v>
      </c>
      <c r="M235" s="77"/>
      <c r="N235" s="78">
        <v>37.74</v>
      </c>
      <c r="O235" s="78">
        <v>283.24</v>
      </c>
      <c r="P235" s="3">
        <v>231</v>
      </c>
      <c r="Q235" s="4"/>
      <c r="R235" s="193"/>
    </row>
    <row r="236" spans="1:18" x14ac:dyDescent="0.25">
      <c r="A236" s="73">
        <v>1942583752</v>
      </c>
      <c r="B236" s="74" t="s">
        <v>373</v>
      </c>
      <c r="C236" s="75">
        <v>261.35999999999996</v>
      </c>
      <c r="D236" s="181">
        <v>0.95289999999999997</v>
      </c>
      <c r="E236" s="182">
        <v>39.86</v>
      </c>
      <c r="F236" s="182">
        <v>129.91999999999999</v>
      </c>
      <c r="G236" s="182">
        <v>22.34</v>
      </c>
      <c r="H236" s="182">
        <v>26.74</v>
      </c>
      <c r="I236" s="182">
        <v>31.9</v>
      </c>
      <c r="J236" s="76"/>
      <c r="K236" s="75"/>
      <c r="L236" s="75">
        <v>261.35999999999996</v>
      </c>
      <c r="M236" s="77"/>
      <c r="N236" s="78">
        <v>37.74</v>
      </c>
      <c r="O236" s="78">
        <v>299.09999999999997</v>
      </c>
      <c r="P236" s="3">
        <v>232</v>
      </c>
      <c r="Q236" s="4"/>
      <c r="R236" s="193"/>
    </row>
    <row r="237" spans="1:18" x14ac:dyDescent="0.25">
      <c r="A237" s="73">
        <v>1144646274</v>
      </c>
      <c r="B237" s="74" t="s">
        <v>374</v>
      </c>
      <c r="C237" s="75">
        <v>261.43</v>
      </c>
      <c r="D237" s="181">
        <v>1.1926000000000001</v>
      </c>
      <c r="E237" s="182">
        <v>39.86</v>
      </c>
      <c r="F237" s="182">
        <v>147.64999999999998</v>
      </c>
      <c r="G237" s="182">
        <v>17.059999999999999</v>
      </c>
      <c r="H237" s="182">
        <v>26.74</v>
      </c>
      <c r="I237" s="182">
        <v>31.9</v>
      </c>
      <c r="J237" s="76"/>
      <c r="K237" s="75"/>
      <c r="L237" s="75">
        <v>263.20999999999998</v>
      </c>
      <c r="M237" s="77"/>
      <c r="N237" s="78">
        <v>37.74</v>
      </c>
      <c r="O237" s="78">
        <v>300.95</v>
      </c>
      <c r="P237" s="3">
        <v>233</v>
      </c>
      <c r="Q237" s="4"/>
      <c r="R237" s="193"/>
    </row>
    <row r="238" spans="1:18" x14ac:dyDescent="0.25">
      <c r="A238" s="73">
        <v>1124015458</v>
      </c>
      <c r="B238" s="74" t="s">
        <v>375</v>
      </c>
      <c r="C238" s="75">
        <v>243.65</v>
      </c>
      <c r="D238" s="181">
        <v>1.1232</v>
      </c>
      <c r="E238" s="182">
        <v>39.86</v>
      </c>
      <c r="F238" s="182">
        <v>143.94</v>
      </c>
      <c r="G238" s="182">
        <v>32.159999999999997</v>
      </c>
      <c r="H238" s="182">
        <v>0</v>
      </c>
      <c r="I238" s="182">
        <v>31.9</v>
      </c>
      <c r="J238" s="76"/>
      <c r="K238" s="75"/>
      <c r="L238" s="75">
        <v>247.86</v>
      </c>
      <c r="M238" s="77"/>
      <c r="N238" s="78">
        <v>37.74</v>
      </c>
      <c r="O238" s="78">
        <v>285.60000000000002</v>
      </c>
      <c r="P238" s="3">
        <v>234</v>
      </c>
      <c r="Q238" s="4"/>
      <c r="R238" s="193"/>
    </row>
    <row r="239" spans="1:18" x14ac:dyDescent="0.25">
      <c r="A239" s="73">
        <v>1982640785</v>
      </c>
      <c r="B239" s="74" t="s">
        <v>376</v>
      </c>
      <c r="C239" s="75">
        <v>260.36</v>
      </c>
      <c r="D239" s="181">
        <v>1.2888999999999999</v>
      </c>
      <c r="E239" s="182">
        <v>39.86</v>
      </c>
      <c r="F239" s="182">
        <v>156.72</v>
      </c>
      <c r="G239" s="182">
        <v>8.27</v>
      </c>
      <c r="H239" s="182">
        <v>26.74</v>
      </c>
      <c r="I239" s="182">
        <v>31.9</v>
      </c>
      <c r="J239" s="76"/>
      <c r="K239" s="75"/>
      <c r="L239" s="75">
        <v>263.49</v>
      </c>
      <c r="M239" s="77"/>
      <c r="N239" s="78">
        <v>37.74</v>
      </c>
      <c r="O239" s="78">
        <v>301.23</v>
      </c>
      <c r="P239" s="3">
        <v>235</v>
      </c>
      <c r="Q239" s="4"/>
      <c r="R239" s="193"/>
    </row>
    <row r="240" spans="1:18" x14ac:dyDescent="0.25">
      <c r="A240" s="73">
        <v>1922456664</v>
      </c>
      <c r="B240" s="74" t="s">
        <v>377</v>
      </c>
      <c r="C240" s="75">
        <v>275.52</v>
      </c>
      <c r="D240" s="181">
        <v>1.3028999999999999</v>
      </c>
      <c r="E240" s="182">
        <v>39.86</v>
      </c>
      <c r="F240" s="182">
        <v>159.38</v>
      </c>
      <c r="G240" s="182">
        <v>14.08</v>
      </c>
      <c r="H240" s="182">
        <v>26.74</v>
      </c>
      <c r="I240" s="182">
        <v>31.9</v>
      </c>
      <c r="J240" s="76"/>
      <c r="K240" s="75"/>
      <c r="L240" s="75">
        <v>275.52</v>
      </c>
      <c r="M240" s="77"/>
      <c r="N240" s="78">
        <v>37.74</v>
      </c>
      <c r="O240" s="78">
        <v>313.26</v>
      </c>
      <c r="P240" s="3">
        <v>236</v>
      </c>
      <c r="Q240" s="4"/>
      <c r="R240" s="193"/>
    </row>
    <row r="241" spans="1:18" x14ac:dyDescent="0.25">
      <c r="A241" s="73">
        <v>1811923931</v>
      </c>
      <c r="B241" s="74" t="s">
        <v>378</v>
      </c>
      <c r="C241" s="75">
        <v>271.53000000000003</v>
      </c>
      <c r="D241" s="181">
        <v>1.3186</v>
      </c>
      <c r="E241" s="182">
        <v>39.86</v>
      </c>
      <c r="F241" s="182">
        <v>157.97999999999999</v>
      </c>
      <c r="G241" s="182">
        <v>18.38</v>
      </c>
      <c r="H241" s="182">
        <v>26.74</v>
      </c>
      <c r="I241" s="182">
        <v>31.9</v>
      </c>
      <c r="J241" s="76"/>
      <c r="K241" s="75"/>
      <c r="L241" s="75">
        <v>274.86</v>
      </c>
      <c r="M241" s="77"/>
      <c r="N241" s="78">
        <v>37.74</v>
      </c>
      <c r="O241" s="78">
        <v>312.60000000000002</v>
      </c>
      <c r="P241" s="3">
        <v>237</v>
      </c>
      <c r="Q241" s="4"/>
      <c r="R241" s="193"/>
    </row>
    <row r="242" spans="1:18" x14ac:dyDescent="0.25">
      <c r="A242" s="73">
        <v>1073034138</v>
      </c>
      <c r="B242" s="74" t="s">
        <v>379</v>
      </c>
      <c r="C242" s="75">
        <v>249.29</v>
      </c>
      <c r="D242" s="181">
        <v>1.2298</v>
      </c>
      <c r="E242" s="182">
        <v>39.86</v>
      </c>
      <c r="F242" s="182">
        <v>152.57999999999998</v>
      </c>
      <c r="G242" s="182">
        <v>30.29</v>
      </c>
      <c r="H242" s="182">
        <v>0</v>
      </c>
      <c r="I242" s="182">
        <v>31.9</v>
      </c>
      <c r="J242" s="76"/>
      <c r="K242" s="75"/>
      <c r="L242" s="75">
        <v>254.63</v>
      </c>
      <c r="M242" s="77"/>
      <c r="N242" s="78">
        <v>37.74</v>
      </c>
      <c r="O242" s="78">
        <v>292.37</v>
      </c>
      <c r="P242" s="3">
        <v>238</v>
      </c>
      <c r="Q242" s="4"/>
      <c r="R242" s="193"/>
    </row>
    <row r="243" spans="1:18" x14ac:dyDescent="0.25">
      <c r="A243" s="73">
        <v>1720085293</v>
      </c>
      <c r="B243" s="74" t="s">
        <v>524</v>
      </c>
      <c r="C243" s="75">
        <v>262.70000000000005</v>
      </c>
      <c r="D243" s="181">
        <v>1.2010000000000001</v>
      </c>
      <c r="E243" s="182">
        <v>39.86</v>
      </c>
      <c r="F243" s="182">
        <v>151.16999999999999</v>
      </c>
      <c r="G243" s="182">
        <v>8.74</v>
      </c>
      <c r="H243" s="182">
        <v>26.74</v>
      </c>
      <c r="I243" s="182">
        <v>31.9</v>
      </c>
      <c r="J243" s="76"/>
      <c r="K243" s="75"/>
      <c r="L243" s="75">
        <v>262.70000000000005</v>
      </c>
      <c r="M243" s="77"/>
      <c r="N243" s="78">
        <v>37.74</v>
      </c>
      <c r="O243" s="78">
        <v>300.44000000000005</v>
      </c>
      <c r="P243" s="3">
        <v>239</v>
      </c>
      <c r="Q243" s="4"/>
      <c r="R243" s="193"/>
    </row>
    <row r="244" spans="1:18" x14ac:dyDescent="0.25">
      <c r="A244" s="73">
        <v>1962447565</v>
      </c>
      <c r="B244" s="74" t="s">
        <v>380</v>
      </c>
      <c r="C244" s="75">
        <v>237.14</v>
      </c>
      <c r="D244" s="181">
        <v>1.1944999999999999</v>
      </c>
      <c r="E244" s="182">
        <v>39.86</v>
      </c>
      <c r="F244" s="182">
        <v>148.47999999999999</v>
      </c>
      <c r="G244" s="182">
        <v>10.49</v>
      </c>
      <c r="H244" s="182">
        <v>8.64</v>
      </c>
      <c r="I244" s="182">
        <v>31.9</v>
      </c>
      <c r="J244" s="76"/>
      <c r="K244" s="75"/>
      <c r="L244" s="75">
        <v>239.37</v>
      </c>
      <c r="M244" s="77"/>
      <c r="N244" s="78">
        <v>37.74</v>
      </c>
      <c r="O244" s="78">
        <v>277.11</v>
      </c>
      <c r="P244" s="3">
        <v>240</v>
      </c>
      <c r="Q244" s="4"/>
      <c r="R244" s="193"/>
    </row>
    <row r="245" spans="1:18" x14ac:dyDescent="0.25">
      <c r="A245" s="73">
        <v>1720166838</v>
      </c>
      <c r="B245" s="74" t="s">
        <v>381</v>
      </c>
      <c r="C245" s="75">
        <v>263</v>
      </c>
      <c r="D245" s="181">
        <v>1.2576000000000001</v>
      </c>
      <c r="E245" s="182">
        <v>39.86</v>
      </c>
      <c r="F245" s="182">
        <v>155.20999999999998</v>
      </c>
      <c r="G245" s="182">
        <v>13.13</v>
      </c>
      <c r="H245" s="182">
        <v>26.74</v>
      </c>
      <c r="I245" s="182">
        <v>31.9</v>
      </c>
      <c r="J245" s="76"/>
      <c r="K245" s="75"/>
      <c r="L245" s="75">
        <v>266.83999999999997</v>
      </c>
      <c r="M245" s="77"/>
      <c r="N245" s="78">
        <v>37.74</v>
      </c>
      <c r="O245" s="78">
        <v>304.58</v>
      </c>
      <c r="P245" s="3">
        <v>241</v>
      </c>
      <c r="Q245" s="4"/>
      <c r="R245" s="193"/>
    </row>
    <row r="246" spans="1:18" x14ac:dyDescent="0.25">
      <c r="A246" s="73">
        <v>1518112036</v>
      </c>
      <c r="B246" s="74" t="s">
        <v>382</v>
      </c>
      <c r="C246" s="75">
        <v>261.23</v>
      </c>
      <c r="D246" s="181">
        <v>1.0656000000000001</v>
      </c>
      <c r="E246" s="182">
        <v>39.86</v>
      </c>
      <c r="F246" s="182">
        <v>139.41</v>
      </c>
      <c r="G246" s="182">
        <v>23.12</v>
      </c>
      <c r="H246" s="182">
        <v>26.74</v>
      </c>
      <c r="I246" s="182">
        <v>31.9</v>
      </c>
      <c r="J246" s="76"/>
      <c r="K246" s="75"/>
      <c r="L246" s="75">
        <v>261.23</v>
      </c>
      <c r="M246" s="77"/>
      <c r="N246" s="78">
        <v>37.74</v>
      </c>
      <c r="O246" s="78">
        <v>298.97000000000003</v>
      </c>
      <c r="P246" s="3">
        <v>242</v>
      </c>
      <c r="Q246" s="4"/>
      <c r="R246" s="193"/>
    </row>
    <row r="247" spans="1:18" x14ac:dyDescent="0.25">
      <c r="A247" s="73">
        <v>1447435722</v>
      </c>
      <c r="B247" s="74" t="s">
        <v>383</v>
      </c>
      <c r="C247" s="75">
        <v>253.8</v>
      </c>
      <c r="D247" s="181">
        <v>1.1224000000000001</v>
      </c>
      <c r="E247" s="182">
        <v>39.86</v>
      </c>
      <c r="F247" s="182">
        <v>144.67999999999998</v>
      </c>
      <c r="G247" s="182">
        <v>23.09</v>
      </c>
      <c r="H247" s="182">
        <v>8.64</v>
      </c>
      <c r="I247" s="182">
        <v>31.9</v>
      </c>
      <c r="J247" s="76"/>
      <c r="K247" s="75"/>
      <c r="L247" s="75">
        <v>253.8</v>
      </c>
      <c r="M247" s="77"/>
      <c r="N247" s="78">
        <v>37.74</v>
      </c>
      <c r="O247" s="78">
        <v>291.54000000000002</v>
      </c>
      <c r="P247" s="3">
        <v>243</v>
      </c>
      <c r="Q247" s="4"/>
      <c r="R247" s="193"/>
    </row>
    <row r="248" spans="1:18" x14ac:dyDescent="0.25">
      <c r="A248" s="73">
        <v>1245287762</v>
      </c>
      <c r="B248" s="74" t="s">
        <v>384</v>
      </c>
      <c r="C248" s="75">
        <v>272.53999999999996</v>
      </c>
      <c r="D248" s="181">
        <v>1.2533000000000001</v>
      </c>
      <c r="E248" s="182">
        <v>39.86</v>
      </c>
      <c r="F248" s="182">
        <v>153.33999999999997</v>
      </c>
      <c r="G248" s="182">
        <v>21.1</v>
      </c>
      <c r="H248" s="182">
        <v>26.74</v>
      </c>
      <c r="I248" s="182">
        <v>31.9</v>
      </c>
      <c r="J248" s="76"/>
      <c r="K248" s="75"/>
      <c r="L248" s="75">
        <v>272.94</v>
      </c>
      <c r="M248" s="77"/>
      <c r="N248" s="78">
        <v>37.74</v>
      </c>
      <c r="O248" s="78">
        <v>310.68</v>
      </c>
      <c r="P248" s="3">
        <v>244</v>
      </c>
      <c r="Q248" s="4"/>
      <c r="R248" s="193"/>
    </row>
    <row r="249" spans="1:18" x14ac:dyDescent="0.25">
      <c r="A249" s="73">
        <v>1134175524</v>
      </c>
      <c r="B249" s="74" t="s">
        <v>385</v>
      </c>
      <c r="C249" s="75">
        <v>249.47</v>
      </c>
      <c r="D249" s="181">
        <v>1.1445000000000001</v>
      </c>
      <c r="E249" s="182">
        <v>39.86</v>
      </c>
      <c r="F249" s="182">
        <v>144.01999999999998</v>
      </c>
      <c r="G249" s="182">
        <v>8.27</v>
      </c>
      <c r="H249" s="182">
        <v>26.74</v>
      </c>
      <c r="I249" s="182">
        <v>31.9</v>
      </c>
      <c r="J249" s="76"/>
      <c r="K249" s="75"/>
      <c r="L249" s="75">
        <v>250.79</v>
      </c>
      <c r="M249" s="77"/>
      <c r="N249" s="78">
        <v>37.74</v>
      </c>
      <c r="O249" s="78">
        <v>288.52999999999997</v>
      </c>
      <c r="P249" s="3">
        <v>245</v>
      </c>
      <c r="Q249" s="4"/>
      <c r="R249" s="193"/>
    </row>
    <row r="250" spans="1:18" x14ac:dyDescent="0.25">
      <c r="A250" s="73">
        <v>1245285253</v>
      </c>
      <c r="B250" s="74" t="s">
        <v>386</v>
      </c>
      <c r="C250" s="75">
        <v>260.14999999999998</v>
      </c>
      <c r="D250" s="181">
        <v>1.1415999999999999</v>
      </c>
      <c r="E250" s="182">
        <v>39.86</v>
      </c>
      <c r="F250" s="182">
        <v>143.74999999999997</v>
      </c>
      <c r="G250" s="182">
        <v>22.23</v>
      </c>
      <c r="H250" s="182">
        <v>26.74</v>
      </c>
      <c r="I250" s="182">
        <v>31.9</v>
      </c>
      <c r="J250" s="76"/>
      <c r="K250" s="75"/>
      <c r="L250" s="75">
        <v>264.48</v>
      </c>
      <c r="M250" s="77"/>
      <c r="N250" s="78">
        <v>37.74</v>
      </c>
      <c r="O250" s="78">
        <v>302.22000000000003</v>
      </c>
      <c r="P250" s="3">
        <v>246</v>
      </c>
      <c r="Q250" s="4"/>
      <c r="R250" s="193"/>
    </row>
    <row r="251" spans="1:18" x14ac:dyDescent="0.25">
      <c r="A251" s="73">
        <v>1730136250</v>
      </c>
      <c r="B251" s="74" t="s">
        <v>387</v>
      </c>
      <c r="C251" s="75">
        <v>252.21999999999997</v>
      </c>
      <c r="D251" s="181">
        <v>1.1876</v>
      </c>
      <c r="E251" s="182">
        <v>39.86</v>
      </c>
      <c r="F251" s="182">
        <v>149.35999999999999</v>
      </c>
      <c r="G251" s="182">
        <v>21.63</v>
      </c>
      <c r="H251" s="182">
        <v>8.64</v>
      </c>
      <c r="I251" s="182">
        <v>31.9</v>
      </c>
      <c r="J251" s="76"/>
      <c r="K251" s="75"/>
      <c r="L251" s="75">
        <v>252.21999999999997</v>
      </c>
      <c r="M251" s="77"/>
      <c r="N251" s="78">
        <v>37.74</v>
      </c>
      <c r="O251" s="78">
        <v>289.95999999999998</v>
      </c>
      <c r="P251" s="3">
        <v>247</v>
      </c>
      <c r="Q251" s="4"/>
      <c r="R251" s="193"/>
    </row>
    <row r="252" spans="1:18" x14ac:dyDescent="0.25">
      <c r="A252" s="73">
        <v>1033513320</v>
      </c>
      <c r="B252" s="74" t="s">
        <v>388</v>
      </c>
      <c r="C252" s="75">
        <v>259.46999999999997</v>
      </c>
      <c r="D252" s="181">
        <v>1.1655</v>
      </c>
      <c r="E252" s="182">
        <v>39.86</v>
      </c>
      <c r="F252" s="182">
        <v>146.16999999999999</v>
      </c>
      <c r="G252" s="182">
        <v>13.14</v>
      </c>
      <c r="H252" s="182">
        <v>26.74</v>
      </c>
      <c r="I252" s="182">
        <v>31.9</v>
      </c>
      <c r="J252" s="76"/>
      <c r="K252" s="75"/>
      <c r="L252" s="75">
        <v>259.46999999999997</v>
      </c>
      <c r="M252" s="77"/>
      <c r="N252" s="78">
        <v>37.74</v>
      </c>
      <c r="O252" s="78">
        <v>297.20999999999998</v>
      </c>
      <c r="P252" s="3">
        <v>248</v>
      </c>
      <c r="Q252" s="4"/>
      <c r="R252" s="193"/>
    </row>
    <row r="253" spans="1:18" x14ac:dyDescent="0.25">
      <c r="A253" s="73">
        <v>1023358991</v>
      </c>
      <c r="B253" s="74" t="s">
        <v>389</v>
      </c>
      <c r="C253" s="75">
        <v>242.19</v>
      </c>
      <c r="D253" s="181">
        <v>0.99490000000000001</v>
      </c>
      <c r="E253" s="182">
        <v>39.86</v>
      </c>
      <c r="F253" s="182">
        <v>132.97</v>
      </c>
      <c r="G253" s="182">
        <v>12.5</v>
      </c>
      <c r="H253" s="182">
        <v>26.74</v>
      </c>
      <c r="I253" s="182">
        <v>31.9</v>
      </c>
      <c r="J253" s="76"/>
      <c r="K253" s="75"/>
      <c r="L253" s="75">
        <v>243.97</v>
      </c>
      <c r="M253" s="77"/>
      <c r="N253" s="78">
        <v>37.74</v>
      </c>
      <c r="O253" s="78">
        <v>281.70999999999998</v>
      </c>
      <c r="P253" s="3">
        <v>249</v>
      </c>
      <c r="Q253" s="4"/>
      <c r="R253" s="193"/>
    </row>
    <row r="254" spans="1:18" x14ac:dyDescent="0.25">
      <c r="A254" s="73">
        <v>1700833233</v>
      </c>
      <c r="B254" s="74" t="s">
        <v>390</v>
      </c>
      <c r="C254" s="75">
        <v>264.03000000000003</v>
      </c>
      <c r="D254" s="181">
        <v>1.1909000000000001</v>
      </c>
      <c r="E254" s="182">
        <v>39.86</v>
      </c>
      <c r="F254" s="182">
        <v>146.64999999999998</v>
      </c>
      <c r="G254" s="182">
        <v>22.8</v>
      </c>
      <c r="H254" s="182">
        <v>26.74</v>
      </c>
      <c r="I254" s="182">
        <v>31.9</v>
      </c>
      <c r="J254" s="76"/>
      <c r="K254" s="75"/>
      <c r="L254" s="75">
        <v>267.95</v>
      </c>
      <c r="M254" s="77"/>
      <c r="N254" s="78">
        <v>37.74</v>
      </c>
      <c r="O254" s="78">
        <v>305.69</v>
      </c>
      <c r="P254" s="3">
        <v>250</v>
      </c>
      <c r="Q254" s="4"/>
      <c r="R254" s="193"/>
    </row>
    <row r="255" spans="1:18" x14ac:dyDescent="0.25">
      <c r="A255" s="73">
        <v>1851348379</v>
      </c>
      <c r="B255" s="74" t="s">
        <v>391</v>
      </c>
      <c r="C255" s="75">
        <v>254.08</v>
      </c>
      <c r="D255" s="181">
        <v>1.0819000000000001</v>
      </c>
      <c r="E255" s="182">
        <v>39.86</v>
      </c>
      <c r="F255" s="182">
        <v>139.11999999999998</v>
      </c>
      <c r="G255" s="182">
        <v>21.04</v>
      </c>
      <c r="H255" s="182">
        <v>26.74</v>
      </c>
      <c r="I255" s="182">
        <v>31.9</v>
      </c>
      <c r="J255" s="76"/>
      <c r="K255" s="75"/>
      <c r="L255" s="75">
        <v>258.66000000000003</v>
      </c>
      <c r="M255" s="77"/>
      <c r="N255" s="78">
        <v>37.74</v>
      </c>
      <c r="O255" s="78">
        <v>296.40000000000003</v>
      </c>
      <c r="P255" s="3">
        <v>251</v>
      </c>
      <c r="Q255" s="4"/>
      <c r="R255" s="193"/>
    </row>
    <row r="256" spans="1:18" x14ac:dyDescent="0.25">
      <c r="A256" s="73">
        <v>1992106348</v>
      </c>
      <c r="B256" s="74" t="s">
        <v>392</v>
      </c>
      <c r="C256" s="75">
        <v>283.32</v>
      </c>
      <c r="D256" s="181">
        <v>1.3059000000000001</v>
      </c>
      <c r="E256" s="182">
        <v>39.86</v>
      </c>
      <c r="F256" s="182">
        <v>159.01</v>
      </c>
      <c r="G256" s="182">
        <v>34.69</v>
      </c>
      <c r="H256" s="182">
        <v>26.74</v>
      </c>
      <c r="I256" s="182">
        <v>31.9</v>
      </c>
      <c r="J256" s="76"/>
      <c r="K256" s="75"/>
      <c r="L256" s="75">
        <v>292.2</v>
      </c>
      <c r="M256" s="77"/>
      <c r="N256" s="78">
        <v>37.74</v>
      </c>
      <c r="O256" s="78">
        <v>329.94</v>
      </c>
      <c r="P256" s="3">
        <v>252</v>
      </c>
      <c r="Q256" s="4"/>
      <c r="R256" s="193"/>
    </row>
    <row r="257" spans="1:18" x14ac:dyDescent="0.25">
      <c r="A257" s="73">
        <v>1548696834</v>
      </c>
      <c r="B257" s="74" t="s">
        <v>393</v>
      </c>
      <c r="C257" s="75">
        <v>240.46000000000004</v>
      </c>
      <c r="D257" s="181">
        <v>1.1321000000000001</v>
      </c>
      <c r="E257" s="182">
        <v>39.86</v>
      </c>
      <c r="F257" s="182">
        <v>144.5</v>
      </c>
      <c r="G257" s="182">
        <v>22.92</v>
      </c>
      <c r="H257" s="182">
        <v>0</v>
      </c>
      <c r="I257" s="182">
        <v>31.9</v>
      </c>
      <c r="J257" s="76"/>
      <c r="K257" s="75"/>
      <c r="L257" s="75">
        <v>240.46000000000004</v>
      </c>
      <c r="M257" s="77"/>
      <c r="N257" s="78">
        <v>37.74</v>
      </c>
      <c r="O257" s="78">
        <v>278.20000000000005</v>
      </c>
      <c r="P257" s="3">
        <v>253</v>
      </c>
      <c r="Q257" s="4"/>
      <c r="R257" s="193"/>
    </row>
    <row r="258" spans="1:18" x14ac:dyDescent="0.25">
      <c r="A258" s="73">
        <v>1396161527</v>
      </c>
      <c r="B258" s="74" t="s">
        <v>394</v>
      </c>
      <c r="C258" s="75">
        <v>267.75</v>
      </c>
      <c r="D258" s="181">
        <v>1.2062999999999999</v>
      </c>
      <c r="E258" s="182">
        <v>39.86</v>
      </c>
      <c r="F258" s="182">
        <v>149.17999999999998</v>
      </c>
      <c r="G258" s="182">
        <v>18.420000000000002</v>
      </c>
      <c r="H258" s="182">
        <v>26.74</v>
      </c>
      <c r="I258" s="182">
        <v>31.9</v>
      </c>
      <c r="J258" s="76"/>
      <c r="K258" s="75"/>
      <c r="L258" s="75">
        <v>267.75</v>
      </c>
      <c r="M258" s="77"/>
      <c r="N258" s="78">
        <v>37.74</v>
      </c>
      <c r="O258" s="78">
        <v>305.49</v>
      </c>
      <c r="P258" s="3">
        <v>254</v>
      </c>
      <c r="Q258" s="4"/>
      <c r="R258" s="193"/>
    </row>
    <row r="259" spans="1:18" x14ac:dyDescent="0.25">
      <c r="A259" s="73">
        <v>1770582363</v>
      </c>
      <c r="B259" s="74" t="s">
        <v>395</v>
      </c>
      <c r="C259" s="75">
        <v>249.02</v>
      </c>
      <c r="D259" s="181">
        <v>0.95899999999999996</v>
      </c>
      <c r="E259" s="182">
        <v>39.86</v>
      </c>
      <c r="F259" s="182">
        <v>130.04</v>
      </c>
      <c r="G259" s="182">
        <v>19.91</v>
      </c>
      <c r="H259" s="182">
        <v>26.74</v>
      </c>
      <c r="I259" s="182">
        <v>31.9</v>
      </c>
      <c r="J259" s="76"/>
      <c r="K259" s="75"/>
      <c r="L259" s="75">
        <v>249.02</v>
      </c>
      <c r="M259" s="77"/>
      <c r="N259" s="78">
        <v>37.74</v>
      </c>
      <c r="O259" s="78">
        <v>286.76</v>
      </c>
      <c r="P259" s="3">
        <v>255</v>
      </c>
      <c r="Q259" s="4"/>
      <c r="R259" s="193"/>
    </row>
    <row r="260" spans="1:18" x14ac:dyDescent="0.25">
      <c r="A260" s="73">
        <v>1376542878</v>
      </c>
      <c r="B260" s="74" t="s">
        <v>396</v>
      </c>
      <c r="C260" s="75">
        <v>249.64999999999998</v>
      </c>
      <c r="D260" s="181">
        <v>0.97160000000000002</v>
      </c>
      <c r="E260" s="182">
        <v>39.86</v>
      </c>
      <c r="F260" s="182">
        <v>130.29999999999998</v>
      </c>
      <c r="G260" s="182">
        <v>19.63</v>
      </c>
      <c r="H260" s="182">
        <v>26.74</v>
      </c>
      <c r="I260" s="182">
        <v>31.9</v>
      </c>
      <c r="J260" s="76"/>
      <c r="K260" s="75"/>
      <c r="L260" s="75">
        <v>249.64999999999998</v>
      </c>
      <c r="M260" s="77"/>
      <c r="N260" s="78">
        <v>37.74</v>
      </c>
      <c r="O260" s="78">
        <v>287.39</v>
      </c>
      <c r="P260" s="3">
        <v>256</v>
      </c>
      <c r="Q260" s="4"/>
      <c r="R260" s="193"/>
    </row>
    <row r="261" spans="1:18" x14ac:dyDescent="0.25">
      <c r="A261" s="73">
        <v>1598127276</v>
      </c>
      <c r="B261" s="74" t="s">
        <v>397</v>
      </c>
      <c r="C261" s="75">
        <v>265.28999999999996</v>
      </c>
      <c r="D261" s="181">
        <v>1.2210000000000001</v>
      </c>
      <c r="E261" s="182">
        <v>39.86</v>
      </c>
      <c r="F261" s="182">
        <v>148.27999999999997</v>
      </c>
      <c r="G261" s="182">
        <v>19.03</v>
      </c>
      <c r="H261" s="182">
        <v>26.74</v>
      </c>
      <c r="I261" s="182">
        <v>31.9</v>
      </c>
      <c r="J261" s="76"/>
      <c r="K261" s="75"/>
      <c r="L261" s="75">
        <v>265.81</v>
      </c>
      <c r="M261" s="77"/>
      <c r="N261" s="78">
        <v>37.74</v>
      </c>
      <c r="O261" s="78">
        <v>303.55</v>
      </c>
      <c r="P261" s="3">
        <v>257</v>
      </c>
      <c r="Q261" s="4"/>
      <c r="R261" s="193"/>
    </row>
    <row r="262" spans="1:18" x14ac:dyDescent="0.25">
      <c r="A262" s="73">
        <v>1689603060</v>
      </c>
      <c r="B262" s="74" t="s">
        <v>398</v>
      </c>
      <c r="C262" s="75">
        <v>267.5</v>
      </c>
      <c r="D262" s="181">
        <v>1.2374000000000001</v>
      </c>
      <c r="E262" s="182">
        <v>39.86</v>
      </c>
      <c r="F262" s="182">
        <v>154.41999999999999</v>
      </c>
      <c r="G262" s="182">
        <v>13.56</v>
      </c>
      <c r="H262" s="182">
        <v>26.74</v>
      </c>
      <c r="I262" s="182">
        <v>31.9</v>
      </c>
      <c r="J262" s="76"/>
      <c r="K262" s="75"/>
      <c r="L262" s="75">
        <v>267.5</v>
      </c>
      <c r="M262" s="77"/>
      <c r="N262" s="78">
        <v>37.74</v>
      </c>
      <c r="O262" s="78">
        <v>305.24</v>
      </c>
      <c r="P262" s="3">
        <v>258</v>
      </c>
      <c r="Q262" s="4"/>
      <c r="R262" s="193"/>
    </row>
    <row r="263" spans="1:18" x14ac:dyDescent="0.25">
      <c r="A263" s="73">
        <v>1700874880</v>
      </c>
      <c r="B263" s="74" t="s">
        <v>399</v>
      </c>
      <c r="C263" s="75">
        <v>263.38</v>
      </c>
      <c r="D263" s="181">
        <v>1.1194</v>
      </c>
      <c r="E263" s="182">
        <v>39.86</v>
      </c>
      <c r="F263" s="182">
        <v>143.70999999999998</v>
      </c>
      <c r="G263" s="182">
        <v>22.44</v>
      </c>
      <c r="H263" s="182">
        <v>26.74</v>
      </c>
      <c r="I263" s="182">
        <v>31.9</v>
      </c>
      <c r="J263" s="76"/>
      <c r="K263" s="75"/>
      <c r="L263" s="75">
        <v>264.64999999999998</v>
      </c>
      <c r="M263" s="77"/>
      <c r="N263" s="78">
        <v>37.74</v>
      </c>
      <c r="O263" s="78">
        <v>302.39</v>
      </c>
      <c r="P263" s="3">
        <v>259</v>
      </c>
      <c r="Q263" s="4"/>
      <c r="R263" s="193"/>
    </row>
    <row r="264" spans="1:18" x14ac:dyDescent="0.25">
      <c r="A264" s="73">
        <v>1306293170</v>
      </c>
      <c r="B264" s="74" t="s">
        <v>400</v>
      </c>
      <c r="C264" s="75">
        <v>260.73</v>
      </c>
      <c r="D264" s="181">
        <v>1.2915000000000001</v>
      </c>
      <c r="E264" s="182">
        <v>39.86</v>
      </c>
      <c r="F264" s="182">
        <v>157.01999999999998</v>
      </c>
      <c r="G264" s="182">
        <v>7.86</v>
      </c>
      <c r="H264" s="182">
        <v>26.74</v>
      </c>
      <c r="I264" s="182">
        <v>31.9</v>
      </c>
      <c r="J264" s="76"/>
      <c r="K264" s="75"/>
      <c r="L264" s="75">
        <v>263.38</v>
      </c>
      <c r="M264" s="77"/>
      <c r="N264" s="78">
        <v>37.74</v>
      </c>
      <c r="O264" s="78">
        <v>301.12</v>
      </c>
      <c r="P264" s="3">
        <v>260</v>
      </c>
      <c r="Q264" s="4"/>
      <c r="R264" s="193"/>
    </row>
    <row r="265" spans="1:18" x14ac:dyDescent="0.25">
      <c r="A265" s="73">
        <v>1518968890</v>
      </c>
      <c r="B265" s="74" t="s">
        <v>401</v>
      </c>
      <c r="C265" s="75">
        <v>229.51000000000002</v>
      </c>
      <c r="D265" s="181">
        <v>0.98819999999999997</v>
      </c>
      <c r="E265" s="182">
        <v>39.86</v>
      </c>
      <c r="F265" s="182">
        <v>132.26</v>
      </c>
      <c r="G265" s="182">
        <v>18.91</v>
      </c>
      <c r="H265" s="182">
        <v>0</v>
      </c>
      <c r="I265" s="182">
        <v>31.9</v>
      </c>
      <c r="J265" s="76"/>
      <c r="K265" s="75"/>
      <c r="L265" s="75">
        <v>229.51000000000002</v>
      </c>
      <c r="M265" s="77"/>
      <c r="N265" s="78">
        <v>37.74</v>
      </c>
      <c r="O265" s="78">
        <v>267.25</v>
      </c>
      <c r="P265" s="3">
        <v>261</v>
      </c>
      <c r="Q265" s="4"/>
      <c r="R265" s="193"/>
    </row>
    <row r="266" spans="1:18" x14ac:dyDescent="0.25">
      <c r="A266" s="73">
        <v>1750317897</v>
      </c>
      <c r="B266" s="74" t="s">
        <v>402</v>
      </c>
      <c r="C266" s="75">
        <v>240.27999999999997</v>
      </c>
      <c r="D266" s="181">
        <v>1.2038</v>
      </c>
      <c r="E266" s="182">
        <v>39.86</v>
      </c>
      <c r="F266" s="182">
        <v>149.57000000000002</v>
      </c>
      <c r="G266" s="182">
        <v>13.5</v>
      </c>
      <c r="H266" s="182">
        <v>8.64</v>
      </c>
      <c r="I266" s="182">
        <v>31.9</v>
      </c>
      <c r="J266" s="76"/>
      <c r="K266" s="75"/>
      <c r="L266" s="75">
        <v>243.47</v>
      </c>
      <c r="M266" s="77"/>
      <c r="N266" s="78">
        <v>37.74</v>
      </c>
      <c r="O266" s="78">
        <v>281.20999999999998</v>
      </c>
      <c r="P266" s="3">
        <v>262</v>
      </c>
      <c r="Q266" s="4"/>
      <c r="R266" s="193"/>
    </row>
    <row r="267" spans="1:18" x14ac:dyDescent="0.25">
      <c r="A267" s="73">
        <v>1659307395</v>
      </c>
      <c r="B267" s="74" t="s">
        <v>403</v>
      </c>
      <c r="C267" s="75">
        <v>254.86000000000004</v>
      </c>
      <c r="D267" s="181">
        <v>1.1515</v>
      </c>
      <c r="E267" s="182">
        <v>39.86</v>
      </c>
      <c r="F267" s="182">
        <v>145.04</v>
      </c>
      <c r="G267" s="182">
        <v>12.77</v>
      </c>
      <c r="H267" s="182">
        <v>26.74</v>
      </c>
      <c r="I267" s="182">
        <v>31.9</v>
      </c>
      <c r="J267" s="76"/>
      <c r="K267" s="75"/>
      <c r="L267" s="75">
        <v>256.31</v>
      </c>
      <c r="M267" s="77"/>
      <c r="N267" s="78">
        <v>37.74</v>
      </c>
      <c r="O267" s="78">
        <v>294.05</v>
      </c>
      <c r="P267" s="3">
        <v>263</v>
      </c>
      <c r="Q267" s="4"/>
      <c r="R267" s="193"/>
    </row>
    <row r="268" spans="1:18" x14ac:dyDescent="0.25">
      <c r="A268" s="73">
        <v>1205252640</v>
      </c>
      <c r="B268" s="74" t="s">
        <v>404</v>
      </c>
      <c r="C268" s="75">
        <v>266.65000000000003</v>
      </c>
      <c r="D268" s="181">
        <v>1.3338000000000001</v>
      </c>
      <c r="E268" s="182">
        <v>39.86</v>
      </c>
      <c r="F268" s="182">
        <v>163.13</v>
      </c>
      <c r="G268" s="182">
        <v>10.99</v>
      </c>
      <c r="H268" s="182">
        <v>26.74</v>
      </c>
      <c r="I268" s="182">
        <v>31.9</v>
      </c>
      <c r="J268" s="76"/>
      <c r="K268" s="75"/>
      <c r="L268" s="75">
        <v>272.62</v>
      </c>
      <c r="M268" s="77"/>
      <c r="N268" s="78">
        <v>37.74</v>
      </c>
      <c r="O268" s="78">
        <v>310.36</v>
      </c>
      <c r="P268" s="3">
        <v>264</v>
      </c>
      <c r="Q268" s="4"/>
      <c r="R268" s="193"/>
    </row>
    <row r="269" spans="1:18" x14ac:dyDescent="0.25">
      <c r="A269" s="73">
        <v>1336193754</v>
      </c>
      <c r="B269" s="74" t="s">
        <v>405</v>
      </c>
      <c r="C269" s="75">
        <v>272.40999999999997</v>
      </c>
      <c r="D269" s="181">
        <v>1.2655000000000001</v>
      </c>
      <c r="E269" s="182">
        <v>39.86</v>
      </c>
      <c r="F269" s="182">
        <v>157.16</v>
      </c>
      <c r="G269" s="182">
        <v>30.26</v>
      </c>
      <c r="H269" s="182">
        <v>8.64</v>
      </c>
      <c r="I269" s="182">
        <v>31.9</v>
      </c>
      <c r="J269" s="76"/>
      <c r="K269" s="75"/>
      <c r="L269" s="75">
        <v>272.40999999999997</v>
      </c>
      <c r="M269" s="77"/>
      <c r="N269" s="78">
        <v>37.74</v>
      </c>
      <c r="O269" s="78">
        <v>310.14999999999998</v>
      </c>
      <c r="P269" s="3">
        <v>265</v>
      </c>
      <c r="Q269" s="4"/>
      <c r="R269" s="193"/>
    </row>
    <row r="270" spans="1:18" x14ac:dyDescent="0.25">
      <c r="A270" s="73">
        <v>1568454262</v>
      </c>
      <c r="B270" s="74" t="s">
        <v>406</v>
      </c>
      <c r="C270" s="75">
        <v>246.85999999999999</v>
      </c>
      <c r="D270" s="181">
        <v>1.0435000000000001</v>
      </c>
      <c r="E270" s="182">
        <v>39.86</v>
      </c>
      <c r="F270" s="182">
        <v>136.76999999999998</v>
      </c>
      <c r="G270" s="182">
        <v>21.66</v>
      </c>
      <c r="H270" s="182">
        <v>0</v>
      </c>
      <c r="I270" s="182">
        <v>31.9</v>
      </c>
      <c r="J270" s="76"/>
      <c r="K270" s="75"/>
      <c r="L270" s="75">
        <v>246.85999999999999</v>
      </c>
      <c r="M270" s="77"/>
      <c r="N270" s="78">
        <v>37.74</v>
      </c>
      <c r="O270" s="78">
        <v>284.59999999999997</v>
      </c>
      <c r="P270" s="3">
        <v>266</v>
      </c>
      <c r="Q270" s="4"/>
      <c r="R270" s="193"/>
    </row>
    <row r="271" spans="1:18" x14ac:dyDescent="0.25">
      <c r="A271" s="73">
        <v>1811920267</v>
      </c>
      <c r="B271" s="74" t="s">
        <v>407</v>
      </c>
      <c r="C271" s="75">
        <v>278.22000000000003</v>
      </c>
      <c r="D271" s="181">
        <v>1.3718999999999999</v>
      </c>
      <c r="E271" s="182">
        <v>39.86</v>
      </c>
      <c r="F271" s="182">
        <v>165.47</v>
      </c>
      <c r="G271" s="182">
        <v>14.26</v>
      </c>
      <c r="H271" s="182">
        <v>26.74</v>
      </c>
      <c r="I271" s="182">
        <v>31.9</v>
      </c>
      <c r="J271" s="76"/>
      <c r="K271" s="75"/>
      <c r="L271" s="75">
        <v>278.23</v>
      </c>
      <c r="M271" s="77"/>
      <c r="N271" s="78">
        <v>37.74</v>
      </c>
      <c r="O271" s="78">
        <v>315.97000000000003</v>
      </c>
      <c r="P271" s="3">
        <v>267</v>
      </c>
      <c r="Q271" s="4"/>
      <c r="R271" s="193"/>
    </row>
    <row r="272" spans="1:18" x14ac:dyDescent="0.25">
      <c r="A272" s="73">
        <v>1669023685</v>
      </c>
      <c r="B272" s="74" t="s">
        <v>408</v>
      </c>
      <c r="C272" s="75">
        <v>266.70999999999998</v>
      </c>
      <c r="D272" s="181">
        <v>1.0376000000000001</v>
      </c>
      <c r="E272" s="182">
        <v>39.86</v>
      </c>
      <c r="F272" s="182">
        <v>136.92999999999998</v>
      </c>
      <c r="G272" s="182">
        <v>24.95</v>
      </c>
      <c r="H272" s="182">
        <v>26.74</v>
      </c>
      <c r="I272" s="182">
        <v>31.9</v>
      </c>
      <c r="J272" s="76"/>
      <c r="K272" s="75"/>
      <c r="L272" s="75">
        <v>266.70999999999998</v>
      </c>
      <c r="M272" s="77"/>
      <c r="N272" s="78">
        <v>37.74</v>
      </c>
      <c r="O272" s="78">
        <v>304.45</v>
      </c>
      <c r="P272" s="3">
        <v>268</v>
      </c>
      <c r="Q272" s="4"/>
      <c r="R272" s="193"/>
    </row>
    <row r="273" spans="1:18" x14ac:dyDescent="0.25">
      <c r="A273" s="73">
        <v>1053380626</v>
      </c>
      <c r="B273" s="74" t="s">
        <v>409</v>
      </c>
      <c r="C273" s="75">
        <v>272.42</v>
      </c>
      <c r="D273" s="181">
        <v>1.2338</v>
      </c>
      <c r="E273" s="182">
        <v>39.86</v>
      </c>
      <c r="F273" s="182">
        <v>153.88999999999999</v>
      </c>
      <c r="G273" s="182">
        <v>14.33</v>
      </c>
      <c r="H273" s="182">
        <v>26.74</v>
      </c>
      <c r="I273" s="182">
        <v>31.9</v>
      </c>
      <c r="J273" s="76"/>
      <c r="K273" s="75"/>
      <c r="L273" s="75">
        <v>272.42</v>
      </c>
      <c r="M273" s="77"/>
      <c r="N273" s="78">
        <v>37.74</v>
      </c>
      <c r="O273" s="78">
        <v>310.16000000000003</v>
      </c>
      <c r="P273" s="3">
        <v>269</v>
      </c>
      <c r="Q273" s="4"/>
      <c r="R273" s="193"/>
    </row>
    <row r="274" spans="1:18" x14ac:dyDescent="0.25">
      <c r="A274" s="73">
        <v>1346241627</v>
      </c>
      <c r="B274" s="74" t="s">
        <v>410</v>
      </c>
      <c r="C274" s="75">
        <v>243.95</v>
      </c>
      <c r="D274" s="181">
        <v>1.1093</v>
      </c>
      <c r="E274" s="182">
        <v>39.86</v>
      </c>
      <c r="F274" s="182">
        <v>144.10999999999999</v>
      </c>
      <c r="G274" s="182">
        <v>22.07</v>
      </c>
      <c r="H274" s="182">
        <v>0</v>
      </c>
      <c r="I274" s="182">
        <v>31.9</v>
      </c>
      <c r="J274" s="76"/>
      <c r="K274" s="75"/>
      <c r="L274" s="75">
        <v>243.95</v>
      </c>
      <c r="M274" s="77"/>
      <c r="N274" s="78">
        <v>37.74</v>
      </c>
      <c r="O274" s="78">
        <v>281.69</v>
      </c>
      <c r="P274" s="3">
        <v>270</v>
      </c>
      <c r="Q274" s="4"/>
      <c r="R274" s="193"/>
    </row>
    <row r="275" spans="1:18" x14ac:dyDescent="0.25">
      <c r="A275" s="73">
        <v>1316921190</v>
      </c>
      <c r="B275" s="74" t="s">
        <v>411</v>
      </c>
      <c r="C275" s="75">
        <v>275.24</v>
      </c>
      <c r="D275" s="181">
        <v>1.4490000000000001</v>
      </c>
      <c r="E275" s="182">
        <v>39.86</v>
      </c>
      <c r="F275" s="182">
        <v>168.87999999999997</v>
      </c>
      <c r="G275" s="182">
        <v>26.63</v>
      </c>
      <c r="H275" s="182">
        <v>8.64</v>
      </c>
      <c r="I275" s="182">
        <v>31.9</v>
      </c>
      <c r="J275" s="76"/>
      <c r="K275" s="75"/>
      <c r="L275" s="75">
        <v>275.91000000000003</v>
      </c>
      <c r="M275" s="77"/>
      <c r="N275" s="78">
        <v>37.74</v>
      </c>
      <c r="O275" s="78">
        <v>313.65000000000003</v>
      </c>
      <c r="P275" s="3">
        <v>271</v>
      </c>
      <c r="Q275" s="4"/>
      <c r="R275" s="193"/>
    </row>
    <row r="276" spans="1:18" x14ac:dyDescent="0.25">
      <c r="A276" s="73">
        <v>1740278126</v>
      </c>
      <c r="B276" s="74" t="s">
        <v>412</v>
      </c>
      <c r="C276" s="75">
        <v>262.94</v>
      </c>
      <c r="D276" s="181">
        <v>1.2766</v>
      </c>
      <c r="E276" s="182">
        <v>39.86</v>
      </c>
      <c r="F276" s="182">
        <v>155.91999999999999</v>
      </c>
      <c r="G276" s="182">
        <v>8.1300000000000008</v>
      </c>
      <c r="H276" s="182">
        <v>26.74</v>
      </c>
      <c r="I276" s="182">
        <v>31.9</v>
      </c>
      <c r="J276" s="76"/>
      <c r="K276" s="75"/>
      <c r="L276" s="75">
        <v>262.94</v>
      </c>
      <c r="M276" s="77"/>
      <c r="N276" s="78">
        <v>37.74</v>
      </c>
      <c r="O276" s="78">
        <v>300.68</v>
      </c>
      <c r="P276" s="3">
        <v>272</v>
      </c>
      <c r="Q276" s="4"/>
      <c r="R276" s="193"/>
    </row>
    <row r="277" spans="1:18" x14ac:dyDescent="0.25">
      <c r="A277" s="73">
        <v>1740386473</v>
      </c>
      <c r="B277" s="74" t="s">
        <v>413</v>
      </c>
      <c r="C277" s="75">
        <v>253.85999999999999</v>
      </c>
      <c r="D277" s="181">
        <v>0.94069999999999998</v>
      </c>
      <c r="E277" s="182">
        <v>39.86</v>
      </c>
      <c r="F277" s="182">
        <v>128.29999999999998</v>
      </c>
      <c r="G277" s="182">
        <v>31.23</v>
      </c>
      <c r="H277" s="182">
        <v>26.74</v>
      </c>
      <c r="I277" s="182">
        <v>31.9</v>
      </c>
      <c r="J277" s="76"/>
      <c r="K277" s="75"/>
      <c r="L277" s="75">
        <v>258.02999999999997</v>
      </c>
      <c r="M277" s="77"/>
      <c r="N277" s="78">
        <v>37.74</v>
      </c>
      <c r="O277" s="78">
        <v>295.77</v>
      </c>
      <c r="P277" s="3">
        <v>273</v>
      </c>
      <c r="Q277" s="4"/>
      <c r="R277" s="193"/>
    </row>
    <row r="278" spans="1:18" x14ac:dyDescent="0.25">
      <c r="A278" s="73">
        <v>1689628141</v>
      </c>
      <c r="B278" s="74" t="s">
        <v>414</v>
      </c>
      <c r="C278" s="75">
        <v>266.08000000000004</v>
      </c>
      <c r="D278" s="181">
        <v>1.1968000000000001</v>
      </c>
      <c r="E278" s="182">
        <v>39.86</v>
      </c>
      <c r="F278" s="182">
        <v>150.13999999999999</v>
      </c>
      <c r="G278" s="182">
        <v>18.670000000000002</v>
      </c>
      <c r="H278" s="182">
        <v>26.74</v>
      </c>
      <c r="I278" s="182">
        <v>31.9</v>
      </c>
      <c r="J278" s="76"/>
      <c r="K278" s="75"/>
      <c r="L278" s="75">
        <v>267.31</v>
      </c>
      <c r="M278" s="77"/>
      <c r="N278" s="78">
        <v>37.74</v>
      </c>
      <c r="O278" s="78">
        <v>305.05</v>
      </c>
      <c r="P278" s="3">
        <v>274</v>
      </c>
      <c r="Q278" s="4"/>
      <c r="R278" s="193"/>
    </row>
    <row r="279" spans="1:18" x14ac:dyDescent="0.25">
      <c r="A279" s="73">
        <v>1316351034</v>
      </c>
      <c r="B279" s="74" t="s">
        <v>415</v>
      </c>
      <c r="C279" s="75">
        <v>262.96999999999997</v>
      </c>
      <c r="D279" s="181">
        <v>1.1236999999999999</v>
      </c>
      <c r="E279" s="182">
        <v>39.86</v>
      </c>
      <c r="F279" s="182">
        <v>141.66999999999999</v>
      </c>
      <c r="G279" s="182">
        <v>21.91</v>
      </c>
      <c r="H279" s="182">
        <v>26.74</v>
      </c>
      <c r="I279" s="182">
        <v>31.9</v>
      </c>
      <c r="J279" s="76"/>
      <c r="K279" s="75"/>
      <c r="L279" s="75">
        <v>262.96999999999997</v>
      </c>
      <c r="M279" s="77"/>
      <c r="N279" s="78">
        <v>37.74</v>
      </c>
      <c r="O279" s="78">
        <v>300.70999999999998</v>
      </c>
      <c r="P279" s="3">
        <v>275</v>
      </c>
      <c r="Q279" s="4"/>
      <c r="R279" s="193"/>
    </row>
    <row r="280" spans="1:18" x14ac:dyDescent="0.25">
      <c r="A280" s="73">
        <v>1437564739</v>
      </c>
      <c r="B280" s="74" t="s">
        <v>416</v>
      </c>
      <c r="C280" s="75">
        <v>276.87</v>
      </c>
      <c r="D280" s="181">
        <v>1.3574999999999999</v>
      </c>
      <c r="E280" s="182">
        <v>39.86</v>
      </c>
      <c r="F280" s="182">
        <v>162.04999999999998</v>
      </c>
      <c r="G280" s="182">
        <v>22.06</v>
      </c>
      <c r="H280" s="182">
        <v>26.74</v>
      </c>
      <c r="I280" s="182">
        <v>31.9</v>
      </c>
      <c r="J280" s="76"/>
      <c r="K280" s="75"/>
      <c r="L280" s="75">
        <v>282.61</v>
      </c>
      <c r="M280" s="77"/>
      <c r="N280" s="78">
        <v>37.74</v>
      </c>
      <c r="O280" s="78">
        <v>320.35000000000002</v>
      </c>
      <c r="P280" s="3">
        <v>276</v>
      </c>
      <c r="Q280" s="4"/>
      <c r="R280" s="193"/>
    </row>
    <row r="281" spans="1:18" x14ac:dyDescent="0.25">
      <c r="A281" s="73">
        <v>1649685132</v>
      </c>
      <c r="B281" s="74" t="s">
        <v>417</v>
      </c>
      <c r="C281" s="75">
        <v>268.69</v>
      </c>
      <c r="D281" s="181">
        <v>1.1238999999999999</v>
      </c>
      <c r="E281" s="182">
        <v>39.86</v>
      </c>
      <c r="F281" s="182">
        <v>143.11999999999998</v>
      </c>
      <c r="G281" s="182">
        <v>22.92</v>
      </c>
      <c r="H281" s="182">
        <v>26.74</v>
      </c>
      <c r="I281" s="182">
        <v>31.9</v>
      </c>
      <c r="J281" s="76"/>
      <c r="K281" s="75"/>
      <c r="L281" s="75">
        <v>268.69</v>
      </c>
      <c r="M281" s="77"/>
      <c r="N281" s="78">
        <v>37.74</v>
      </c>
      <c r="O281" s="78">
        <v>306.43</v>
      </c>
      <c r="P281" s="3">
        <v>277</v>
      </c>
      <c r="Q281" s="4"/>
      <c r="R281" s="193"/>
    </row>
    <row r="282" spans="1:18" x14ac:dyDescent="0.25">
      <c r="A282" s="73">
        <v>1063838381</v>
      </c>
      <c r="B282" s="74" t="s">
        <v>418</v>
      </c>
      <c r="C282" s="75">
        <v>269.20999999999998</v>
      </c>
      <c r="D282" s="181">
        <v>1.2994000000000001</v>
      </c>
      <c r="E282" s="182">
        <v>39.86</v>
      </c>
      <c r="F282" s="182">
        <v>156.54</v>
      </c>
      <c r="G282" s="182">
        <v>18.03</v>
      </c>
      <c r="H282" s="182">
        <v>26.74</v>
      </c>
      <c r="I282" s="182">
        <v>31.9</v>
      </c>
      <c r="J282" s="76"/>
      <c r="K282" s="75"/>
      <c r="L282" s="75">
        <v>273.07</v>
      </c>
      <c r="M282" s="77"/>
      <c r="N282" s="78">
        <v>37.74</v>
      </c>
      <c r="O282" s="78">
        <v>310.81</v>
      </c>
      <c r="P282" s="3">
        <v>278</v>
      </c>
      <c r="Q282" s="4"/>
      <c r="R282" s="193"/>
    </row>
    <row r="283" spans="1:18" x14ac:dyDescent="0.25">
      <c r="A283" s="73">
        <v>1003869983</v>
      </c>
      <c r="B283" s="74" t="s">
        <v>419</v>
      </c>
      <c r="C283" s="75">
        <v>217.72000000000003</v>
      </c>
      <c r="D283" s="181">
        <v>0.99350000000000005</v>
      </c>
      <c r="E283" s="182">
        <v>39.86</v>
      </c>
      <c r="F283" s="182">
        <v>132.79999999999998</v>
      </c>
      <c r="G283" s="182">
        <v>8.1</v>
      </c>
      <c r="H283" s="182">
        <v>8.64</v>
      </c>
      <c r="I283" s="182">
        <v>31.9</v>
      </c>
      <c r="J283" s="76"/>
      <c r="K283" s="75"/>
      <c r="L283" s="75">
        <v>221.3</v>
      </c>
      <c r="M283" s="77"/>
      <c r="N283" s="78">
        <v>37.74</v>
      </c>
      <c r="O283" s="78">
        <v>259.04000000000002</v>
      </c>
      <c r="P283" s="3">
        <v>279</v>
      </c>
      <c r="Q283" s="4"/>
      <c r="R283" s="193"/>
    </row>
    <row r="284" spans="1:18" x14ac:dyDescent="0.25">
      <c r="A284" s="73">
        <v>1093708497</v>
      </c>
      <c r="B284" s="74" t="s">
        <v>420</v>
      </c>
      <c r="C284" s="75">
        <v>243</v>
      </c>
      <c r="D284" s="181">
        <v>1.2038</v>
      </c>
      <c r="E284" s="182">
        <v>39.86</v>
      </c>
      <c r="F284" s="182">
        <v>149.46</v>
      </c>
      <c r="G284" s="182">
        <v>13.24</v>
      </c>
      <c r="H284" s="182">
        <v>8.64</v>
      </c>
      <c r="I284" s="182">
        <v>31.9</v>
      </c>
      <c r="J284" s="76"/>
      <c r="K284" s="75"/>
      <c r="L284" s="75">
        <v>243.1</v>
      </c>
      <c r="M284" s="77"/>
      <c r="N284" s="78">
        <v>37.74</v>
      </c>
      <c r="O284" s="78">
        <v>280.83999999999997</v>
      </c>
      <c r="P284" s="3">
        <v>280</v>
      </c>
      <c r="Q284" s="4"/>
      <c r="R284" s="193"/>
    </row>
    <row r="285" spans="1:18" x14ac:dyDescent="0.25">
      <c r="A285" s="73">
        <v>1295733517</v>
      </c>
      <c r="B285" s="74" t="s">
        <v>421</v>
      </c>
      <c r="C285" s="75">
        <v>269.19</v>
      </c>
      <c r="D285" s="181">
        <v>1.2625</v>
      </c>
      <c r="E285" s="182">
        <v>39.86</v>
      </c>
      <c r="F285" s="182">
        <v>155.6</v>
      </c>
      <c r="G285" s="182">
        <v>16.16</v>
      </c>
      <c r="H285" s="182">
        <v>26.74</v>
      </c>
      <c r="I285" s="182">
        <v>31.9</v>
      </c>
      <c r="J285" s="76"/>
      <c r="K285" s="75"/>
      <c r="L285" s="75">
        <v>270.26</v>
      </c>
      <c r="M285" s="77"/>
      <c r="N285" s="78">
        <v>37.74</v>
      </c>
      <c r="O285" s="78">
        <v>308</v>
      </c>
      <c r="P285" s="3">
        <v>281</v>
      </c>
      <c r="Q285" s="4"/>
      <c r="R285" s="193"/>
    </row>
    <row r="286" spans="1:18" x14ac:dyDescent="0.25">
      <c r="A286" s="73">
        <v>1649268335</v>
      </c>
      <c r="B286" s="74" t="s">
        <v>422</v>
      </c>
      <c r="C286" s="75">
        <v>239.36</v>
      </c>
      <c r="D286" s="181">
        <v>1.1516</v>
      </c>
      <c r="E286" s="182">
        <v>39.86</v>
      </c>
      <c r="F286" s="182">
        <v>146.30999999999997</v>
      </c>
      <c r="G286" s="182">
        <v>8.35</v>
      </c>
      <c r="H286" s="182">
        <v>8.64</v>
      </c>
      <c r="I286" s="182">
        <v>31.9</v>
      </c>
      <c r="J286" s="76"/>
      <c r="K286" s="75"/>
      <c r="L286" s="75">
        <v>239.36</v>
      </c>
      <c r="M286" s="77"/>
      <c r="N286" s="78">
        <v>37.74</v>
      </c>
      <c r="O286" s="78">
        <v>277.10000000000002</v>
      </c>
      <c r="P286" s="3">
        <v>282</v>
      </c>
      <c r="Q286" s="4"/>
      <c r="R286" s="193"/>
    </row>
    <row r="287" spans="1:18" x14ac:dyDescent="0.25">
      <c r="A287" s="73">
        <v>1861504946</v>
      </c>
      <c r="B287" s="74" t="s">
        <v>423</v>
      </c>
      <c r="C287" s="75">
        <v>280.83999999999997</v>
      </c>
      <c r="D287" s="181">
        <v>1.2856000000000001</v>
      </c>
      <c r="E287" s="182">
        <v>39.86</v>
      </c>
      <c r="F287" s="182">
        <v>157.35999999999999</v>
      </c>
      <c r="G287" s="182">
        <v>25.57</v>
      </c>
      <c r="H287" s="182">
        <v>26.74</v>
      </c>
      <c r="I287" s="182">
        <v>31.9</v>
      </c>
      <c r="J287" s="76"/>
      <c r="K287" s="75"/>
      <c r="L287" s="75">
        <v>281.43</v>
      </c>
      <c r="M287" s="77"/>
      <c r="N287" s="78">
        <v>37.74</v>
      </c>
      <c r="O287" s="78">
        <v>319.17</v>
      </c>
      <c r="P287" s="3">
        <v>283</v>
      </c>
      <c r="Q287" s="4"/>
      <c r="R287" s="193"/>
    </row>
    <row r="288" spans="1:18" x14ac:dyDescent="0.25">
      <c r="A288" s="73">
        <v>1053395210</v>
      </c>
      <c r="B288" s="74" t="s">
        <v>424</v>
      </c>
      <c r="C288" s="75">
        <v>250.03000000000003</v>
      </c>
      <c r="D288" s="181">
        <v>1.1941999999999999</v>
      </c>
      <c r="E288" s="182">
        <v>39.86</v>
      </c>
      <c r="F288" s="182">
        <v>151.11999999999998</v>
      </c>
      <c r="G288" s="182">
        <v>7.93</v>
      </c>
      <c r="H288" s="182">
        <v>26.74</v>
      </c>
      <c r="I288" s="182">
        <v>31.9</v>
      </c>
      <c r="J288" s="76"/>
      <c r="K288" s="75"/>
      <c r="L288" s="75">
        <v>257.55</v>
      </c>
      <c r="M288" s="77"/>
      <c r="N288" s="78">
        <v>37.74</v>
      </c>
      <c r="O288" s="78">
        <v>295.29000000000002</v>
      </c>
      <c r="P288" s="3">
        <v>284</v>
      </c>
      <c r="Q288" s="4"/>
      <c r="R288" s="193"/>
    </row>
    <row r="289" spans="1:18" x14ac:dyDescent="0.25">
      <c r="A289" s="73">
        <v>1043263981</v>
      </c>
      <c r="B289" s="74" t="s">
        <v>425</v>
      </c>
      <c r="C289" s="75">
        <v>255.83</v>
      </c>
      <c r="D289" s="181">
        <v>1.1704000000000001</v>
      </c>
      <c r="E289" s="182">
        <v>39.86</v>
      </c>
      <c r="F289" s="182">
        <v>148.20999999999998</v>
      </c>
      <c r="G289" s="182">
        <v>13.4</v>
      </c>
      <c r="H289" s="182">
        <v>26.74</v>
      </c>
      <c r="I289" s="182">
        <v>31.9</v>
      </c>
      <c r="J289" s="76"/>
      <c r="K289" s="75"/>
      <c r="L289" s="75">
        <v>260.11</v>
      </c>
      <c r="M289" s="77"/>
      <c r="N289" s="78">
        <v>37.74</v>
      </c>
      <c r="O289" s="78">
        <v>297.85000000000002</v>
      </c>
      <c r="P289" s="3">
        <v>285</v>
      </c>
      <c r="Q289" s="4"/>
      <c r="R289" s="193"/>
    </row>
    <row r="290" spans="1:18" x14ac:dyDescent="0.25">
      <c r="A290" s="73">
        <v>1003205337</v>
      </c>
      <c r="B290" s="74" t="s">
        <v>426</v>
      </c>
      <c r="C290" s="75">
        <v>282.48</v>
      </c>
      <c r="D290" s="181">
        <v>1.2034</v>
      </c>
      <c r="E290" s="182">
        <v>39.86</v>
      </c>
      <c r="F290" s="182">
        <v>150.64999999999998</v>
      </c>
      <c r="G290" s="182">
        <v>33.25</v>
      </c>
      <c r="H290" s="182">
        <v>26.74</v>
      </c>
      <c r="I290" s="182">
        <v>31.9</v>
      </c>
      <c r="J290" s="76"/>
      <c r="K290" s="75"/>
      <c r="L290" s="75">
        <v>282.48</v>
      </c>
      <c r="M290" s="77"/>
      <c r="N290" s="78">
        <v>37.74</v>
      </c>
      <c r="O290" s="78">
        <v>320.22000000000003</v>
      </c>
      <c r="P290" s="3">
        <v>286</v>
      </c>
      <c r="Q290" s="4"/>
      <c r="R290" s="193"/>
    </row>
    <row r="291" spans="1:18" x14ac:dyDescent="0.25">
      <c r="A291" s="73">
        <v>1184712580</v>
      </c>
      <c r="B291" s="74" t="s">
        <v>427</v>
      </c>
      <c r="C291" s="75">
        <v>230.76000000000002</v>
      </c>
      <c r="D291" s="181">
        <v>0.98129999999999995</v>
      </c>
      <c r="E291" s="182">
        <v>39.86</v>
      </c>
      <c r="F291" s="182">
        <v>131.37</v>
      </c>
      <c r="G291" s="182">
        <v>18.04</v>
      </c>
      <c r="H291" s="182">
        <v>0</v>
      </c>
      <c r="I291" s="182">
        <v>31.9</v>
      </c>
      <c r="J291" s="76"/>
      <c r="K291" s="75"/>
      <c r="L291" s="75">
        <v>230.76000000000002</v>
      </c>
      <c r="M291" s="77"/>
      <c r="N291" s="78">
        <v>37.74</v>
      </c>
      <c r="O291" s="78">
        <v>268.5</v>
      </c>
      <c r="P291" s="3">
        <v>287</v>
      </c>
      <c r="Q291" s="4"/>
      <c r="R291" s="193"/>
    </row>
    <row r="292" spans="1:18" x14ac:dyDescent="0.25">
      <c r="A292" s="73">
        <v>1407843097</v>
      </c>
      <c r="B292" s="74" t="s">
        <v>428</v>
      </c>
      <c r="C292" s="75">
        <v>244.09999999999997</v>
      </c>
      <c r="D292" s="181">
        <v>1.2074</v>
      </c>
      <c r="E292" s="182">
        <v>39.86</v>
      </c>
      <c r="F292" s="182">
        <v>152.5</v>
      </c>
      <c r="G292" s="182">
        <v>24.95</v>
      </c>
      <c r="H292" s="182">
        <v>0</v>
      </c>
      <c r="I292" s="182">
        <v>31.9</v>
      </c>
      <c r="J292" s="76"/>
      <c r="K292" s="75"/>
      <c r="L292" s="75">
        <v>249.21</v>
      </c>
      <c r="M292" s="77"/>
      <c r="N292" s="78">
        <v>37.74</v>
      </c>
      <c r="O292" s="78">
        <v>286.95</v>
      </c>
      <c r="P292" s="3">
        <v>288</v>
      </c>
      <c r="Q292" s="4"/>
      <c r="R292" s="193"/>
    </row>
    <row r="293" spans="1:18" x14ac:dyDescent="0.25">
      <c r="A293" s="73">
        <v>1891346797</v>
      </c>
      <c r="B293" s="74" t="s">
        <v>429</v>
      </c>
      <c r="C293" s="75">
        <v>263.73</v>
      </c>
      <c r="D293" s="181">
        <v>1.1800999999999999</v>
      </c>
      <c r="E293" s="182">
        <v>39.86</v>
      </c>
      <c r="F293" s="182">
        <v>148.92999999999998</v>
      </c>
      <c r="G293" s="182">
        <v>23.62</v>
      </c>
      <c r="H293" s="182">
        <v>26.74</v>
      </c>
      <c r="I293" s="182">
        <v>31.9</v>
      </c>
      <c r="J293" s="76"/>
      <c r="K293" s="75"/>
      <c r="L293" s="75">
        <v>271.05</v>
      </c>
      <c r="M293" s="77"/>
      <c r="N293" s="78">
        <v>37.74</v>
      </c>
      <c r="O293" s="78">
        <v>308.79000000000002</v>
      </c>
      <c r="P293" s="3">
        <v>289</v>
      </c>
      <c r="Q293" s="4"/>
      <c r="R293" s="193"/>
    </row>
    <row r="294" spans="1:18" x14ac:dyDescent="0.25">
      <c r="A294" s="73">
        <v>1629511597</v>
      </c>
      <c r="B294" s="74" t="s">
        <v>430</v>
      </c>
      <c r="C294" s="75">
        <v>236.4</v>
      </c>
      <c r="D294" s="181">
        <v>0.878</v>
      </c>
      <c r="E294" s="182">
        <v>39.86</v>
      </c>
      <c r="F294" s="182">
        <v>124.04999999999998</v>
      </c>
      <c r="G294" s="182">
        <v>9.85</v>
      </c>
      <c r="H294" s="182">
        <v>26.74</v>
      </c>
      <c r="I294" s="182">
        <v>31.9</v>
      </c>
      <c r="J294" s="76"/>
      <c r="K294" s="75"/>
      <c r="L294" s="75">
        <v>236.4</v>
      </c>
      <c r="M294" s="77"/>
      <c r="N294" s="78">
        <v>37.74</v>
      </c>
      <c r="O294" s="78">
        <v>274.14</v>
      </c>
      <c r="P294" s="3">
        <v>290</v>
      </c>
      <c r="Q294" s="4"/>
      <c r="R294" s="193"/>
    </row>
    <row r="295" spans="1:18" x14ac:dyDescent="0.25">
      <c r="A295" s="73">
        <v>1164725198</v>
      </c>
      <c r="B295" s="74" t="s">
        <v>431</v>
      </c>
      <c r="C295" s="75">
        <v>282.39</v>
      </c>
      <c r="D295" s="181">
        <v>1.4313</v>
      </c>
      <c r="E295" s="182">
        <v>39.86</v>
      </c>
      <c r="F295" s="182">
        <v>170.77999999999997</v>
      </c>
      <c r="G295" s="182">
        <v>13.69</v>
      </c>
      <c r="H295" s="182">
        <v>26.74</v>
      </c>
      <c r="I295" s="182">
        <v>31.9</v>
      </c>
      <c r="J295" s="76"/>
      <c r="K295" s="75"/>
      <c r="L295" s="75">
        <v>282.97000000000003</v>
      </c>
      <c r="M295" s="77"/>
      <c r="N295" s="78">
        <v>37.74</v>
      </c>
      <c r="O295" s="78">
        <v>320.71000000000004</v>
      </c>
      <c r="P295" s="3">
        <v>291</v>
      </c>
      <c r="Q295" s="4"/>
      <c r="R295" s="193"/>
    </row>
    <row r="296" spans="1:18" x14ac:dyDescent="0.25">
      <c r="A296" s="73">
        <v>1710244827</v>
      </c>
      <c r="B296" s="74" t="s">
        <v>432</v>
      </c>
      <c r="C296" s="75">
        <v>292.24</v>
      </c>
      <c r="D296" s="181">
        <v>1.2659</v>
      </c>
      <c r="E296" s="182">
        <v>39.86</v>
      </c>
      <c r="F296" s="182">
        <v>158.85</v>
      </c>
      <c r="G296" s="182">
        <v>35.659999999999997</v>
      </c>
      <c r="H296" s="182">
        <v>26.74</v>
      </c>
      <c r="I296" s="182">
        <v>31.9</v>
      </c>
      <c r="J296" s="76"/>
      <c r="K296" s="75"/>
      <c r="L296" s="75">
        <v>293.01</v>
      </c>
      <c r="M296" s="77"/>
      <c r="N296" s="78">
        <v>37.74</v>
      </c>
      <c r="O296" s="78">
        <v>330.75</v>
      </c>
      <c r="P296" s="3">
        <v>292</v>
      </c>
      <c r="Q296" s="4"/>
      <c r="R296" s="193"/>
    </row>
    <row r="297" spans="1:18" x14ac:dyDescent="0.25">
      <c r="A297" s="73">
        <v>1821414269</v>
      </c>
      <c r="B297" s="74" t="s">
        <v>433</v>
      </c>
      <c r="C297" s="75">
        <v>266.99</v>
      </c>
      <c r="D297" s="181">
        <v>1.2279</v>
      </c>
      <c r="E297" s="182">
        <v>39.86</v>
      </c>
      <c r="F297" s="182">
        <v>149.47999999999999</v>
      </c>
      <c r="G297" s="182">
        <v>19.059999999999999</v>
      </c>
      <c r="H297" s="182">
        <v>26.74</v>
      </c>
      <c r="I297" s="182">
        <v>31.9</v>
      </c>
      <c r="J297" s="76"/>
      <c r="K297" s="75"/>
      <c r="L297" s="75">
        <v>267.04000000000002</v>
      </c>
      <c r="M297" s="77"/>
      <c r="N297" s="78">
        <v>37.74</v>
      </c>
      <c r="O297" s="78">
        <v>304.78000000000003</v>
      </c>
      <c r="P297" s="3">
        <v>293</v>
      </c>
      <c r="Q297" s="4"/>
      <c r="R297" s="193"/>
    </row>
    <row r="298" spans="1:18" x14ac:dyDescent="0.25">
      <c r="A298" s="73">
        <v>1225588536</v>
      </c>
      <c r="B298" s="74" t="s">
        <v>679</v>
      </c>
      <c r="C298" s="75">
        <v>270.64</v>
      </c>
      <c r="D298" s="181">
        <v>1.1694</v>
      </c>
      <c r="E298" s="182">
        <v>39.86</v>
      </c>
      <c r="F298" s="182">
        <v>146.39999999999998</v>
      </c>
      <c r="G298" s="182">
        <v>21</v>
      </c>
      <c r="H298" s="182">
        <v>26.74</v>
      </c>
      <c r="I298" s="182">
        <v>31.9</v>
      </c>
      <c r="J298" s="76"/>
      <c r="K298" s="75"/>
      <c r="L298" s="75">
        <v>270.64</v>
      </c>
      <c r="M298" s="77"/>
      <c r="N298" s="78">
        <v>37.74</v>
      </c>
      <c r="O298" s="78">
        <v>308.38</v>
      </c>
      <c r="P298" s="3">
        <v>294</v>
      </c>
      <c r="Q298" s="4"/>
      <c r="R298" s="193"/>
    </row>
    <row r="299" spans="1:18" x14ac:dyDescent="0.25">
      <c r="A299" s="73">
        <v>1346851052</v>
      </c>
      <c r="B299" s="74" t="s">
        <v>434</v>
      </c>
      <c r="C299" s="75">
        <v>265.55</v>
      </c>
      <c r="D299" s="181">
        <v>1.2321</v>
      </c>
      <c r="E299" s="182">
        <v>39.86</v>
      </c>
      <c r="F299" s="182">
        <v>153.22</v>
      </c>
      <c r="G299" s="182">
        <v>12.82</v>
      </c>
      <c r="H299" s="182">
        <v>26.74</v>
      </c>
      <c r="I299" s="182">
        <v>31.9</v>
      </c>
      <c r="J299" s="76"/>
      <c r="K299" s="75"/>
      <c r="L299" s="75">
        <v>265.55</v>
      </c>
      <c r="M299" s="77"/>
      <c r="N299" s="78">
        <v>37.74</v>
      </c>
      <c r="O299" s="78">
        <v>303.29000000000002</v>
      </c>
      <c r="P299" s="3">
        <v>295</v>
      </c>
      <c r="Q299" s="4"/>
      <c r="R299" s="193"/>
    </row>
    <row r="300" spans="1:18" x14ac:dyDescent="0.25">
      <c r="A300" s="73">
        <v>1225654098</v>
      </c>
      <c r="B300" s="74" t="s">
        <v>249</v>
      </c>
      <c r="C300" s="75">
        <v>257.24</v>
      </c>
      <c r="D300" s="181">
        <v>1.179314330001999</v>
      </c>
      <c r="E300" s="182">
        <v>39.86</v>
      </c>
      <c r="F300" s="182">
        <v>147.44999999999999</v>
      </c>
      <c r="G300" s="182">
        <v>11.27</v>
      </c>
      <c r="H300" s="182">
        <v>26.74</v>
      </c>
      <c r="I300" s="182">
        <v>31.9</v>
      </c>
      <c r="J300" s="76"/>
      <c r="K300" s="75"/>
      <c r="L300" s="75">
        <v>257.24</v>
      </c>
      <c r="M300" s="77"/>
      <c r="N300" s="78">
        <v>37.74</v>
      </c>
      <c r="O300" s="78">
        <v>294.98</v>
      </c>
      <c r="P300" s="3">
        <v>296</v>
      </c>
      <c r="Q300" s="4"/>
      <c r="R300" s="193"/>
    </row>
    <row r="301" spans="1:18" x14ac:dyDescent="0.25">
      <c r="A301" s="73">
        <v>1174149934</v>
      </c>
      <c r="B301" s="74" t="s">
        <v>435</v>
      </c>
      <c r="C301" s="75">
        <v>258.18</v>
      </c>
      <c r="D301" s="181">
        <v>1.179314330001999</v>
      </c>
      <c r="E301" s="182">
        <v>39.86</v>
      </c>
      <c r="F301" s="182">
        <v>147.24999999999997</v>
      </c>
      <c r="G301" s="182">
        <v>12.4</v>
      </c>
      <c r="H301" s="182">
        <v>26.74</v>
      </c>
      <c r="I301" s="182">
        <v>31.9</v>
      </c>
      <c r="J301" s="76"/>
      <c r="K301" s="75"/>
      <c r="L301" s="75">
        <v>258.18</v>
      </c>
      <c r="M301" s="77"/>
      <c r="N301" s="78">
        <v>37.74</v>
      </c>
      <c r="O301" s="78">
        <v>295.92</v>
      </c>
      <c r="P301" s="3">
        <v>297</v>
      </c>
      <c r="Q301" s="4"/>
      <c r="R301" s="193"/>
    </row>
    <row r="302" spans="1:18" x14ac:dyDescent="0.25">
      <c r="A302" s="73">
        <v>1922611102</v>
      </c>
      <c r="B302" s="74" t="s">
        <v>436</v>
      </c>
      <c r="C302" s="75">
        <v>232.57999999999998</v>
      </c>
      <c r="D302" s="181">
        <v>1.1216999999999999</v>
      </c>
      <c r="E302" s="182">
        <v>39.86</v>
      </c>
      <c r="F302" s="182">
        <v>144.86999999999998</v>
      </c>
      <c r="G302" s="182">
        <v>8.11</v>
      </c>
      <c r="H302" s="182">
        <v>8.64</v>
      </c>
      <c r="I302" s="182">
        <v>31.9</v>
      </c>
      <c r="J302" s="76"/>
      <c r="K302" s="75"/>
      <c r="L302" s="75">
        <v>233.38</v>
      </c>
      <c r="M302" s="77"/>
      <c r="N302" s="78">
        <v>37.74</v>
      </c>
      <c r="O302" s="78">
        <v>271.12</v>
      </c>
      <c r="P302" s="3">
        <v>298</v>
      </c>
      <c r="Q302" s="4"/>
      <c r="R302" s="193"/>
    </row>
    <row r="303" spans="1:18" x14ac:dyDescent="0.25">
      <c r="A303" s="73">
        <v>1861003485</v>
      </c>
      <c r="B303" s="74" t="s">
        <v>437</v>
      </c>
      <c r="C303" s="75">
        <v>259.12</v>
      </c>
      <c r="D303" s="181">
        <v>1.2062999999999999</v>
      </c>
      <c r="E303" s="182">
        <v>39.86</v>
      </c>
      <c r="F303" s="182">
        <v>150.82</v>
      </c>
      <c r="G303" s="182">
        <v>9.01</v>
      </c>
      <c r="H303" s="182">
        <v>26.74</v>
      </c>
      <c r="I303" s="182">
        <v>31.9</v>
      </c>
      <c r="J303" s="76"/>
      <c r="K303" s="75"/>
      <c r="L303" s="75">
        <v>259.12</v>
      </c>
      <c r="M303" s="77"/>
      <c r="N303" s="78">
        <v>37.74</v>
      </c>
      <c r="O303" s="78">
        <v>296.86</v>
      </c>
      <c r="P303" s="3">
        <v>299</v>
      </c>
      <c r="Q303" s="4"/>
      <c r="R303" s="193"/>
    </row>
    <row r="304" spans="1:18" x14ac:dyDescent="0.25">
      <c r="A304" s="73">
        <v>1669083291</v>
      </c>
      <c r="B304" s="74" t="s">
        <v>438</v>
      </c>
      <c r="C304" s="75">
        <v>245.49</v>
      </c>
      <c r="D304" s="181">
        <v>1.0771999999999999</v>
      </c>
      <c r="E304" s="182">
        <v>39.86</v>
      </c>
      <c r="F304" s="182">
        <v>139.44</v>
      </c>
      <c r="G304" s="182">
        <v>7.93</v>
      </c>
      <c r="H304" s="182">
        <v>26.74</v>
      </c>
      <c r="I304" s="182">
        <v>31.9</v>
      </c>
      <c r="J304" s="76"/>
      <c r="K304" s="75"/>
      <c r="L304" s="75">
        <v>245.87</v>
      </c>
      <c r="M304" s="77"/>
      <c r="N304" s="78">
        <v>37.74</v>
      </c>
      <c r="O304" s="78">
        <v>283.61</v>
      </c>
      <c r="P304" s="3">
        <v>300</v>
      </c>
      <c r="Q304" s="4"/>
      <c r="R304" s="193"/>
    </row>
    <row r="305" spans="1:18" x14ac:dyDescent="0.25">
      <c r="A305" s="73">
        <v>1699313544</v>
      </c>
      <c r="B305" s="74" t="s">
        <v>439</v>
      </c>
      <c r="C305" s="75">
        <v>252.89999999999998</v>
      </c>
      <c r="D305" s="181">
        <v>1.0370999999999999</v>
      </c>
      <c r="E305" s="182">
        <v>39.86</v>
      </c>
      <c r="F305" s="182">
        <v>136.57999999999998</v>
      </c>
      <c r="G305" s="182">
        <v>19.63</v>
      </c>
      <c r="H305" s="182">
        <v>26.74</v>
      </c>
      <c r="I305" s="182">
        <v>31.9</v>
      </c>
      <c r="J305" s="76"/>
      <c r="K305" s="75"/>
      <c r="L305" s="75">
        <v>254.71</v>
      </c>
      <c r="M305" s="77"/>
      <c r="N305" s="78">
        <v>37.74</v>
      </c>
      <c r="O305" s="78">
        <v>292.45</v>
      </c>
      <c r="P305" s="3">
        <v>301</v>
      </c>
      <c r="Q305" s="4"/>
      <c r="R305" s="193"/>
    </row>
    <row r="306" spans="1:18" x14ac:dyDescent="0.25">
      <c r="A306" s="73">
        <v>1336602358</v>
      </c>
      <c r="B306" s="74" t="s">
        <v>440</v>
      </c>
      <c r="C306" s="75">
        <v>263.64999999999998</v>
      </c>
      <c r="D306" s="181">
        <v>1.1244000000000001</v>
      </c>
      <c r="E306" s="182">
        <v>39.86</v>
      </c>
      <c r="F306" s="182">
        <v>144.47</v>
      </c>
      <c r="G306" s="182">
        <v>18.579999999999998</v>
      </c>
      <c r="H306" s="182">
        <v>26.74</v>
      </c>
      <c r="I306" s="182">
        <v>31.9</v>
      </c>
      <c r="J306" s="76"/>
      <c r="K306" s="75"/>
      <c r="L306" s="75">
        <v>263.64999999999998</v>
      </c>
      <c r="M306" s="77"/>
      <c r="N306" s="78">
        <v>37.74</v>
      </c>
      <c r="O306" s="78">
        <v>301.39</v>
      </c>
      <c r="P306" s="3">
        <v>302</v>
      </c>
      <c r="Q306" s="4"/>
      <c r="R306" s="193"/>
    </row>
    <row r="307" spans="1:18" x14ac:dyDescent="0.25">
      <c r="A307" s="73">
        <v>1144868092</v>
      </c>
      <c r="B307" s="74" t="s">
        <v>441</v>
      </c>
      <c r="C307" s="75">
        <v>256.04000000000002</v>
      </c>
      <c r="D307" s="181">
        <v>1.0742</v>
      </c>
      <c r="E307" s="182">
        <v>39.86</v>
      </c>
      <c r="F307" s="182">
        <v>140.23999999999998</v>
      </c>
      <c r="G307" s="182">
        <v>16.440000000000001</v>
      </c>
      <c r="H307" s="182">
        <v>26.74</v>
      </c>
      <c r="I307" s="182">
        <v>31.9</v>
      </c>
      <c r="J307" s="76"/>
      <c r="K307" s="75"/>
      <c r="L307" s="75">
        <v>256.04000000000002</v>
      </c>
      <c r="M307" s="77"/>
      <c r="N307" s="78">
        <v>37.74</v>
      </c>
      <c r="O307" s="78">
        <v>293.78000000000003</v>
      </c>
      <c r="P307" s="3">
        <v>303</v>
      </c>
      <c r="Q307" s="4"/>
      <c r="R307" s="193"/>
    </row>
    <row r="308" spans="1:18" x14ac:dyDescent="0.25">
      <c r="A308" s="73">
        <v>1821551797</v>
      </c>
      <c r="B308" s="74" t="s">
        <v>442</v>
      </c>
      <c r="C308" s="75">
        <v>234.42000000000002</v>
      </c>
      <c r="D308" s="181">
        <v>1.1476999999999999</v>
      </c>
      <c r="E308" s="182">
        <v>39.86</v>
      </c>
      <c r="F308" s="182">
        <v>145.22999999999999</v>
      </c>
      <c r="G308" s="182">
        <v>10.49</v>
      </c>
      <c r="H308" s="182">
        <v>8.64</v>
      </c>
      <c r="I308" s="182">
        <v>31.9</v>
      </c>
      <c r="J308" s="76"/>
      <c r="K308" s="75"/>
      <c r="L308" s="75">
        <v>236.12</v>
      </c>
      <c r="M308" s="77"/>
      <c r="N308" s="78">
        <v>37.74</v>
      </c>
      <c r="O308" s="78">
        <v>273.86</v>
      </c>
      <c r="P308" s="3">
        <v>304</v>
      </c>
      <c r="Q308" s="4"/>
      <c r="R308" s="193"/>
    </row>
    <row r="309" spans="1:18" x14ac:dyDescent="0.25">
      <c r="A309" s="73">
        <v>1194381681</v>
      </c>
      <c r="B309" s="74" t="s">
        <v>443</v>
      </c>
      <c r="C309" s="75">
        <v>265.29000000000002</v>
      </c>
      <c r="D309" s="181">
        <v>1.1375</v>
      </c>
      <c r="E309" s="182">
        <v>39.86</v>
      </c>
      <c r="F309" s="182">
        <v>144.74999999999997</v>
      </c>
      <c r="G309" s="182">
        <v>16.38</v>
      </c>
      <c r="H309" s="182">
        <v>26.74</v>
      </c>
      <c r="I309" s="182">
        <v>31.9</v>
      </c>
      <c r="J309" s="76"/>
      <c r="K309" s="75"/>
      <c r="L309" s="75">
        <v>265.29000000000002</v>
      </c>
      <c r="M309" s="77"/>
      <c r="N309" s="78">
        <v>37.74</v>
      </c>
      <c r="O309" s="78">
        <v>303.03000000000003</v>
      </c>
      <c r="P309" s="3">
        <v>305</v>
      </c>
      <c r="Q309" s="4"/>
      <c r="R309" s="193"/>
    </row>
    <row r="310" spans="1:18" x14ac:dyDescent="0.25">
      <c r="A310" s="73">
        <v>1346360328</v>
      </c>
      <c r="B310" s="74" t="s">
        <v>779</v>
      </c>
      <c r="C310" s="75">
        <v>251.46999999999997</v>
      </c>
      <c r="D310" s="181">
        <v>1.2097</v>
      </c>
      <c r="E310" s="182">
        <v>39.86</v>
      </c>
      <c r="F310" s="182">
        <v>152.36999999999998</v>
      </c>
      <c r="G310" s="182">
        <v>12.76</v>
      </c>
      <c r="H310" s="182">
        <v>8.64</v>
      </c>
      <c r="I310" s="182">
        <v>31.9</v>
      </c>
      <c r="J310" s="76"/>
      <c r="K310" s="75"/>
      <c r="L310" s="75">
        <v>251.46999999999997</v>
      </c>
      <c r="M310" s="77"/>
      <c r="N310" s="78">
        <v>37.74</v>
      </c>
      <c r="O310" s="78">
        <v>289.20999999999998</v>
      </c>
      <c r="P310" s="3">
        <v>306</v>
      </c>
      <c r="Q310" s="4"/>
      <c r="R310" s="193"/>
    </row>
    <row r="311" spans="1:18" x14ac:dyDescent="0.25">
      <c r="A311" s="73">
        <v>1326169285</v>
      </c>
      <c r="B311" s="74" t="s">
        <v>780</v>
      </c>
      <c r="C311" s="75">
        <v>267.13</v>
      </c>
      <c r="D311" s="181">
        <v>1.1860999999999999</v>
      </c>
      <c r="E311" s="182">
        <v>39.86</v>
      </c>
      <c r="F311" s="182">
        <v>150.61999999999998</v>
      </c>
      <c r="G311" s="182">
        <v>12.45</v>
      </c>
      <c r="H311" s="182">
        <v>26.74</v>
      </c>
      <c r="I311" s="182">
        <v>31.9</v>
      </c>
      <c r="J311" s="76"/>
      <c r="K311" s="75"/>
      <c r="L311" s="75">
        <v>267.13</v>
      </c>
      <c r="M311" s="77"/>
      <c r="N311" s="78">
        <v>37.74</v>
      </c>
      <c r="O311" s="78">
        <v>304.87</v>
      </c>
      <c r="P311" s="3">
        <v>307</v>
      </c>
      <c r="Q311" s="4"/>
      <c r="R311" s="193"/>
    </row>
    <row r="312" spans="1:18" x14ac:dyDescent="0.25">
      <c r="A312" s="73">
        <v>1730209677</v>
      </c>
      <c r="B312" s="74" t="s">
        <v>781</v>
      </c>
      <c r="C312" s="75">
        <v>251.36</v>
      </c>
      <c r="D312" s="181">
        <v>1.2801</v>
      </c>
      <c r="E312" s="182">
        <v>39.86</v>
      </c>
      <c r="F312" s="182">
        <v>158.04999999999998</v>
      </c>
      <c r="G312" s="182">
        <v>12.74</v>
      </c>
      <c r="H312" s="182">
        <v>8.64</v>
      </c>
      <c r="I312" s="182">
        <v>31.9</v>
      </c>
      <c r="J312" s="76"/>
      <c r="K312" s="75"/>
      <c r="L312" s="75">
        <v>251.36</v>
      </c>
      <c r="M312" s="77"/>
      <c r="N312" s="78">
        <v>37.74</v>
      </c>
      <c r="O312" s="78">
        <v>289.10000000000002</v>
      </c>
      <c r="P312" s="3">
        <v>308</v>
      </c>
      <c r="Q312" s="4"/>
      <c r="R312" s="193"/>
    </row>
    <row r="313" spans="1:18" x14ac:dyDescent="0.25">
      <c r="A313" s="73">
        <v>1740301050</v>
      </c>
      <c r="B313" s="74" t="s">
        <v>782</v>
      </c>
      <c r="C313" s="75">
        <v>274.13</v>
      </c>
      <c r="D313" s="181">
        <v>1.2192000000000001</v>
      </c>
      <c r="E313" s="182">
        <v>39.86</v>
      </c>
      <c r="F313" s="182">
        <v>153.02999999999997</v>
      </c>
      <c r="G313" s="182">
        <v>15.43</v>
      </c>
      <c r="H313" s="182">
        <v>26.74</v>
      </c>
      <c r="I313" s="182">
        <v>31.9</v>
      </c>
      <c r="J313" s="76"/>
      <c r="K313" s="75"/>
      <c r="L313" s="75">
        <v>274.13</v>
      </c>
      <c r="M313" s="77"/>
      <c r="N313" s="78">
        <v>37.74</v>
      </c>
      <c r="O313" s="78">
        <v>311.87</v>
      </c>
      <c r="P313" s="3">
        <v>309</v>
      </c>
      <c r="Q313" s="4"/>
      <c r="R313" s="193"/>
    </row>
    <row r="314" spans="1:18" x14ac:dyDescent="0.25">
      <c r="A314" s="73">
        <v>1992825848</v>
      </c>
      <c r="B314" s="74" t="s">
        <v>783</v>
      </c>
      <c r="C314" s="75">
        <v>271.15999999999997</v>
      </c>
      <c r="D314" s="181">
        <v>1.3018000000000001</v>
      </c>
      <c r="E314" s="182">
        <v>39.86</v>
      </c>
      <c r="F314" s="182">
        <v>161.85999999999999</v>
      </c>
      <c r="G314" s="182">
        <v>12.42</v>
      </c>
      <c r="H314" s="182">
        <v>26.74</v>
      </c>
      <c r="I314" s="182">
        <v>31.9</v>
      </c>
      <c r="J314" s="76"/>
      <c r="K314" s="75"/>
      <c r="L314" s="75">
        <v>272.77999999999997</v>
      </c>
      <c r="M314" s="77"/>
      <c r="N314" s="78">
        <v>37.74</v>
      </c>
      <c r="O314" s="78">
        <v>310.52</v>
      </c>
      <c r="P314" s="3">
        <v>310</v>
      </c>
      <c r="Q314" s="4"/>
      <c r="R314" s="193"/>
    </row>
    <row r="315" spans="1:18" x14ac:dyDescent="0.25">
      <c r="A315" s="73">
        <v>1528544145</v>
      </c>
      <c r="B315" s="74" t="s">
        <v>444</v>
      </c>
      <c r="C315" s="75">
        <v>283.58000000000004</v>
      </c>
      <c r="D315" s="181">
        <v>1.4863999999999999</v>
      </c>
      <c r="E315" s="182">
        <v>39.86</v>
      </c>
      <c r="F315" s="182">
        <v>172.24999999999997</v>
      </c>
      <c r="G315" s="182">
        <v>16.05</v>
      </c>
      <c r="H315" s="182">
        <v>26.74</v>
      </c>
      <c r="I315" s="182">
        <v>31.9</v>
      </c>
      <c r="J315" s="76"/>
      <c r="K315" s="75"/>
      <c r="L315" s="75">
        <v>286.8</v>
      </c>
      <c r="M315" s="77"/>
      <c r="N315" s="78">
        <v>37.74</v>
      </c>
      <c r="O315" s="78">
        <v>324.54000000000002</v>
      </c>
      <c r="P315" s="3">
        <v>311</v>
      </c>
      <c r="Q315" s="4"/>
      <c r="R315" s="193"/>
    </row>
    <row r="316" spans="1:18" x14ac:dyDescent="0.25">
      <c r="A316" s="73">
        <v>1710008669</v>
      </c>
      <c r="B316" s="74" t="s">
        <v>784</v>
      </c>
      <c r="C316" s="75">
        <v>257.69</v>
      </c>
      <c r="D316" s="181">
        <v>1.1666000000000001</v>
      </c>
      <c r="E316" s="182">
        <v>39.86</v>
      </c>
      <c r="F316" s="182">
        <v>147.94999999999999</v>
      </c>
      <c r="G316" s="182">
        <v>8.81</v>
      </c>
      <c r="H316" s="182">
        <v>26.74</v>
      </c>
      <c r="I316" s="182">
        <v>31.9</v>
      </c>
      <c r="J316" s="76"/>
      <c r="K316" s="75"/>
      <c r="L316" s="75">
        <v>257.69</v>
      </c>
      <c r="M316" s="77"/>
      <c r="N316" s="78">
        <v>37.74</v>
      </c>
      <c r="O316" s="78">
        <v>295.43</v>
      </c>
      <c r="P316" s="3">
        <v>312</v>
      </c>
      <c r="Q316" s="4"/>
      <c r="R316" s="193"/>
    </row>
    <row r="317" spans="1:18" x14ac:dyDescent="0.25">
      <c r="A317" s="73">
        <v>1619099520</v>
      </c>
      <c r="B317" s="74" t="s">
        <v>785</v>
      </c>
      <c r="C317" s="75">
        <v>273.96999999999997</v>
      </c>
      <c r="D317" s="181">
        <v>1.2399</v>
      </c>
      <c r="E317" s="182">
        <v>39.86</v>
      </c>
      <c r="F317" s="182">
        <v>153.99999999999997</v>
      </c>
      <c r="G317" s="182">
        <v>17.28</v>
      </c>
      <c r="H317" s="182">
        <v>26.74</v>
      </c>
      <c r="I317" s="182">
        <v>31.9</v>
      </c>
      <c r="J317" s="76"/>
      <c r="K317" s="75"/>
      <c r="L317" s="75">
        <v>273.96999999999997</v>
      </c>
      <c r="M317" s="77"/>
      <c r="N317" s="78">
        <v>37.74</v>
      </c>
      <c r="O317" s="78">
        <v>311.70999999999998</v>
      </c>
      <c r="P317" s="3">
        <v>313</v>
      </c>
      <c r="Q317" s="4"/>
      <c r="R317" s="193"/>
    </row>
    <row r="318" spans="1:18" x14ac:dyDescent="0.25">
      <c r="A318" s="73">
        <v>1629198577</v>
      </c>
      <c r="B318" s="74" t="s">
        <v>786</v>
      </c>
      <c r="C318" s="75">
        <v>269.15999999999997</v>
      </c>
      <c r="D318" s="181">
        <v>1.2000999999999999</v>
      </c>
      <c r="E318" s="182">
        <v>39.86</v>
      </c>
      <c r="F318" s="182">
        <v>151.55999999999997</v>
      </c>
      <c r="G318" s="182">
        <v>14.53</v>
      </c>
      <c r="H318" s="182">
        <v>26.74</v>
      </c>
      <c r="I318" s="182">
        <v>31.9</v>
      </c>
      <c r="J318" s="76"/>
      <c r="K318" s="75"/>
      <c r="L318" s="75">
        <v>269.15999999999997</v>
      </c>
      <c r="M318" s="77"/>
      <c r="N318" s="78">
        <v>37.74</v>
      </c>
      <c r="O318" s="78">
        <v>306.89999999999998</v>
      </c>
      <c r="P318" s="3">
        <v>314</v>
      </c>
      <c r="Q318" s="4"/>
      <c r="R318" s="193"/>
    </row>
    <row r="319" spans="1:18" x14ac:dyDescent="0.25">
      <c r="A319" s="73">
        <v>1699336776</v>
      </c>
      <c r="B319" s="74" t="s">
        <v>445</v>
      </c>
      <c r="C319" s="75">
        <v>245.76000000000002</v>
      </c>
      <c r="D319" s="181">
        <v>1.1173</v>
      </c>
      <c r="E319" s="182">
        <v>39.86</v>
      </c>
      <c r="F319" s="182">
        <v>142.72</v>
      </c>
      <c r="G319" s="182">
        <v>8.1</v>
      </c>
      <c r="H319" s="182">
        <v>26.74</v>
      </c>
      <c r="I319" s="182">
        <v>31.9</v>
      </c>
      <c r="J319" s="76"/>
      <c r="K319" s="75"/>
      <c r="L319" s="75">
        <v>249.32</v>
      </c>
      <c r="M319" s="77"/>
      <c r="N319" s="78">
        <v>37.74</v>
      </c>
      <c r="O319" s="78">
        <v>287.06</v>
      </c>
      <c r="P319" s="3">
        <v>315</v>
      </c>
      <c r="Q319" s="4"/>
      <c r="R319" s="193"/>
    </row>
    <row r="320" spans="1:18" x14ac:dyDescent="0.25">
      <c r="A320" s="73">
        <v>1215982525</v>
      </c>
      <c r="B320" s="74" t="s">
        <v>446</v>
      </c>
      <c r="C320" s="75">
        <v>266.15000000000003</v>
      </c>
      <c r="D320" s="181">
        <v>1.1437999999999999</v>
      </c>
      <c r="E320" s="182">
        <v>39.86</v>
      </c>
      <c r="F320" s="182">
        <v>146.54</v>
      </c>
      <c r="G320" s="182">
        <v>19.559999999999999</v>
      </c>
      <c r="H320" s="182">
        <v>26.74</v>
      </c>
      <c r="I320" s="182">
        <v>31.9</v>
      </c>
      <c r="J320" s="76"/>
      <c r="K320" s="75"/>
      <c r="L320" s="75">
        <v>266.15000000000003</v>
      </c>
      <c r="M320" s="77"/>
      <c r="N320" s="78">
        <v>37.74</v>
      </c>
      <c r="O320" s="78">
        <v>303.89000000000004</v>
      </c>
      <c r="P320" s="3">
        <v>316</v>
      </c>
      <c r="Q320" s="4"/>
      <c r="R320" s="193"/>
    </row>
    <row r="321" spans="1:18" x14ac:dyDescent="0.25">
      <c r="A321" s="73">
        <v>1427003110</v>
      </c>
      <c r="B321" s="74" t="s">
        <v>447</v>
      </c>
      <c r="C321" s="75">
        <v>259.70999999999998</v>
      </c>
      <c r="D321" s="181">
        <v>1.0710999999999999</v>
      </c>
      <c r="E321" s="182">
        <v>39.86</v>
      </c>
      <c r="F321" s="182">
        <v>139.54</v>
      </c>
      <c r="G321" s="182">
        <v>17.510000000000002</v>
      </c>
      <c r="H321" s="182">
        <v>26.74</v>
      </c>
      <c r="I321" s="182">
        <v>31.9</v>
      </c>
      <c r="J321" s="76"/>
      <c r="K321" s="75"/>
      <c r="L321" s="75">
        <v>259.70999999999998</v>
      </c>
      <c r="M321" s="77"/>
      <c r="N321" s="78">
        <v>37.74</v>
      </c>
      <c r="O321" s="78">
        <v>297.45</v>
      </c>
      <c r="P321" s="3">
        <v>317</v>
      </c>
      <c r="Q321" s="4"/>
      <c r="R321" s="193"/>
    </row>
    <row r="322" spans="1:18" x14ac:dyDescent="0.25">
      <c r="A322" s="73">
        <v>1598710949</v>
      </c>
      <c r="B322" s="74" t="s">
        <v>448</v>
      </c>
      <c r="C322" s="75">
        <v>268.95</v>
      </c>
      <c r="D322" s="181">
        <v>1.2153</v>
      </c>
      <c r="E322" s="182">
        <v>39.86</v>
      </c>
      <c r="F322" s="182">
        <v>150.76</v>
      </c>
      <c r="G322" s="182">
        <v>17.579999999999998</v>
      </c>
      <c r="H322" s="182">
        <v>26.74</v>
      </c>
      <c r="I322" s="182">
        <v>31.9</v>
      </c>
      <c r="J322" s="76"/>
      <c r="K322" s="75"/>
      <c r="L322" s="75">
        <v>268.95</v>
      </c>
      <c r="M322" s="77"/>
      <c r="N322" s="78">
        <v>37.74</v>
      </c>
      <c r="O322" s="78">
        <v>306.69</v>
      </c>
      <c r="P322" s="3">
        <v>318</v>
      </c>
      <c r="Q322" s="4"/>
      <c r="R322" s="193"/>
    </row>
    <row r="323" spans="1:18" x14ac:dyDescent="0.25">
      <c r="A323" s="73">
        <v>1770538092</v>
      </c>
      <c r="B323" s="74" t="s">
        <v>449</v>
      </c>
      <c r="C323" s="75">
        <v>257.63</v>
      </c>
      <c r="D323" s="181">
        <v>1.1859</v>
      </c>
      <c r="E323" s="182">
        <v>39.86</v>
      </c>
      <c r="F323" s="182">
        <v>149.61999999999998</v>
      </c>
      <c r="G323" s="182">
        <v>12.79</v>
      </c>
      <c r="H323" s="182">
        <v>26.74</v>
      </c>
      <c r="I323" s="182">
        <v>31.9</v>
      </c>
      <c r="J323" s="76"/>
      <c r="K323" s="75"/>
      <c r="L323" s="75">
        <v>260.91000000000003</v>
      </c>
      <c r="M323" s="77"/>
      <c r="N323" s="78">
        <v>37.74</v>
      </c>
      <c r="O323" s="78">
        <v>298.65000000000003</v>
      </c>
      <c r="P323" s="3">
        <v>319</v>
      </c>
      <c r="Q323" s="4"/>
      <c r="R323" s="193"/>
    </row>
    <row r="324" spans="1:18" x14ac:dyDescent="0.25">
      <c r="A324" s="73">
        <v>1851836118</v>
      </c>
      <c r="B324" s="74" t="s">
        <v>450</v>
      </c>
      <c r="C324" s="75">
        <v>249.45999999999998</v>
      </c>
      <c r="D324" s="181">
        <v>1.1116999999999999</v>
      </c>
      <c r="E324" s="182">
        <v>39.86</v>
      </c>
      <c r="F324" s="182">
        <v>142.91</v>
      </c>
      <c r="G324" s="182">
        <v>12.2</v>
      </c>
      <c r="H324" s="182">
        <v>26.74</v>
      </c>
      <c r="I324" s="182">
        <v>31.9</v>
      </c>
      <c r="J324" s="76"/>
      <c r="K324" s="75"/>
      <c r="L324" s="75">
        <v>253.61</v>
      </c>
      <c r="M324" s="77"/>
      <c r="N324" s="78">
        <v>37.74</v>
      </c>
      <c r="O324" s="78">
        <v>291.35000000000002</v>
      </c>
      <c r="P324" s="3">
        <v>320</v>
      </c>
      <c r="Q324" s="4"/>
      <c r="R324" s="193"/>
    </row>
    <row r="325" spans="1:18" x14ac:dyDescent="0.25">
      <c r="A325" s="73">
        <v>1871548487</v>
      </c>
      <c r="B325" s="74" t="s">
        <v>451</v>
      </c>
      <c r="C325" s="75">
        <v>254.43</v>
      </c>
      <c r="D325" s="181">
        <v>1.1337999999999999</v>
      </c>
      <c r="E325" s="182">
        <v>39.86</v>
      </c>
      <c r="F325" s="182">
        <v>143.47999999999999</v>
      </c>
      <c r="G325" s="182">
        <v>19.57</v>
      </c>
      <c r="H325" s="182">
        <v>26.74</v>
      </c>
      <c r="I325" s="182">
        <v>31.9</v>
      </c>
      <c r="J325" s="76"/>
      <c r="K325" s="75"/>
      <c r="L325" s="75">
        <v>261.55</v>
      </c>
      <c r="M325" s="77"/>
      <c r="N325" s="78">
        <v>37.74</v>
      </c>
      <c r="O325" s="78">
        <v>299.29000000000002</v>
      </c>
      <c r="P325" s="3">
        <v>321</v>
      </c>
      <c r="Q325" s="4"/>
      <c r="R325" s="193"/>
    </row>
    <row r="326" spans="1:18" x14ac:dyDescent="0.25">
      <c r="A326" s="73">
        <v>1467407775</v>
      </c>
      <c r="B326" s="74" t="s">
        <v>452</v>
      </c>
      <c r="C326" s="75">
        <v>260.83</v>
      </c>
      <c r="D326" s="181">
        <v>1.1056999999999999</v>
      </c>
      <c r="E326" s="182">
        <v>39.86</v>
      </c>
      <c r="F326" s="182">
        <v>142.44999999999999</v>
      </c>
      <c r="G326" s="182">
        <v>23.73</v>
      </c>
      <c r="H326" s="182">
        <v>26.74</v>
      </c>
      <c r="I326" s="182">
        <v>31.9</v>
      </c>
      <c r="J326" s="76"/>
      <c r="K326" s="75"/>
      <c r="L326" s="75">
        <v>264.68</v>
      </c>
      <c r="M326" s="77"/>
      <c r="N326" s="78">
        <v>37.74</v>
      </c>
      <c r="O326" s="78">
        <v>302.42</v>
      </c>
      <c r="P326" s="3">
        <v>322</v>
      </c>
      <c r="Q326" s="4"/>
      <c r="R326" s="193"/>
    </row>
    <row r="327" spans="1:18" x14ac:dyDescent="0.25">
      <c r="A327" s="73">
        <v>1548293988</v>
      </c>
      <c r="B327" s="74" t="s">
        <v>453</v>
      </c>
      <c r="C327" s="75">
        <v>302.92</v>
      </c>
      <c r="D327" s="181">
        <v>1.5269999999999999</v>
      </c>
      <c r="E327" s="182">
        <v>39.86</v>
      </c>
      <c r="F327" s="182">
        <v>171.16</v>
      </c>
      <c r="G327" s="182">
        <v>34.479999999999997</v>
      </c>
      <c r="H327" s="182">
        <v>26.74</v>
      </c>
      <c r="I327" s="182">
        <v>31.9</v>
      </c>
      <c r="J327" s="76"/>
      <c r="K327" s="75"/>
      <c r="L327" s="75">
        <v>304.14</v>
      </c>
      <c r="M327" s="77"/>
      <c r="N327" s="78">
        <v>37.74</v>
      </c>
      <c r="O327" s="78">
        <v>341.88</v>
      </c>
      <c r="P327" s="3">
        <v>323</v>
      </c>
      <c r="Q327" s="4"/>
      <c r="R327" s="193"/>
    </row>
    <row r="328" spans="1:18" x14ac:dyDescent="0.25">
      <c r="A328" s="73">
        <v>1417368143</v>
      </c>
      <c r="B328" s="74" t="s">
        <v>454</v>
      </c>
      <c r="C328" s="75">
        <v>297.57000000000005</v>
      </c>
      <c r="D328" s="181">
        <v>1.4649000000000001</v>
      </c>
      <c r="E328" s="182">
        <v>39.86</v>
      </c>
      <c r="F328" s="182">
        <v>171.17999999999998</v>
      </c>
      <c r="G328" s="182">
        <v>26.73</v>
      </c>
      <c r="H328" s="182">
        <v>26.74</v>
      </c>
      <c r="I328" s="182">
        <v>31.9</v>
      </c>
      <c r="J328" s="76"/>
      <c r="K328" s="75"/>
      <c r="L328" s="75">
        <v>297.57000000000005</v>
      </c>
      <c r="M328" s="77"/>
      <c r="N328" s="78">
        <v>37.74</v>
      </c>
      <c r="O328" s="78">
        <v>335.31000000000006</v>
      </c>
      <c r="P328" s="3">
        <v>324</v>
      </c>
      <c r="Q328" s="4"/>
      <c r="R328" s="193"/>
    </row>
    <row r="329" spans="1:18" x14ac:dyDescent="0.25">
      <c r="A329" s="73">
        <v>1962505313</v>
      </c>
      <c r="B329" s="74" t="s">
        <v>455</v>
      </c>
      <c r="C329" s="75">
        <v>277.45</v>
      </c>
      <c r="D329" s="181">
        <v>1.2879</v>
      </c>
      <c r="E329" s="182">
        <v>39.86</v>
      </c>
      <c r="F329" s="182">
        <v>157.94</v>
      </c>
      <c r="G329" s="182">
        <v>15.53</v>
      </c>
      <c r="H329" s="182">
        <v>26.74</v>
      </c>
      <c r="I329" s="182">
        <v>31.9</v>
      </c>
      <c r="J329" s="76"/>
      <c r="K329" s="75"/>
      <c r="L329" s="75">
        <v>277.45</v>
      </c>
      <c r="M329" s="77"/>
      <c r="N329" s="78">
        <v>37.74</v>
      </c>
      <c r="O329" s="78">
        <v>315.19</v>
      </c>
      <c r="P329" s="3">
        <v>325</v>
      </c>
      <c r="Q329" s="4"/>
      <c r="R329" s="193"/>
    </row>
    <row r="330" spans="1:18" x14ac:dyDescent="0.25">
      <c r="A330" s="73">
        <v>1881993079</v>
      </c>
      <c r="B330" s="74" t="s">
        <v>456</v>
      </c>
      <c r="C330" s="75">
        <v>274.14999999999998</v>
      </c>
      <c r="D330" s="181">
        <v>1.1218999999999999</v>
      </c>
      <c r="E330" s="182">
        <v>39.86</v>
      </c>
      <c r="F330" s="182">
        <v>145.66</v>
      </c>
      <c r="G330" s="182">
        <v>27.34</v>
      </c>
      <c r="H330" s="182">
        <v>26.74</v>
      </c>
      <c r="I330" s="182">
        <v>31.9</v>
      </c>
      <c r="J330" s="76"/>
      <c r="K330" s="75"/>
      <c r="L330" s="75">
        <v>274.14999999999998</v>
      </c>
      <c r="M330" s="77"/>
      <c r="N330" s="78">
        <v>37.74</v>
      </c>
      <c r="O330" s="78">
        <v>311.89</v>
      </c>
      <c r="P330" s="3">
        <v>326</v>
      </c>
      <c r="Q330" s="4"/>
      <c r="R330" s="193"/>
    </row>
    <row r="331" spans="1:18" x14ac:dyDescent="0.25">
      <c r="A331" s="73">
        <v>1255379293</v>
      </c>
      <c r="B331" s="74" t="s">
        <v>457</v>
      </c>
      <c r="C331" s="75">
        <v>260.08999999999997</v>
      </c>
      <c r="D331" s="181">
        <v>1.1863999999999999</v>
      </c>
      <c r="E331" s="182">
        <v>39.86</v>
      </c>
      <c r="F331" s="182">
        <v>149.82</v>
      </c>
      <c r="G331" s="182">
        <v>13.58</v>
      </c>
      <c r="H331" s="182">
        <v>26.74</v>
      </c>
      <c r="I331" s="182">
        <v>31.9</v>
      </c>
      <c r="J331" s="76"/>
      <c r="K331" s="75"/>
      <c r="L331" s="75">
        <v>261.89999999999998</v>
      </c>
      <c r="M331" s="77"/>
      <c r="N331" s="78">
        <v>37.74</v>
      </c>
      <c r="O331" s="78">
        <v>299.64</v>
      </c>
      <c r="P331" s="3">
        <v>327</v>
      </c>
      <c r="Q331" s="4"/>
      <c r="R331" s="193"/>
    </row>
    <row r="332" spans="1:18" x14ac:dyDescent="0.25">
      <c r="A332" s="73">
        <v>1366529406</v>
      </c>
      <c r="B332" s="74" t="s">
        <v>458</v>
      </c>
      <c r="C332" s="75">
        <v>225.75000000000003</v>
      </c>
      <c r="D332" s="181">
        <v>1.1938</v>
      </c>
      <c r="E332" s="182">
        <v>39.86</v>
      </c>
      <c r="F332" s="182">
        <v>149.62</v>
      </c>
      <c r="G332" s="182">
        <v>10.65</v>
      </c>
      <c r="H332" s="182">
        <v>0</v>
      </c>
      <c r="I332" s="182">
        <v>31.9</v>
      </c>
      <c r="J332" s="76"/>
      <c r="K332" s="75"/>
      <c r="L332" s="75">
        <v>232.03</v>
      </c>
      <c r="M332" s="77"/>
      <c r="N332" s="78">
        <v>37.74</v>
      </c>
      <c r="O332" s="78">
        <v>269.77</v>
      </c>
      <c r="P332" s="3">
        <v>328</v>
      </c>
      <c r="Q332" s="4"/>
      <c r="R332" s="193"/>
    </row>
    <row r="333" spans="1:18" x14ac:dyDescent="0.25">
      <c r="A333" s="73">
        <v>1598704504</v>
      </c>
      <c r="B333" s="74" t="s">
        <v>459</v>
      </c>
      <c r="C333" s="75">
        <v>262.57000000000005</v>
      </c>
      <c r="D333" s="181">
        <v>1.0807</v>
      </c>
      <c r="E333" s="182">
        <v>39.86</v>
      </c>
      <c r="F333" s="182">
        <v>140.47999999999999</v>
      </c>
      <c r="G333" s="182">
        <v>21.61</v>
      </c>
      <c r="H333" s="182">
        <v>26.74</v>
      </c>
      <c r="I333" s="182">
        <v>31.9</v>
      </c>
      <c r="J333" s="76"/>
      <c r="K333" s="75"/>
      <c r="L333" s="75">
        <v>262.57000000000005</v>
      </c>
      <c r="M333" s="77"/>
      <c r="N333" s="78">
        <v>37.74</v>
      </c>
      <c r="O333" s="78">
        <v>300.31000000000006</v>
      </c>
      <c r="P333" s="3">
        <v>329</v>
      </c>
      <c r="Q333" s="4"/>
      <c r="R333" s="193"/>
    </row>
    <row r="334" spans="1:18" x14ac:dyDescent="0.25">
      <c r="A334" s="73">
        <v>1669613071</v>
      </c>
      <c r="B334" s="74" t="s">
        <v>460</v>
      </c>
      <c r="C334" s="75">
        <v>271.5</v>
      </c>
      <c r="D334" s="181">
        <v>1.2555000000000001</v>
      </c>
      <c r="E334" s="182">
        <v>39.86</v>
      </c>
      <c r="F334" s="182">
        <v>154.89999999999998</v>
      </c>
      <c r="G334" s="182">
        <v>18.89</v>
      </c>
      <c r="H334" s="182">
        <v>26.74</v>
      </c>
      <c r="I334" s="182">
        <v>31.9</v>
      </c>
      <c r="J334" s="76"/>
      <c r="K334" s="75"/>
      <c r="L334" s="75">
        <v>272.29000000000002</v>
      </c>
      <c r="M334" s="77"/>
      <c r="N334" s="78">
        <v>37.74</v>
      </c>
      <c r="O334" s="78">
        <v>310.03000000000003</v>
      </c>
      <c r="P334" s="3">
        <v>330</v>
      </c>
      <c r="Q334" s="4"/>
      <c r="R334" s="193"/>
    </row>
    <row r="335" spans="1:18" x14ac:dyDescent="0.25">
      <c r="A335" s="73">
        <v>1881648350</v>
      </c>
      <c r="B335" s="74" t="s">
        <v>461</v>
      </c>
      <c r="C335" s="75">
        <v>266.97999999999996</v>
      </c>
      <c r="D335" s="181">
        <v>1.0482</v>
      </c>
      <c r="E335" s="182">
        <v>39.86</v>
      </c>
      <c r="F335" s="182">
        <v>137.27999999999997</v>
      </c>
      <c r="G335" s="182">
        <v>28.46</v>
      </c>
      <c r="H335" s="182">
        <v>26.74</v>
      </c>
      <c r="I335" s="182">
        <v>31.9</v>
      </c>
      <c r="J335" s="76"/>
      <c r="K335" s="75"/>
      <c r="L335" s="75">
        <v>266.97999999999996</v>
      </c>
      <c r="M335" s="77"/>
      <c r="N335" s="78">
        <v>37.74</v>
      </c>
      <c r="O335" s="78">
        <v>304.71999999999997</v>
      </c>
      <c r="P335" s="3">
        <v>331</v>
      </c>
      <c r="Q335" s="4"/>
      <c r="R335" s="193"/>
    </row>
    <row r="336" spans="1:18" x14ac:dyDescent="0.25">
      <c r="A336" s="73">
        <v>1669410312</v>
      </c>
      <c r="B336" s="74" t="s">
        <v>462</v>
      </c>
      <c r="C336" s="75">
        <v>261.70999999999998</v>
      </c>
      <c r="D336" s="181">
        <v>1.1842999999999999</v>
      </c>
      <c r="E336" s="182">
        <v>39.86</v>
      </c>
      <c r="F336" s="182">
        <v>149.47999999999999</v>
      </c>
      <c r="G336" s="182">
        <v>12.78</v>
      </c>
      <c r="H336" s="182">
        <v>26.74</v>
      </c>
      <c r="I336" s="182">
        <v>31.9</v>
      </c>
      <c r="J336" s="76"/>
      <c r="K336" s="75"/>
      <c r="L336" s="75">
        <v>261.70999999999998</v>
      </c>
      <c r="M336" s="77"/>
      <c r="N336" s="78">
        <v>37.74</v>
      </c>
      <c r="O336" s="78">
        <v>299.45</v>
      </c>
      <c r="P336" s="3">
        <v>332</v>
      </c>
      <c r="Q336" s="4"/>
      <c r="R336" s="193"/>
    </row>
    <row r="337" spans="1:18" x14ac:dyDescent="0.25">
      <c r="A337" s="73">
        <v>1356387153</v>
      </c>
      <c r="B337" s="74" t="s">
        <v>463</v>
      </c>
      <c r="C337" s="75">
        <v>269.69</v>
      </c>
      <c r="D337" s="181">
        <v>1.2529999999999999</v>
      </c>
      <c r="E337" s="182">
        <v>39.86</v>
      </c>
      <c r="F337" s="182">
        <v>154.72999999999999</v>
      </c>
      <c r="G337" s="182">
        <v>13.09</v>
      </c>
      <c r="H337" s="182">
        <v>26.74</v>
      </c>
      <c r="I337" s="182">
        <v>31.9</v>
      </c>
      <c r="J337" s="76"/>
      <c r="K337" s="75"/>
      <c r="L337" s="75">
        <v>269.69</v>
      </c>
      <c r="M337" s="77"/>
      <c r="N337" s="78">
        <v>37.74</v>
      </c>
      <c r="O337" s="78">
        <v>307.43</v>
      </c>
      <c r="P337" s="3">
        <v>333</v>
      </c>
      <c r="Q337" s="4"/>
      <c r="R337" s="193"/>
    </row>
    <row r="338" spans="1:18" x14ac:dyDescent="0.25">
      <c r="A338" s="73">
        <v>1184705048</v>
      </c>
      <c r="B338" s="74" t="s">
        <v>464</v>
      </c>
      <c r="C338" s="75">
        <v>238.12</v>
      </c>
      <c r="D338" s="181">
        <v>1.1094999999999999</v>
      </c>
      <c r="E338" s="182">
        <v>39.86</v>
      </c>
      <c r="F338" s="182">
        <v>142.77999999999997</v>
      </c>
      <c r="G338" s="182">
        <v>9.74</v>
      </c>
      <c r="H338" s="182">
        <v>26.74</v>
      </c>
      <c r="I338" s="182">
        <v>31.9</v>
      </c>
      <c r="J338" s="76"/>
      <c r="K338" s="75"/>
      <c r="L338" s="75">
        <v>251.02</v>
      </c>
      <c r="M338" s="77"/>
      <c r="N338" s="78">
        <v>37.74</v>
      </c>
      <c r="O338" s="78">
        <v>288.76</v>
      </c>
      <c r="P338" s="3">
        <v>334</v>
      </c>
      <c r="Q338" s="4"/>
      <c r="R338" s="193"/>
    </row>
    <row r="339" spans="1:18" x14ac:dyDescent="0.25">
      <c r="A339" s="73">
        <v>1386187813</v>
      </c>
      <c r="B339" s="74" t="s">
        <v>465</v>
      </c>
      <c r="C339" s="75">
        <v>243.03000000000003</v>
      </c>
      <c r="D339" s="181">
        <v>1.0482</v>
      </c>
      <c r="E339" s="182">
        <v>39.86</v>
      </c>
      <c r="F339" s="182">
        <v>137.38999999999999</v>
      </c>
      <c r="G339" s="182">
        <v>12.12</v>
      </c>
      <c r="H339" s="182">
        <v>26.74</v>
      </c>
      <c r="I339" s="182">
        <v>31.9</v>
      </c>
      <c r="J339" s="76"/>
      <c r="K339" s="75"/>
      <c r="L339" s="75">
        <v>248.01</v>
      </c>
      <c r="M339" s="77"/>
      <c r="N339" s="78">
        <v>37.74</v>
      </c>
      <c r="O339" s="78">
        <v>285.75</v>
      </c>
      <c r="P339" s="3">
        <v>335</v>
      </c>
      <c r="Q339" s="4"/>
      <c r="R339" s="193"/>
    </row>
    <row r="340" spans="1:18" x14ac:dyDescent="0.25">
      <c r="A340" s="73">
        <v>1952354565</v>
      </c>
      <c r="B340" s="74" t="s">
        <v>466</v>
      </c>
      <c r="C340" s="75">
        <v>232.75</v>
      </c>
      <c r="D340" s="181">
        <v>1.1662999999999999</v>
      </c>
      <c r="E340" s="182">
        <v>39.86</v>
      </c>
      <c r="F340" s="182">
        <v>149.10999999999999</v>
      </c>
      <c r="G340" s="182">
        <v>10.7</v>
      </c>
      <c r="H340" s="182">
        <v>8.64</v>
      </c>
      <c r="I340" s="182">
        <v>31.9</v>
      </c>
      <c r="J340" s="76"/>
      <c r="K340" s="75"/>
      <c r="L340" s="75">
        <v>240.21</v>
      </c>
      <c r="M340" s="77"/>
      <c r="N340" s="78">
        <v>37.74</v>
      </c>
      <c r="O340" s="78">
        <v>277.95</v>
      </c>
      <c r="P340" s="3">
        <v>336</v>
      </c>
      <c r="Q340" s="4"/>
      <c r="R340" s="193"/>
    </row>
    <row r="341" spans="1:18" x14ac:dyDescent="0.25">
      <c r="A341" s="73">
        <v>1912323635</v>
      </c>
      <c r="B341" s="74" t="s">
        <v>467</v>
      </c>
      <c r="C341" s="75">
        <v>250.97</v>
      </c>
      <c r="D341" s="181">
        <v>1.1940999999999999</v>
      </c>
      <c r="E341" s="182">
        <v>39.86</v>
      </c>
      <c r="F341" s="182">
        <v>149.88999999999999</v>
      </c>
      <c r="G341" s="182">
        <v>33.229999999999997</v>
      </c>
      <c r="H341" s="182">
        <v>0</v>
      </c>
      <c r="I341" s="182">
        <v>31.9</v>
      </c>
      <c r="J341" s="76"/>
      <c r="K341" s="75"/>
      <c r="L341" s="75">
        <v>254.88</v>
      </c>
      <c r="M341" s="77"/>
      <c r="N341" s="78">
        <v>37.74</v>
      </c>
      <c r="O341" s="78">
        <v>292.62</v>
      </c>
      <c r="P341" s="3">
        <v>337</v>
      </c>
      <c r="Q341" s="4"/>
      <c r="R341" s="193"/>
    </row>
    <row r="342" spans="1:18" x14ac:dyDescent="0.25">
      <c r="A342" s="73">
        <v>1912902230</v>
      </c>
      <c r="B342" s="74" t="s">
        <v>468</v>
      </c>
      <c r="C342" s="75">
        <v>273.25</v>
      </c>
      <c r="D342" s="181">
        <v>1.1697</v>
      </c>
      <c r="E342" s="182">
        <v>39.86</v>
      </c>
      <c r="F342" s="182">
        <v>147.14999999999998</v>
      </c>
      <c r="G342" s="182">
        <v>29.01</v>
      </c>
      <c r="H342" s="182">
        <v>26.74</v>
      </c>
      <c r="I342" s="182">
        <v>31.9</v>
      </c>
      <c r="J342" s="76"/>
      <c r="K342" s="75"/>
      <c r="L342" s="75">
        <v>274.66000000000003</v>
      </c>
      <c r="M342" s="77"/>
      <c r="N342" s="78">
        <v>37.74</v>
      </c>
      <c r="O342" s="78">
        <v>312.40000000000003</v>
      </c>
      <c r="P342" s="3">
        <v>338</v>
      </c>
      <c r="Q342" s="4"/>
      <c r="R342" s="193"/>
    </row>
    <row r="343" spans="1:18" x14ac:dyDescent="0.25">
      <c r="A343" s="73">
        <v>1194028118</v>
      </c>
      <c r="B343" s="74" t="s">
        <v>469</v>
      </c>
      <c r="C343" s="75">
        <v>276.23</v>
      </c>
      <c r="D343" s="181">
        <v>1.1197999999999999</v>
      </c>
      <c r="E343" s="182">
        <v>39.86</v>
      </c>
      <c r="F343" s="182">
        <v>143.82999999999998</v>
      </c>
      <c r="G343" s="182">
        <v>30.11</v>
      </c>
      <c r="H343" s="182">
        <v>26.74</v>
      </c>
      <c r="I343" s="182">
        <v>31.9</v>
      </c>
      <c r="J343" s="76"/>
      <c r="K343" s="75"/>
      <c r="L343" s="75">
        <v>276.23</v>
      </c>
      <c r="M343" s="77"/>
      <c r="N343" s="78">
        <v>37.74</v>
      </c>
      <c r="O343" s="78">
        <v>313.97000000000003</v>
      </c>
      <c r="P343" s="3">
        <v>339</v>
      </c>
      <c r="Q343" s="4"/>
      <c r="R343" s="193"/>
    </row>
    <row r="344" spans="1:18" x14ac:dyDescent="0.25">
      <c r="A344" s="73">
        <v>1215931977</v>
      </c>
      <c r="B344" s="74" t="s">
        <v>470</v>
      </c>
      <c r="C344" s="75">
        <v>278.62</v>
      </c>
      <c r="D344" s="181">
        <v>1.1893</v>
      </c>
      <c r="E344" s="182">
        <v>39.86</v>
      </c>
      <c r="F344" s="182">
        <v>150.19</v>
      </c>
      <c r="G344" s="182">
        <v>30.26</v>
      </c>
      <c r="H344" s="182">
        <v>26.74</v>
      </c>
      <c r="I344" s="182">
        <v>31.9</v>
      </c>
      <c r="J344" s="76"/>
      <c r="K344" s="75"/>
      <c r="L344" s="75">
        <v>278.95</v>
      </c>
      <c r="M344" s="77"/>
      <c r="N344" s="78">
        <v>37.74</v>
      </c>
      <c r="O344" s="78">
        <v>316.69</v>
      </c>
      <c r="P344" s="3">
        <v>340</v>
      </c>
      <c r="Q344" s="4"/>
      <c r="R344" s="193"/>
    </row>
    <row r="345" spans="1:18" x14ac:dyDescent="0.25">
      <c r="A345" s="73">
        <v>1508864323</v>
      </c>
      <c r="B345" s="74" t="s">
        <v>471</v>
      </c>
      <c r="C345" s="75">
        <v>277.88</v>
      </c>
      <c r="D345" s="181">
        <v>1.2101</v>
      </c>
      <c r="E345" s="182">
        <v>39.86</v>
      </c>
      <c r="F345" s="182">
        <v>152.47</v>
      </c>
      <c r="G345" s="182">
        <v>31.12</v>
      </c>
      <c r="H345" s="182">
        <v>26.74</v>
      </c>
      <c r="I345" s="182">
        <v>31.9</v>
      </c>
      <c r="J345" s="76"/>
      <c r="K345" s="75"/>
      <c r="L345" s="75">
        <v>282.08999999999997</v>
      </c>
      <c r="M345" s="77"/>
      <c r="N345" s="78">
        <v>37.74</v>
      </c>
      <c r="O345" s="78">
        <v>319.83</v>
      </c>
      <c r="P345" s="3">
        <v>341</v>
      </c>
      <c r="Q345" s="4"/>
      <c r="R345" s="193"/>
    </row>
    <row r="346" spans="1:18" x14ac:dyDescent="0.25">
      <c r="A346" s="73">
        <v>1427052067</v>
      </c>
      <c r="B346" s="74" t="s">
        <v>472</v>
      </c>
      <c r="C346" s="75">
        <v>282.17999999999995</v>
      </c>
      <c r="D346" s="181">
        <v>1.2789999999999999</v>
      </c>
      <c r="E346" s="182">
        <v>39.86</v>
      </c>
      <c r="F346" s="182">
        <v>160.82</v>
      </c>
      <c r="G346" s="182">
        <v>24.73</v>
      </c>
      <c r="H346" s="182">
        <v>26.74</v>
      </c>
      <c r="I346" s="182">
        <v>31.9</v>
      </c>
      <c r="J346" s="76"/>
      <c r="K346" s="75"/>
      <c r="L346" s="75">
        <v>284.05</v>
      </c>
      <c r="M346" s="77"/>
      <c r="N346" s="78">
        <v>37.74</v>
      </c>
      <c r="O346" s="78">
        <v>321.79000000000002</v>
      </c>
      <c r="P346" s="3">
        <v>342</v>
      </c>
      <c r="Q346" s="4"/>
      <c r="R346" s="193"/>
    </row>
    <row r="347" spans="1:18" x14ac:dyDescent="0.25">
      <c r="A347" s="73">
        <v>1669449799</v>
      </c>
      <c r="B347" s="74" t="s">
        <v>473</v>
      </c>
      <c r="C347" s="75">
        <v>240.95</v>
      </c>
      <c r="D347" s="181">
        <v>0.93200000000000005</v>
      </c>
      <c r="E347" s="182">
        <v>39.86</v>
      </c>
      <c r="F347" s="182">
        <v>127.4</v>
      </c>
      <c r="G347" s="182">
        <v>38.049999999999997</v>
      </c>
      <c r="H347" s="182">
        <v>0</v>
      </c>
      <c r="I347" s="182">
        <v>31.9</v>
      </c>
      <c r="J347" s="76"/>
      <c r="K347" s="75"/>
      <c r="L347" s="75">
        <v>240.95</v>
      </c>
      <c r="M347" s="77"/>
      <c r="N347" s="78">
        <v>37.74</v>
      </c>
      <c r="O347" s="78">
        <v>278.69</v>
      </c>
      <c r="P347" s="3">
        <v>343</v>
      </c>
      <c r="Q347" s="4"/>
      <c r="R347" s="193"/>
    </row>
    <row r="348" spans="1:18" x14ac:dyDescent="0.25">
      <c r="A348" s="73">
        <v>1720088339</v>
      </c>
      <c r="B348" s="74" t="s">
        <v>474</v>
      </c>
      <c r="C348" s="75">
        <v>248.53000000000003</v>
      </c>
      <c r="D348" s="181">
        <v>1.0246999999999999</v>
      </c>
      <c r="E348" s="182">
        <v>39.86</v>
      </c>
      <c r="F348" s="182">
        <v>135.42999999999998</v>
      </c>
      <c r="G348" s="182">
        <v>11.31</v>
      </c>
      <c r="H348" s="182">
        <v>26.74</v>
      </c>
      <c r="I348" s="182">
        <v>31.9</v>
      </c>
      <c r="J348" s="76"/>
      <c r="K348" s="75"/>
      <c r="L348" s="75">
        <v>248.53000000000003</v>
      </c>
      <c r="M348" s="77"/>
      <c r="N348" s="78">
        <v>37.74</v>
      </c>
      <c r="O348" s="78">
        <v>286.27000000000004</v>
      </c>
      <c r="P348" s="3">
        <v>344</v>
      </c>
      <c r="Q348" s="4"/>
      <c r="R348" s="193"/>
    </row>
    <row r="349" spans="1:18" x14ac:dyDescent="0.25">
      <c r="A349" s="73">
        <v>1225279755</v>
      </c>
      <c r="B349" s="74" t="s">
        <v>475</v>
      </c>
      <c r="C349" s="75">
        <v>272.35999999999996</v>
      </c>
      <c r="D349" s="181">
        <v>1.2985</v>
      </c>
      <c r="E349" s="182">
        <v>39.86</v>
      </c>
      <c r="F349" s="182">
        <v>159.74999999999997</v>
      </c>
      <c r="G349" s="182">
        <v>12.47</v>
      </c>
      <c r="H349" s="182">
        <v>26.74</v>
      </c>
      <c r="I349" s="182">
        <v>31.9</v>
      </c>
      <c r="J349" s="76"/>
      <c r="K349" s="75"/>
      <c r="L349" s="75">
        <v>272.35999999999996</v>
      </c>
      <c r="M349" s="77"/>
      <c r="N349" s="78">
        <v>37.74</v>
      </c>
      <c r="O349" s="78">
        <v>310.09999999999997</v>
      </c>
      <c r="P349" s="3">
        <v>345</v>
      </c>
      <c r="Q349" s="4"/>
      <c r="R349" s="193"/>
    </row>
    <row r="350" spans="1:18" x14ac:dyDescent="0.25">
      <c r="A350" s="73">
        <v>1235370750</v>
      </c>
      <c r="B350" s="74" t="s">
        <v>476</v>
      </c>
      <c r="C350" s="75">
        <v>282.8</v>
      </c>
      <c r="D350" s="181">
        <v>1.3462000000000001</v>
      </c>
      <c r="E350" s="182">
        <v>39.86</v>
      </c>
      <c r="F350" s="182">
        <v>160.86999999999998</v>
      </c>
      <c r="G350" s="182">
        <v>23.59</v>
      </c>
      <c r="H350" s="182">
        <v>26.74</v>
      </c>
      <c r="I350" s="182">
        <v>31.9</v>
      </c>
      <c r="J350" s="76"/>
      <c r="K350" s="75"/>
      <c r="L350" s="75">
        <v>282.95999999999998</v>
      </c>
      <c r="M350" s="77"/>
      <c r="N350" s="78">
        <v>37.74</v>
      </c>
      <c r="O350" s="78">
        <v>320.7</v>
      </c>
      <c r="P350" s="3">
        <v>346</v>
      </c>
      <c r="Q350" s="4"/>
      <c r="R350" s="193"/>
    </row>
    <row r="351" spans="1:18" x14ac:dyDescent="0.25">
      <c r="A351" s="73">
        <v>1497996920</v>
      </c>
      <c r="B351" s="74" t="s">
        <v>477</v>
      </c>
      <c r="C351" s="75">
        <v>253.16000000000003</v>
      </c>
      <c r="D351" s="181">
        <v>1.2919</v>
      </c>
      <c r="E351" s="182">
        <v>39.86</v>
      </c>
      <c r="F351" s="182">
        <v>159.76000000000002</v>
      </c>
      <c r="G351" s="182">
        <v>10.67</v>
      </c>
      <c r="H351" s="182">
        <v>8.64</v>
      </c>
      <c r="I351" s="182">
        <v>31.9</v>
      </c>
      <c r="J351" s="76"/>
      <c r="K351" s="75"/>
      <c r="L351" s="75">
        <v>253.16000000000003</v>
      </c>
      <c r="M351" s="77"/>
      <c r="N351" s="78">
        <v>37.74</v>
      </c>
      <c r="O351" s="78">
        <v>290.90000000000003</v>
      </c>
      <c r="P351" s="3">
        <v>347</v>
      </c>
      <c r="Q351" s="4"/>
      <c r="R351" s="193"/>
    </row>
    <row r="352" spans="1:18" x14ac:dyDescent="0.25">
      <c r="A352" s="73">
        <v>1295704997</v>
      </c>
      <c r="B352" s="74" t="s">
        <v>478</v>
      </c>
      <c r="C352" s="75">
        <v>269.33</v>
      </c>
      <c r="D352" s="181">
        <v>1.2506999999999999</v>
      </c>
      <c r="E352" s="182">
        <v>39.86</v>
      </c>
      <c r="F352" s="182">
        <v>155.05999999999997</v>
      </c>
      <c r="G352" s="182">
        <v>23.09</v>
      </c>
      <c r="H352" s="182">
        <v>26.74</v>
      </c>
      <c r="I352" s="182">
        <v>31.9</v>
      </c>
      <c r="J352" s="76"/>
      <c r="K352" s="75"/>
      <c r="L352" s="75">
        <v>276.64999999999998</v>
      </c>
      <c r="M352" s="77"/>
      <c r="N352" s="78">
        <v>37.74</v>
      </c>
      <c r="O352" s="78">
        <v>314.39</v>
      </c>
      <c r="P352" s="3">
        <v>348</v>
      </c>
      <c r="Q352" s="4"/>
      <c r="R352" s="193"/>
    </row>
    <row r="353" spans="1:18" x14ac:dyDescent="0.25">
      <c r="A353" s="73">
        <v>1629047279</v>
      </c>
      <c r="B353" s="74" t="s">
        <v>479</v>
      </c>
      <c r="C353" s="75">
        <v>274.47999999999996</v>
      </c>
      <c r="D353" s="181">
        <v>1.3721000000000001</v>
      </c>
      <c r="E353" s="182">
        <v>39.86</v>
      </c>
      <c r="F353" s="182">
        <v>164.44</v>
      </c>
      <c r="G353" s="182">
        <v>11.96</v>
      </c>
      <c r="H353" s="182">
        <v>26.74</v>
      </c>
      <c r="I353" s="182">
        <v>31.9</v>
      </c>
      <c r="J353" s="76"/>
      <c r="K353" s="75"/>
      <c r="L353" s="75">
        <v>274.89999999999998</v>
      </c>
      <c r="M353" s="77"/>
      <c r="N353" s="78">
        <v>37.74</v>
      </c>
      <c r="O353" s="78">
        <v>312.64</v>
      </c>
      <c r="P353" s="3">
        <v>349</v>
      </c>
      <c r="Q353" s="4"/>
      <c r="R353" s="193"/>
    </row>
    <row r="354" spans="1:18" x14ac:dyDescent="0.25">
      <c r="A354" s="73">
        <v>1144299702</v>
      </c>
      <c r="B354" s="74" t="s">
        <v>480</v>
      </c>
      <c r="C354" s="75">
        <v>255.94</v>
      </c>
      <c r="D354" s="181">
        <v>1.2446999999999999</v>
      </c>
      <c r="E354" s="182">
        <v>39.86</v>
      </c>
      <c r="F354" s="182">
        <v>155.76000000000002</v>
      </c>
      <c r="G354" s="182">
        <v>18.059999999999999</v>
      </c>
      <c r="H354" s="182">
        <v>8.64</v>
      </c>
      <c r="I354" s="182">
        <v>31.9</v>
      </c>
      <c r="J354" s="76"/>
      <c r="K354" s="75"/>
      <c r="L354" s="75">
        <v>255.94</v>
      </c>
      <c r="M354" s="77"/>
      <c r="N354" s="78">
        <v>37.74</v>
      </c>
      <c r="O354" s="78">
        <v>293.68</v>
      </c>
      <c r="P354" s="3">
        <v>350</v>
      </c>
      <c r="Q354" s="4"/>
      <c r="R354" s="193"/>
    </row>
    <row r="355" spans="1:18" x14ac:dyDescent="0.25">
      <c r="A355" s="73">
        <v>1437484672</v>
      </c>
      <c r="B355" s="74" t="s">
        <v>481</v>
      </c>
      <c r="C355" s="75">
        <v>275.89000000000004</v>
      </c>
      <c r="D355" s="181">
        <v>1.3240000000000001</v>
      </c>
      <c r="E355" s="182">
        <v>39.86</v>
      </c>
      <c r="F355" s="182">
        <v>160.48999999999998</v>
      </c>
      <c r="G355" s="182">
        <v>21.8</v>
      </c>
      <c r="H355" s="182">
        <v>26.74</v>
      </c>
      <c r="I355" s="182">
        <v>31.9</v>
      </c>
      <c r="J355" s="76"/>
      <c r="K355" s="75"/>
      <c r="L355" s="75">
        <v>280.79000000000002</v>
      </c>
      <c r="M355" s="77"/>
      <c r="N355" s="78">
        <v>37.74</v>
      </c>
      <c r="O355" s="78">
        <v>318.53000000000003</v>
      </c>
      <c r="P355" s="3">
        <v>351</v>
      </c>
      <c r="Q355" s="4"/>
      <c r="R355" s="193"/>
    </row>
    <row r="356" spans="1:18" x14ac:dyDescent="0.25">
      <c r="A356" s="73">
        <v>1942279609</v>
      </c>
      <c r="B356" s="74" t="s">
        <v>482</v>
      </c>
      <c r="C356" s="75">
        <v>266.77999999999997</v>
      </c>
      <c r="D356" s="181">
        <v>1.3653</v>
      </c>
      <c r="E356" s="182">
        <v>39.86</v>
      </c>
      <c r="F356" s="182">
        <v>163.05999999999997</v>
      </c>
      <c r="G356" s="182">
        <v>8.1</v>
      </c>
      <c r="H356" s="182">
        <v>26.74</v>
      </c>
      <c r="I356" s="182">
        <v>31.9</v>
      </c>
      <c r="J356" s="76"/>
      <c r="K356" s="75"/>
      <c r="L356" s="75">
        <v>269.66000000000003</v>
      </c>
      <c r="M356" s="77"/>
      <c r="N356" s="78">
        <v>37.74</v>
      </c>
      <c r="O356" s="78">
        <v>307.40000000000003</v>
      </c>
      <c r="P356" s="3">
        <v>352</v>
      </c>
      <c r="Q356" s="4"/>
      <c r="R356" s="193"/>
    </row>
    <row r="357" spans="1:18" x14ac:dyDescent="0.25">
      <c r="A357" s="73">
        <v>1114996758</v>
      </c>
      <c r="B357" s="74" t="s">
        <v>483</v>
      </c>
      <c r="C357" s="75">
        <v>276.43</v>
      </c>
      <c r="D357" s="181">
        <v>1.3076000000000001</v>
      </c>
      <c r="E357" s="182">
        <v>39.86</v>
      </c>
      <c r="F357" s="182">
        <v>158.76</v>
      </c>
      <c r="G357" s="182">
        <v>17.239999999999998</v>
      </c>
      <c r="H357" s="182">
        <v>26.74</v>
      </c>
      <c r="I357" s="182">
        <v>31.9</v>
      </c>
      <c r="J357" s="76"/>
      <c r="K357" s="75"/>
      <c r="L357" s="75">
        <v>276.43</v>
      </c>
      <c r="M357" s="77"/>
      <c r="N357" s="78">
        <v>37.74</v>
      </c>
      <c r="O357" s="78">
        <v>314.17</v>
      </c>
      <c r="P357" s="3">
        <v>353</v>
      </c>
      <c r="Q357" s="4"/>
      <c r="R357" s="193"/>
    </row>
    <row r="358" spans="1:18" x14ac:dyDescent="0.25">
      <c r="A358" s="73">
        <v>1902875578</v>
      </c>
      <c r="B358" s="74" t="s">
        <v>484</v>
      </c>
      <c r="C358" s="75">
        <v>280.5</v>
      </c>
      <c r="D358" s="181">
        <v>1.3657999999999999</v>
      </c>
      <c r="E358" s="182">
        <v>39.86</v>
      </c>
      <c r="F358" s="182">
        <v>164.36999999999998</v>
      </c>
      <c r="G358" s="182">
        <v>17.420000000000002</v>
      </c>
      <c r="H358" s="182">
        <v>26.74</v>
      </c>
      <c r="I358" s="182">
        <v>31.9</v>
      </c>
      <c r="J358" s="76"/>
      <c r="K358" s="75"/>
      <c r="L358" s="75">
        <v>280.5</v>
      </c>
      <c r="M358" s="77"/>
      <c r="N358" s="78">
        <v>37.74</v>
      </c>
      <c r="O358" s="78">
        <v>318.24</v>
      </c>
      <c r="P358" s="3">
        <v>354</v>
      </c>
      <c r="Q358" s="4"/>
      <c r="R358" s="193"/>
    </row>
    <row r="359" spans="1:18" x14ac:dyDescent="0.25">
      <c r="A359" s="73">
        <v>1588805014</v>
      </c>
      <c r="B359" s="74" t="s">
        <v>485</v>
      </c>
      <c r="C359" s="75">
        <v>283.39999999999998</v>
      </c>
      <c r="D359" s="181">
        <v>1.3915</v>
      </c>
      <c r="E359" s="182">
        <v>39.86</v>
      </c>
      <c r="F359" s="182">
        <v>165.99999999999997</v>
      </c>
      <c r="G359" s="182">
        <v>27.71</v>
      </c>
      <c r="H359" s="182">
        <v>26.74</v>
      </c>
      <c r="I359" s="182">
        <v>31.9</v>
      </c>
      <c r="J359" s="76"/>
      <c r="K359" s="75"/>
      <c r="L359" s="75">
        <v>292.20999999999998</v>
      </c>
      <c r="M359" s="77"/>
      <c r="N359" s="78">
        <v>37.74</v>
      </c>
      <c r="O359" s="78">
        <v>329.95</v>
      </c>
      <c r="P359" s="3">
        <v>355</v>
      </c>
      <c r="Q359" s="4"/>
      <c r="R359" s="193"/>
    </row>
    <row r="360" spans="1:18" x14ac:dyDescent="0.25">
      <c r="A360" s="73">
        <v>1669408969</v>
      </c>
      <c r="B360" s="74" t="s">
        <v>486</v>
      </c>
      <c r="C360" s="75">
        <v>237.66999999999996</v>
      </c>
      <c r="D360" s="181">
        <v>1.0992999999999999</v>
      </c>
      <c r="E360" s="182">
        <v>39.86</v>
      </c>
      <c r="F360" s="182">
        <v>141.43999999999997</v>
      </c>
      <c r="G360" s="182">
        <v>18.64</v>
      </c>
      <c r="H360" s="182">
        <v>8.64</v>
      </c>
      <c r="I360" s="182">
        <v>31.9</v>
      </c>
      <c r="J360" s="76"/>
      <c r="K360" s="75"/>
      <c r="L360" s="75">
        <v>240.48</v>
      </c>
      <c r="M360" s="77"/>
      <c r="N360" s="78">
        <v>37.74</v>
      </c>
      <c r="O360" s="78">
        <v>278.21999999999997</v>
      </c>
      <c r="P360" s="3">
        <v>356</v>
      </c>
      <c r="Q360" s="4"/>
      <c r="R360" s="193"/>
    </row>
    <row r="361" spans="1:18" x14ac:dyDescent="0.25">
      <c r="A361" s="73">
        <v>1689640583</v>
      </c>
      <c r="B361" s="74" t="s">
        <v>487</v>
      </c>
      <c r="C361" s="75">
        <v>277.8</v>
      </c>
      <c r="D361" s="181">
        <v>1.3571</v>
      </c>
      <c r="E361" s="182">
        <v>39.86</v>
      </c>
      <c r="F361" s="182">
        <v>163.35999999999999</v>
      </c>
      <c r="G361" s="182">
        <v>11.5</v>
      </c>
      <c r="H361" s="182">
        <v>26.74</v>
      </c>
      <c r="I361" s="182">
        <v>31.9</v>
      </c>
      <c r="J361" s="76"/>
      <c r="K361" s="75"/>
      <c r="L361" s="75">
        <v>277.8</v>
      </c>
      <c r="M361" s="77"/>
      <c r="N361" s="78">
        <v>37.74</v>
      </c>
      <c r="O361" s="78">
        <v>315.54000000000002</v>
      </c>
      <c r="P361" s="3">
        <v>357</v>
      </c>
      <c r="Q361" s="4"/>
      <c r="R361" s="193"/>
    </row>
    <row r="362" spans="1:18" x14ac:dyDescent="0.25">
      <c r="A362" s="73">
        <v>1831125285</v>
      </c>
      <c r="B362" s="74" t="s">
        <v>488</v>
      </c>
      <c r="C362" s="75">
        <v>245.92999999999998</v>
      </c>
      <c r="D362" s="181">
        <v>1.0502</v>
      </c>
      <c r="E362" s="182">
        <v>39.86</v>
      </c>
      <c r="F362" s="182">
        <v>137.58999999999997</v>
      </c>
      <c r="G362" s="182">
        <v>12.41</v>
      </c>
      <c r="H362" s="182">
        <v>26.74</v>
      </c>
      <c r="I362" s="182">
        <v>31.9</v>
      </c>
      <c r="J362" s="76"/>
      <c r="K362" s="75"/>
      <c r="L362" s="75">
        <v>248.5</v>
      </c>
      <c r="M362" s="77"/>
      <c r="N362" s="78">
        <v>37.74</v>
      </c>
      <c r="O362" s="78">
        <v>286.24</v>
      </c>
      <c r="P362" s="3">
        <v>358</v>
      </c>
      <c r="Q362" s="4"/>
      <c r="R362" s="193"/>
    </row>
    <row r="363" spans="1:18" x14ac:dyDescent="0.25">
      <c r="A363" s="73">
        <v>1871063214</v>
      </c>
      <c r="B363" s="74" t="s">
        <v>489</v>
      </c>
      <c r="C363" s="75">
        <v>247.64000000000001</v>
      </c>
      <c r="D363" s="181">
        <v>1.0001</v>
      </c>
      <c r="E363" s="182">
        <v>39.86</v>
      </c>
      <c r="F363" s="182">
        <v>133.36999999999998</v>
      </c>
      <c r="G363" s="182">
        <v>14.28</v>
      </c>
      <c r="H363" s="182">
        <v>26.74</v>
      </c>
      <c r="I363" s="182">
        <v>31.9</v>
      </c>
      <c r="J363" s="76"/>
      <c r="K363" s="75"/>
      <c r="L363" s="75">
        <v>247.64000000000001</v>
      </c>
      <c r="M363" s="77"/>
      <c r="N363" s="78">
        <v>37.74</v>
      </c>
      <c r="O363" s="78">
        <v>285.38</v>
      </c>
      <c r="P363" s="3">
        <v>359</v>
      </c>
      <c r="Q363" s="4"/>
      <c r="R363" s="193"/>
    </row>
    <row r="364" spans="1:18" x14ac:dyDescent="0.25">
      <c r="A364" s="73">
        <v>1629515499</v>
      </c>
      <c r="B364" s="74" t="s">
        <v>490</v>
      </c>
      <c r="C364" s="75">
        <v>259.51000000000005</v>
      </c>
      <c r="D364" s="181">
        <v>1.1375</v>
      </c>
      <c r="E364" s="182">
        <v>39.86</v>
      </c>
      <c r="F364" s="182">
        <v>145.32</v>
      </c>
      <c r="G364" s="182">
        <v>17.11</v>
      </c>
      <c r="H364" s="182">
        <v>26.74</v>
      </c>
      <c r="I364" s="182">
        <v>31.9</v>
      </c>
      <c r="J364" s="76"/>
      <c r="K364" s="75"/>
      <c r="L364" s="75">
        <v>260.93</v>
      </c>
      <c r="M364" s="77"/>
      <c r="N364" s="78">
        <v>37.74</v>
      </c>
      <c r="O364" s="78">
        <v>298.67</v>
      </c>
      <c r="P364" s="3">
        <v>360</v>
      </c>
      <c r="Q364" s="4"/>
      <c r="R364" s="193"/>
    </row>
    <row r="365" spans="1:18" x14ac:dyDescent="0.25">
      <c r="A365" s="73">
        <v>1134660103</v>
      </c>
      <c r="B365" s="74" t="s">
        <v>491</v>
      </c>
      <c r="C365" s="75">
        <v>288.23</v>
      </c>
      <c r="D365" s="181">
        <v>1.3711</v>
      </c>
      <c r="E365" s="182">
        <v>39.86</v>
      </c>
      <c r="F365" s="182">
        <v>167.13</v>
      </c>
      <c r="G365" s="182">
        <v>21.41</v>
      </c>
      <c r="H365" s="182">
        <v>26.74</v>
      </c>
      <c r="I365" s="182">
        <v>31.9</v>
      </c>
      <c r="J365" s="76"/>
      <c r="K365" s="75"/>
      <c r="L365" s="75">
        <v>288.23</v>
      </c>
      <c r="M365" s="77"/>
      <c r="N365" s="78">
        <v>37.74</v>
      </c>
      <c r="O365" s="78">
        <v>325.97000000000003</v>
      </c>
      <c r="P365" s="3">
        <v>361</v>
      </c>
      <c r="Q365" s="4"/>
      <c r="R365" s="193"/>
    </row>
    <row r="366" spans="1:18" x14ac:dyDescent="0.25">
      <c r="A366" s="73">
        <v>1447736087</v>
      </c>
      <c r="B366" s="74" t="s">
        <v>492</v>
      </c>
      <c r="C366" s="75">
        <v>261.85999999999996</v>
      </c>
      <c r="D366" s="181">
        <v>1.2513000000000001</v>
      </c>
      <c r="E366" s="182">
        <v>39.86</v>
      </c>
      <c r="F366" s="182">
        <v>151.38999999999999</v>
      </c>
      <c r="G366" s="182">
        <v>8.98</v>
      </c>
      <c r="H366" s="182">
        <v>26.74</v>
      </c>
      <c r="I366" s="182">
        <v>31.9</v>
      </c>
      <c r="J366" s="76"/>
      <c r="K366" s="75"/>
      <c r="L366" s="75">
        <v>261.85999999999996</v>
      </c>
      <c r="M366" s="77"/>
      <c r="N366" s="78">
        <v>37.74</v>
      </c>
      <c r="O366" s="78">
        <v>299.59999999999997</v>
      </c>
      <c r="P366" s="3">
        <v>362</v>
      </c>
      <c r="Q366" s="4"/>
      <c r="R366" s="193"/>
    </row>
    <row r="367" spans="1:18" x14ac:dyDescent="0.25">
      <c r="A367" s="73">
        <v>1609996552</v>
      </c>
      <c r="B367" s="74" t="s">
        <v>787</v>
      </c>
      <c r="C367" s="75">
        <v>272.27</v>
      </c>
      <c r="D367" s="181">
        <v>1.1513</v>
      </c>
      <c r="E367" s="182">
        <v>39.86</v>
      </c>
      <c r="F367" s="182">
        <v>144.22999999999999</v>
      </c>
      <c r="G367" s="182">
        <v>23.64</v>
      </c>
      <c r="H367" s="182">
        <v>26.74</v>
      </c>
      <c r="I367" s="182">
        <v>31.9</v>
      </c>
      <c r="J367" s="76"/>
      <c r="K367" s="75"/>
      <c r="L367" s="75">
        <v>272.27</v>
      </c>
      <c r="M367" s="77"/>
      <c r="N367" s="78">
        <v>37.74</v>
      </c>
      <c r="O367" s="78">
        <v>310.01</v>
      </c>
      <c r="P367" s="3">
        <v>363</v>
      </c>
      <c r="Q367" s="4"/>
      <c r="R367" s="193"/>
    </row>
    <row r="368" spans="1:18" x14ac:dyDescent="0.25">
      <c r="A368" s="73">
        <v>1659319366</v>
      </c>
      <c r="B368" s="74" t="s">
        <v>493</v>
      </c>
      <c r="C368" s="75">
        <v>266.88</v>
      </c>
      <c r="D368" s="181">
        <v>1.2688999999999999</v>
      </c>
      <c r="E368" s="182">
        <v>39.86</v>
      </c>
      <c r="F368" s="182">
        <v>157.1</v>
      </c>
      <c r="G368" s="182">
        <v>7.92</v>
      </c>
      <c r="H368" s="182">
        <v>26.74</v>
      </c>
      <c r="I368" s="182">
        <v>31.9</v>
      </c>
      <c r="J368" s="76"/>
      <c r="K368" s="75"/>
      <c r="L368" s="75">
        <v>266.88</v>
      </c>
      <c r="M368" s="77"/>
      <c r="N368" s="78">
        <v>37.74</v>
      </c>
      <c r="O368" s="78">
        <v>304.62</v>
      </c>
      <c r="P368" s="3">
        <v>364</v>
      </c>
      <c r="Q368" s="4"/>
      <c r="R368" s="193"/>
    </row>
    <row r="369" spans="1:18" x14ac:dyDescent="0.25">
      <c r="A369" s="73">
        <v>1972050276</v>
      </c>
      <c r="B369" s="74" t="s">
        <v>494</v>
      </c>
      <c r="C369" s="75">
        <v>258.06</v>
      </c>
      <c r="D369" s="181">
        <v>1.2211000000000001</v>
      </c>
      <c r="E369" s="182">
        <v>39.86</v>
      </c>
      <c r="F369" s="182">
        <v>152.44</v>
      </c>
      <c r="G369" s="182">
        <v>8.02</v>
      </c>
      <c r="H369" s="182">
        <v>26.74</v>
      </c>
      <c r="I369" s="182">
        <v>31.9</v>
      </c>
      <c r="J369" s="76"/>
      <c r="K369" s="75"/>
      <c r="L369" s="75">
        <v>258.95999999999998</v>
      </c>
      <c r="M369" s="77"/>
      <c r="N369" s="78">
        <v>37.74</v>
      </c>
      <c r="O369" s="78">
        <v>296.7</v>
      </c>
      <c r="P369" s="3">
        <v>365</v>
      </c>
      <c r="Q369" s="4"/>
      <c r="R369" s="193"/>
    </row>
    <row r="370" spans="1:18" x14ac:dyDescent="0.25">
      <c r="A370" s="73">
        <v>1023386190</v>
      </c>
      <c r="B370" s="74" t="s">
        <v>495</v>
      </c>
      <c r="C370" s="75">
        <v>244.73</v>
      </c>
      <c r="D370" s="181">
        <v>1.1234</v>
      </c>
      <c r="E370" s="182">
        <v>39.86</v>
      </c>
      <c r="F370" s="182">
        <v>143.70999999999998</v>
      </c>
      <c r="G370" s="182">
        <v>11.15</v>
      </c>
      <c r="H370" s="182">
        <v>26.74</v>
      </c>
      <c r="I370" s="182">
        <v>31.9</v>
      </c>
      <c r="J370" s="76"/>
      <c r="K370" s="75"/>
      <c r="L370" s="75">
        <v>253.36</v>
      </c>
      <c r="M370" s="77"/>
      <c r="N370" s="78">
        <v>37.74</v>
      </c>
      <c r="O370" s="78">
        <v>291.10000000000002</v>
      </c>
      <c r="P370" s="3">
        <v>366</v>
      </c>
      <c r="Q370" s="4"/>
      <c r="R370" s="193"/>
    </row>
    <row r="371" spans="1:18" x14ac:dyDescent="0.25">
      <c r="A371" s="73">
        <v>1154369841</v>
      </c>
      <c r="B371" s="74" t="s">
        <v>496</v>
      </c>
      <c r="C371" s="75">
        <v>253.03000000000003</v>
      </c>
      <c r="D371" s="181">
        <v>1.0621</v>
      </c>
      <c r="E371" s="182">
        <v>39.86</v>
      </c>
      <c r="F371" s="182">
        <v>139.20999999999998</v>
      </c>
      <c r="G371" s="182">
        <v>14.24</v>
      </c>
      <c r="H371" s="182">
        <v>26.74</v>
      </c>
      <c r="I371" s="182">
        <v>31.9</v>
      </c>
      <c r="J371" s="76"/>
      <c r="K371" s="75"/>
      <c r="L371" s="75">
        <v>253.03000000000003</v>
      </c>
      <c r="M371" s="77"/>
      <c r="N371" s="78">
        <v>37.74</v>
      </c>
      <c r="O371" s="78">
        <v>290.77000000000004</v>
      </c>
      <c r="P371" s="3">
        <v>367</v>
      </c>
      <c r="Q371" s="4"/>
      <c r="R371" s="193"/>
    </row>
    <row r="372" spans="1:18" x14ac:dyDescent="0.25">
      <c r="A372" s="73">
        <v>1639153919</v>
      </c>
      <c r="B372" s="74" t="s">
        <v>497</v>
      </c>
      <c r="C372" s="75">
        <v>231.12000000000003</v>
      </c>
      <c r="D372" s="181">
        <v>1.0641</v>
      </c>
      <c r="E372" s="182">
        <v>39.86</v>
      </c>
      <c r="F372" s="182">
        <v>137.73999999999998</v>
      </c>
      <c r="G372" s="182">
        <v>22.15</v>
      </c>
      <c r="H372" s="182">
        <v>0</v>
      </c>
      <c r="I372" s="182">
        <v>31.9</v>
      </c>
      <c r="J372" s="76"/>
      <c r="K372" s="75"/>
      <c r="L372" s="75">
        <v>231.65</v>
      </c>
      <c r="M372" s="77"/>
      <c r="N372" s="78">
        <v>37.74</v>
      </c>
      <c r="O372" s="78">
        <v>269.39</v>
      </c>
      <c r="P372" s="3">
        <v>368</v>
      </c>
      <c r="Q372" s="4"/>
      <c r="R372" s="193"/>
    </row>
    <row r="373" spans="1:18" x14ac:dyDescent="0.25">
      <c r="A373" s="73">
        <v>1043314602</v>
      </c>
      <c r="B373" s="74" t="s">
        <v>498</v>
      </c>
      <c r="C373" s="75">
        <v>287.48</v>
      </c>
      <c r="D373" s="181">
        <v>1.3228</v>
      </c>
      <c r="E373" s="182">
        <v>39.86</v>
      </c>
      <c r="F373" s="182">
        <v>162.73999999999998</v>
      </c>
      <c r="G373" s="182">
        <v>23.86</v>
      </c>
      <c r="H373" s="182">
        <v>26.74</v>
      </c>
      <c r="I373" s="182">
        <v>31.9</v>
      </c>
      <c r="J373" s="76"/>
      <c r="K373" s="75"/>
      <c r="L373" s="75">
        <v>287.48</v>
      </c>
      <c r="M373" s="77"/>
      <c r="N373" s="78">
        <v>37.74</v>
      </c>
      <c r="O373" s="78">
        <v>325.22000000000003</v>
      </c>
      <c r="P373" s="3">
        <v>369</v>
      </c>
      <c r="Q373" s="4"/>
      <c r="R373" s="193"/>
    </row>
    <row r="374" spans="1:18" x14ac:dyDescent="0.25">
      <c r="A374" s="73">
        <v>1891740544</v>
      </c>
      <c r="B374" s="74" t="s">
        <v>499</v>
      </c>
      <c r="C374" s="75">
        <v>267.54000000000002</v>
      </c>
      <c r="D374" s="181">
        <v>1.1444000000000001</v>
      </c>
      <c r="E374" s="182">
        <v>39.86</v>
      </c>
      <c r="F374" s="182">
        <v>144.91999999999999</v>
      </c>
      <c r="G374" s="182">
        <v>26.89</v>
      </c>
      <c r="H374" s="182">
        <v>26.74</v>
      </c>
      <c r="I374" s="182">
        <v>31.9</v>
      </c>
      <c r="J374" s="76"/>
      <c r="K374" s="75"/>
      <c r="L374" s="75">
        <v>270.31</v>
      </c>
      <c r="M374" s="77"/>
      <c r="N374" s="78">
        <v>37.74</v>
      </c>
      <c r="O374" s="78">
        <v>308.05</v>
      </c>
      <c r="P374" s="3">
        <v>370</v>
      </c>
      <c r="Q374" s="4"/>
      <c r="R374" s="193"/>
    </row>
    <row r="375" spans="1:18" x14ac:dyDescent="0.25">
      <c r="A375" s="73">
        <v>1700821865</v>
      </c>
      <c r="B375" s="74" t="s">
        <v>500</v>
      </c>
      <c r="C375" s="75">
        <v>269.38</v>
      </c>
      <c r="D375" s="181">
        <v>1.2192000000000001</v>
      </c>
      <c r="E375" s="182">
        <v>39.86</v>
      </c>
      <c r="F375" s="182">
        <v>152.67999999999998</v>
      </c>
      <c r="G375" s="182">
        <v>14.82</v>
      </c>
      <c r="H375" s="182">
        <v>26.74</v>
      </c>
      <c r="I375" s="182">
        <v>31.9</v>
      </c>
      <c r="J375" s="76"/>
      <c r="K375" s="75"/>
      <c r="L375" s="75">
        <v>269.38</v>
      </c>
      <c r="M375" s="77"/>
      <c r="N375" s="78">
        <v>37.74</v>
      </c>
      <c r="O375" s="78">
        <v>307.12</v>
      </c>
      <c r="P375" s="3">
        <v>371</v>
      </c>
      <c r="Q375" s="4"/>
      <c r="R375" s="193"/>
    </row>
    <row r="376" spans="1:18" x14ac:dyDescent="0.25">
      <c r="A376" s="73">
        <v>1184650541</v>
      </c>
      <c r="B376" s="74" t="s">
        <v>501</v>
      </c>
      <c r="C376" s="75">
        <v>253.39</v>
      </c>
      <c r="D376" s="181">
        <v>1.3856999999999999</v>
      </c>
      <c r="E376" s="182">
        <v>39.86</v>
      </c>
      <c r="F376" s="182">
        <v>163.9</v>
      </c>
      <c r="G376" s="182">
        <v>10.68</v>
      </c>
      <c r="H376" s="182">
        <v>8.64</v>
      </c>
      <c r="I376" s="182">
        <v>31.9</v>
      </c>
      <c r="J376" s="76"/>
      <c r="K376" s="75"/>
      <c r="L376" s="75">
        <v>254.98</v>
      </c>
      <c r="M376" s="77"/>
      <c r="N376" s="78">
        <v>37.74</v>
      </c>
      <c r="O376" s="78">
        <v>292.71999999999997</v>
      </c>
      <c r="P376" s="3">
        <v>372</v>
      </c>
      <c r="Q376" s="4"/>
      <c r="R376" s="193"/>
    </row>
    <row r="377" spans="1:18" x14ac:dyDescent="0.25">
      <c r="A377" s="73">
        <v>1902853781</v>
      </c>
      <c r="B377" s="74" t="s">
        <v>502</v>
      </c>
      <c r="C377" s="75">
        <v>290.74</v>
      </c>
      <c r="D377" s="181">
        <v>1.3577999999999999</v>
      </c>
      <c r="E377" s="182">
        <v>39.86</v>
      </c>
      <c r="F377" s="182">
        <v>163.54999999999998</v>
      </c>
      <c r="G377" s="182">
        <v>30.27</v>
      </c>
      <c r="H377" s="182">
        <v>26.74</v>
      </c>
      <c r="I377" s="182">
        <v>31.9</v>
      </c>
      <c r="J377" s="76"/>
      <c r="K377" s="75"/>
      <c r="L377" s="75">
        <v>292.32</v>
      </c>
      <c r="M377" s="77"/>
      <c r="N377" s="78">
        <v>37.74</v>
      </c>
      <c r="O377" s="78">
        <v>330.06</v>
      </c>
      <c r="P377" s="3">
        <v>373</v>
      </c>
      <c r="Q377" s="4"/>
      <c r="R377" s="193"/>
    </row>
    <row r="378" spans="1:18" x14ac:dyDescent="0.25">
      <c r="A378" s="73">
        <v>1235264219</v>
      </c>
      <c r="B378" s="74" t="s">
        <v>503</v>
      </c>
      <c r="C378" s="75">
        <v>229.84</v>
      </c>
      <c r="D378" s="181">
        <v>1.0972</v>
      </c>
      <c r="E378" s="182">
        <v>39.86</v>
      </c>
      <c r="F378" s="182">
        <v>142.81</v>
      </c>
      <c r="G378" s="182">
        <v>15.97</v>
      </c>
      <c r="H378" s="182">
        <v>0</v>
      </c>
      <c r="I378" s="182">
        <v>31.9</v>
      </c>
      <c r="J378" s="76"/>
      <c r="K378" s="75"/>
      <c r="L378" s="75">
        <v>230.54</v>
      </c>
      <c r="M378" s="77"/>
      <c r="N378" s="78">
        <v>37.74</v>
      </c>
      <c r="O378" s="78">
        <v>268.27999999999997</v>
      </c>
      <c r="P378" s="3">
        <v>374</v>
      </c>
      <c r="Q378" s="4"/>
      <c r="R378" s="193"/>
    </row>
    <row r="379" spans="1:18" x14ac:dyDescent="0.25">
      <c r="A379" s="73">
        <v>1366577355</v>
      </c>
      <c r="B379" s="74" t="s">
        <v>504</v>
      </c>
      <c r="C379" s="75">
        <v>226.63000000000002</v>
      </c>
      <c r="D379" s="181">
        <v>1.0197000000000001</v>
      </c>
      <c r="E379" s="182">
        <v>39.86</v>
      </c>
      <c r="F379" s="182">
        <v>135.19999999999999</v>
      </c>
      <c r="G379" s="182">
        <v>17.27</v>
      </c>
      <c r="H379" s="182">
        <v>0</v>
      </c>
      <c r="I379" s="182">
        <v>31.9</v>
      </c>
      <c r="J379" s="76"/>
      <c r="K379" s="75"/>
      <c r="L379" s="75">
        <v>226.63000000000002</v>
      </c>
      <c r="M379" s="77"/>
      <c r="N379" s="78">
        <v>37.74</v>
      </c>
      <c r="O379" s="78">
        <v>264.37</v>
      </c>
      <c r="P379" s="3">
        <v>375</v>
      </c>
      <c r="Q379" s="4"/>
      <c r="R379" s="193"/>
    </row>
    <row r="380" spans="1:18" x14ac:dyDescent="0.25">
      <c r="A380" s="73">
        <v>1033244090</v>
      </c>
      <c r="B380" s="74" t="s">
        <v>505</v>
      </c>
      <c r="C380" s="75">
        <v>243.58999999999997</v>
      </c>
      <c r="D380" s="181">
        <v>1.1285000000000001</v>
      </c>
      <c r="E380" s="182">
        <v>39.86</v>
      </c>
      <c r="F380" s="182">
        <v>145.33000000000001</v>
      </c>
      <c r="G380" s="182">
        <v>13.92</v>
      </c>
      <c r="H380" s="182">
        <v>8.64</v>
      </c>
      <c r="I380" s="182">
        <v>31.9</v>
      </c>
      <c r="J380" s="76"/>
      <c r="K380" s="75"/>
      <c r="L380" s="75">
        <v>243.58999999999997</v>
      </c>
      <c r="M380" s="77"/>
      <c r="N380" s="78">
        <v>37.74</v>
      </c>
      <c r="O380" s="78">
        <v>281.33</v>
      </c>
      <c r="P380" s="3">
        <v>376</v>
      </c>
      <c r="Q380" s="4"/>
      <c r="R380" s="193"/>
    </row>
    <row r="381" spans="1:18" x14ac:dyDescent="0.25">
      <c r="A381" s="73">
        <v>1770618720</v>
      </c>
      <c r="B381" s="74" t="s">
        <v>506</v>
      </c>
      <c r="C381" s="75">
        <v>259.14</v>
      </c>
      <c r="D381" s="181">
        <v>1.1878</v>
      </c>
      <c r="E381" s="182">
        <v>39.86</v>
      </c>
      <c r="F381" s="182">
        <v>151.21</v>
      </c>
      <c r="G381" s="182">
        <v>23.98</v>
      </c>
      <c r="H381" s="182">
        <v>8.64</v>
      </c>
      <c r="I381" s="182">
        <v>31.9</v>
      </c>
      <c r="J381" s="76"/>
      <c r="K381" s="75"/>
      <c r="L381" s="75">
        <v>259.14</v>
      </c>
      <c r="M381" s="77"/>
      <c r="N381" s="78">
        <v>37.74</v>
      </c>
      <c r="O381" s="78">
        <v>296.88</v>
      </c>
      <c r="P381" s="3">
        <v>377</v>
      </c>
      <c r="Q381" s="4"/>
      <c r="R381" s="193"/>
    </row>
    <row r="382" spans="1:18" x14ac:dyDescent="0.25">
      <c r="A382" s="73">
        <v>1356476311</v>
      </c>
      <c r="B382" s="74" t="s">
        <v>507</v>
      </c>
      <c r="C382" s="75">
        <v>240.52</v>
      </c>
      <c r="D382" s="181">
        <v>1.1223000000000001</v>
      </c>
      <c r="E382" s="182">
        <v>39.86</v>
      </c>
      <c r="F382" s="182">
        <v>143.75</v>
      </c>
      <c r="G382" s="182">
        <v>24.66</v>
      </c>
      <c r="H382" s="182">
        <v>0</v>
      </c>
      <c r="I382" s="182">
        <v>31.9</v>
      </c>
      <c r="J382" s="76"/>
      <c r="K382" s="75"/>
      <c r="L382" s="75">
        <v>240.52</v>
      </c>
      <c r="M382" s="77"/>
      <c r="N382" s="78">
        <v>37.74</v>
      </c>
      <c r="O382" s="78">
        <v>278.26</v>
      </c>
      <c r="P382" s="3">
        <v>378</v>
      </c>
      <c r="Q382" s="4"/>
      <c r="R382" s="193"/>
    </row>
    <row r="383" spans="1:18" x14ac:dyDescent="0.25">
      <c r="A383" s="73">
        <v>1124342241</v>
      </c>
      <c r="B383" s="74" t="s">
        <v>508</v>
      </c>
      <c r="C383" s="75">
        <v>286.55</v>
      </c>
      <c r="D383" s="181">
        <v>1.1781999999999999</v>
      </c>
      <c r="E383" s="182">
        <v>39.86</v>
      </c>
      <c r="F383" s="182">
        <v>148.6</v>
      </c>
      <c r="G383" s="182">
        <v>31.81</v>
      </c>
      <c r="H383" s="182">
        <v>26.74</v>
      </c>
      <c r="I383" s="182">
        <v>31.9</v>
      </c>
      <c r="J383" s="76"/>
      <c r="K383" s="75"/>
      <c r="L383" s="75">
        <v>286.55</v>
      </c>
      <c r="M383" s="77"/>
      <c r="N383" s="78">
        <v>37.74</v>
      </c>
      <c r="O383" s="78">
        <v>324.29000000000002</v>
      </c>
      <c r="P383" s="3">
        <v>379</v>
      </c>
      <c r="Q383" s="4"/>
      <c r="R383" s="193"/>
    </row>
    <row r="384" spans="1:18" x14ac:dyDescent="0.25">
      <c r="A384" s="73">
        <v>1548230188</v>
      </c>
      <c r="B384" s="74" t="s">
        <v>509</v>
      </c>
      <c r="C384" s="75">
        <v>199.30999999999997</v>
      </c>
      <c r="D384" s="181">
        <v>0.8619</v>
      </c>
      <c r="E384" s="182">
        <v>39.86</v>
      </c>
      <c r="F384" s="182">
        <v>119.81</v>
      </c>
      <c r="G384" s="182">
        <v>13.28</v>
      </c>
      <c r="H384" s="182">
        <v>0</v>
      </c>
      <c r="I384" s="182">
        <v>31.9</v>
      </c>
      <c r="J384" s="76"/>
      <c r="K384" s="75"/>
      <c r="L384" s="75">
        <v>204.85</v>
      </c>
      <c r="M384" s="77"/>
      <c r="N384" s="78">
        <v>37.74</v>
      </c>
      <c r="O384" s="78">
        <v>242.59</v>
      </c>
      <c r="P384" s="3">
        <v>380</v>
      </c>
      <c r="Q384" s="4"/>
      <c r="R384" s="193"/>
    </row>
    <row r="385" spans="1:18" x14ac:dyDescent="0.25">
      <c r="A385" s="73">
        <v>1285656272</v>
      </c>
      <c r="B385" s="74" t="s">
        <v>510</v>
      </c>
      <c r="C385" s="75">
        <v>240.69</v>
      </c>
      <c r="D385" s="181">
        <v>0.98499999999999999</v>
      </c>
      <c r="E385" s="182">
        <v>39.86</v>
      </c>
      <c r="F385" s="182">
        <v>132.83999999999997</v>
      </c>
      <c r="G385" s="182">
        <v>16.37</v>
      </c>
      <c r="H385" s="182">
        <v>26.74</v>
      </c>
      <c r="I385" s="182">
        <v>31.9</v>
      </c>
      <c r="J385" s="76"/>
      <c r="K385" s="75"/>
      <c r="L385" s="75">
        <v>247.71</v>
      </c>
      <c r="M385" s="77"/>
      <c r="N385" s="78">
        <v>37.74</v>
      </c>
      <c r="O385" s="78">
        <v>285.45</v>
      </c>
      <c r="P385" s="3">
        <v>381</v>
      </c>
      <c r="Q385" s="4"/>
      <c r="R385" s="193"/>
    </row>
    <row r="386" spans="1:18" x14ac:dyDescent="0.25">
      <c r="A386" s="73">
        <v>1528606225</v>
      </c>
      <c r="B386" s="74" t="s">
        <v>511</v>
      </c>
      <c r="C386" s="75">
        <v>288.71999999999997</v>
      </c>
      <c r="D386" s="181">
        <v>1.3995</v>
      </c>
      <c r="E386" s="182">
        <v>39.86</v>
      </c>
      <c r="F386" s="182">
        <v>163.51999999999998</v>
      </c>
      <c r="G386" s="182">
        <v>24.7</v>
      </c>
      <c r="H386" s="182">
        <v>26.74</v>
      </c>
      <c r="I386" s="182">
        <v>31.9</v>
      </c>
      <c r="J386" s="76"/>
      <c r="K386" s="75"/>
      <c r="L386" s="75">
        <v>288.71999999999997</v>
      </c>
      <c r="M386" s="77"/>
      <c r="N386" s="78">
        <v>37.74</v>
      </c>
      <c r="O386" s="78">
        <v>326.45999999999998</v>
      </c>
      <c r="P386" s="3">
        <v>382</v>
      </c>
      <c r="Q386" s="4"/>
      <c r="R386" s="193"/>
    </row>
    <row r="387" spans="1:18" x14ac:dyDescent="0.25">
      <c r="A387" s="73">
        <v>1508802497</v>
      </c>
      <c r="B387" s="74" t="s">
        <v>512</v>
      </c>
      <c r="C387" s="75">
        <v>238.44</v>
      </c>
      <c r="D387" s="181">
        <v>1.2156</v>
      </c>
      <c r="E387" s="182">
        <v>39.86</v>
      </c>
      <c r="F387" s="182">
        <v>150.67999999999998</v>
      </c>
      <c r="G387" s="182">
        <v>10.029999999999999</v>
      </c>
      <c r="H387" s="182">
        <v>8.64</v>
      </c>
      <c r="I387" s="182">
        <v>31.9</v>
      </c>
      <c r="J387" s="76"/>
      <c r="K387" s="75"/>
      <c r="L387" s="75">
        <v>241.11</v>
      </c>
      <c r="M387" s="77"/>
      <c r="N387" s="78">
        <v>37.74</v>
      </c>
      <c r="O387" s="78">
        <v>278.85000000000002</v>
      </c>
      <c r="P387" s="3">
        <v>383</v>
      </c>
      <c r="Q387" s="4"/>
      <c r="R387" s="193"/>
    </row>
    <row r="388" spans="1:18" x14ac:dyDescent="0.25">
      <c r="A388" s="73">
        <v>1629425491</v>
      </c>
      <c r="B388" s="74" t="s">
        <v>513</v>
      </c>
      <c r="C388" s="75">
        <v>270.51</v>
      </c>
      <c r="D388" s="181">
        <v>1.2849999999999999</v>
      </c>
      <c r="E388" s="182">
        <v>39.86</v>
      </c>
      <c r="F388" s="182">
        <v>161.27999999999997</v>
      </c>
      <c r="G388" s="182">
        <v>8.4600000000000009</v>
      </c>
      <c r="H388" s="182">
        <v>26.74</v>
      </c>
      <c r="I388" s="182">
        <v>31.9</v>
      </c>
      <c r="J388" s="76"/>
      <c r="K388" s="75"/>
      <c r="L388" s="75">
        <v>270.51</v>
      </c>
      <c r="M388" s="77"/>
      <c r="N388" s="78">
        <v>37.74</v>
      </c>
      <c r="O388" s="78">
        <v>308.25</v>
      </c>
      <c r="P388" s="3">
        <v>384</v>
      </c>
      <c r="Q388" s="4"/>
      <c r="R388" s="193"/>
    </row>
    <row r="389" spans="1:18" x14ac:dyDescent="0.25">
      <c r="A389" s="73">
        <v>1629016340</v>
      </c>
      <c r="B389" s="74" t="s">
        <v>514</v>
      </c>
      <c r="C389" s="75">
        <v>264.65000000000003</v>
      </c>
      <c r="D389" s="181">
        <v>1.1546000000000001</v>
      </c>
      <c r="E389" s="182">
        <v>39.86</v>
      </c>
      <c r="F389" s="182">
        <v>147.36999999999998</v>
      </c>
      <c r="G389" s="182">
        <v>12.56</v>
      </c>
      <c r="H389" s="182">
        <v>26.74</v>
      </c>
      <c r="I389" s="182">
        <v>31.9</v>
      </c>
      <c r="J389" s="76"/>
      <c r="K389" s="75"/>
      <c r="L389" s="75">
        <v>264.65000000000003</v>
      </c>
      <c r="M389" s="77"/>
      <c r="N389" s="78">
        <v>37.74</v>
      </c>
      <c r="O389" s="78">
        <v>302.39000000000004</v>
      </c>
      <c r="P389" s="3">
        <v>385</v>
      </c>
      <c r="Q389" s="4"/>
      <c r="R389" s="193"/>
    </row>
    <row r="390" spans="1:18" x14ac:dyDescent="0.25">
      <c r="A390" s="73">
        <v>1215979059</v>
      </c>
      <c r="B390" s="74" t="s">
        <v>515</v>
      </c>
      <c r="C390" s="75">
        <v>262.5</v>
      </c>
      <c r="D390" s="181">
        <v>1.1596</v>
      </c>
      <c r="E390" s="182">
        <v>39.86</v>
      </c>
      <c r="F390" s="182">
        <v>146.63</v>
      </c>
      <c r="G390" s="182">
        <v>24.43</v>
      </c>
      <c r="H390" s="182">
        <v>26.74</v>
      </c>
      <c r="I390" s="182">
        <v>31.9</v>
      </c>
      <c r="J390" s="76"/>
      <c r="K390" s="75"/>
      <c r="L390" s="75">
        <v>269.56</v>
      </c>
      <c r="M390" s="77"/>
      <c r="N390" s="78">
        <v>37.74</v>
      </c>
      <c r="O390" s="78">
        <v>307.3</v>
      </c>
      <c r="P390" s="3">
        <v>386</v>
      </c>
      <c r="Q390" s="4"/>
      <c r="R390" s="193"/>
    </row>
    <row r="391" spans="1:18" x14ac:dyDescent="0.25">
      <c r="A391" s="73">
        <v>1639299571</v>
      </c>
      <c r="B391" s="74" t="s">
        <v>788</v>
      </c>
      <c r="C391" s="75">
        <v>262.45</v>
      </c>
      <c r="D391" s="181">
        <v>1.1640999999999999</v>
      </c>
      <c r="E391" s="182">
        <v>39.86</v>
      </c>
      <c r="F391" s="182">
        <v>147.29999999999998</v>
      </c>
      <c r="G391" s="182">
        <v>15.21</v>
      </c>
      <c r="H391" s="182">
        <v>26.74</v>
      </c>
      <c r="I391" s="182">
        <v>31.9</v>
      </c>
      <c r="J391" s="76"/>
      <c r="K391" s="75"/>
      <c r="L391" s="75">
        <v>262.45</v>
      </c>
      <c r="M391" s="77"/>
      <c r="N391" s="78">
        <v>37.74</v>
      </c>
      <c r="O391" s="78">
        <v>300.19</v>
      </c>
      <c r="P391" s="3">
        <v>387</v>
      </c>
      <c r="Q391" s="4"/>
      <c r="R391" s="193"/>
    </row>
    <row r="392" spans="1:18" x14ac:dyDescent="0.25">
      <c r="A392" s="73">
        <v>1700812146</v>
      </c>
      <c r="B392" s="74" t="s">
        <v>516</v>
      </c>
      <c r="C392" s="75">
        <v>270.8</v>
      </c>
      <c r="D392" s="181">
        <v>1.2452000000000001</v>
      </c>
      <c r="E392" s="182">
        <v>39.86</v>
      </c>
      <c r="F392" s="182">
        <v>153.45999999999998</v>
      </c>
      <c r="G392" s="182">
        <v>16.57</v>
      </c>
      <c r="H392" s="182">
        <v>26.74</v>
      </c>
      <c r="I392" s="182">
        <v>31.9</v>
      </c>
      <c r="J392" s="76"/>
      <c r="K392" s="75"/>
      <c r="L392" s="75">
        <v>270.8</v>
      </c>
      <c r="M392" s="77"/>
      <c r="N392" s="78">
        <v>37.74</v>
      </c>
      <c r="O392" s="78">
        <v>308.54000000000002</v>
      </c>
      <c r="P392" s="3">
        <v>388</v>
      </c>
      <c r="Q392" s="4"/>
      <c r="R392" s="193"/>
    </row>
    <row r="393" spans="1:18" x14ac:dyDescent="0.25">
      <c r="A393" s="73">
        <v>1750703278</v>
      </c>
      <c r="B393" s="74" t="s">
        <v>517</v>
      </c>
      <c r="C393" s="75">
        <v>255.67</v>
      </c>
      <c r="D393" s="181">
        <v>0.99929999999999997</v>
      </c>
      <c r="E393" s="182">
        <v>39.86</v>
      </c>
      <c r="F393" s="182">
        <v>133.29999999999998</v>
      </c>
      <c r="G393" s="182">
        <v>16.78</v>
      </c>
      <c r="H393" s="182">
        <v>26.74</v>
      </c>
      <c r="I393" s="182">
        <v>31.9</v>
      </c>
      <c r="J393" s="76"/>
      <c r="K393" s="75"/>
      <c r="L393" s="75">
        <v>255.67</v>
      </c>
      <c r="M393" s="77"/>
      <c r="N393" s="78">
        <v>37.74</v>
      </c>
      <c r="O393" s="78">
        <v>293.40999999999997</v>
      </c>
      <c r="P393" s="3">
        <v>389</v>
      </c>
      <c r="Q393" s="4"/>
      <c r="R393" s="193"/>
    </row>
    <row r="394" spans="1:18" x14ac:dyDescent="0.25">
      <c r="A394" s="73">
        <v>1992793962</v>
      </c>
      <c r="B394" s="74" t="s">
        <v>518</v>
      </c>
      <c r="C394" s="75">
        <v>275.46999999999997</v>
      </c>
      <c r="D394" s="181">
        <v>1.3420000000000001</v>
      </c>
      <c r="E394" s="182">
        <v>39.86</v>
      </c>
      <c r="F394" s="182">
        <v>161.66999999999999</v>
      </c>
      <c r="G394" s="182">
        <v>18.2</v>
      </c>
      <c r="H394" s="182">
        <v>26.74</v>
      </c>
      <c r="I394" s="182">
        <v>31.9</v>
      </c>
      <c r="J394" s="76"/>
      <c r="K394" s="75"/>
      <c r="L394" s="75">
        <v>278.37</v>
      </c>
      <c r="M394" s="77"/>
      <c r="N394" s="78">
        <v>37.74</v>
      </c>
      <c r="O394" s="78">
        <v>316.11</v>
      </c>
      <c r="P394" s="3">
        <v>390</v>
      </c>
      <c r="Q394" s="4"/>
      <c r="R394" s="193"/>
    </row>
    <row r="395" spans="1:18" x14ac:dyDescent="0.25">
      <c r="A395" s="73">
        <v>1528040888</v>
      </c>
      <c r="B395" s="74" t="s">
        <v>519</v>
      </c>
      <c r="C395" s="75">
        <v>255.40000000000003</v>
      </c>
      <c r="D395" s="181">
        <v>1.1186</v>
      </c>
      <c r="E395" s="182">
        <v>39.86</v>
      </c>
      <c r="F395" s="182">
        <v>139.63999999999999</v>
      </c>
      <c r="G395" s="182">
        <v>21.67</v>
      </c>
      <c r="H395" s="182">
        <v>26.74</v>
      </c>
      <c r="I395" s="182">
        <v>31.9</v>
      </c>
      <c r="J395" s="76"/>
      <c r="K395" s="75"/>
      <c r="L395" s="75">
        <v>259.81</v>
      </c>
      <c r="M395" s="77"/>
      <c r="N395" s="78">
        <v>37.74</v>
      </c>
      <c r="O395" s="78">
        <v>297.55</v>
      </c>
      <c r="P395" s="3">
        <v>391</v>
      </c>
      <c r="Q395" s="4"/>
      <c r="R395" s="193"/>
    </row>
    <row r="396" spans="1:18" x14ac:dyDescent="0.25">
      <c r="A396" s="73">
        <v>1467016105</v>
      </c>
      <c r="B396" s="74" t="s">
        <v>520</v>
      </c>
      <c r="C396" s="75">
        <v>263.60000000000002</v>
      </c>
      <c r="D396" s="181">
        <v>1.1747000000000001</v>
      </c>
      <c r="E396" s="182">
        <v>39.86</v>
      </c>
      <c r="F396" s="182">
        <v>147.97999999999999</v>
      </c>
      <c r="G396" s="182">
        <v>16.2</v>
      </c>
      <c r="H396" s="182">
        <v>26.74</v>
      </c>
      <c r="I396" s="182">
        <v>31.9</v>
      </c>
      <c r="J396" s="76"/>
      <c r="K396" s="75"/>
      <c r="L396" s="75">
        <v>263.60000000000002</v>
      </c>
      <c r="M396" s="77"/>
      <c r="N396" s="78">
        <v>37.74</v>
      </c>
      <c r="O396" s="78">
        <v>301.34000000000003</v>
      </c>
      <c r="P396" s="3">
        <v>392</v>
      </c>
      <c r="Q396" s="4"/>
      <c r="R396" s="193"/>
    </row>
    <row r="397" spans="1:18" x14ac:dyDescent="0.25">
      <c r="A397" s="73">
        <v>1023481520</v>
      </c>
      <c r="B397" s="74" t="s">
        <v>521</v>
      </c>
      <c r="C397" s="75">
        <v>282.3</v>
      </c>
      <c r="D397" s="181">
        <v>1.1890000000000001</v>
      </c>
      <c r="E397" s="182">
        <v>39.86</v>
      </c>
      <c r="F397" s="182">
        <v>149.16999999999999</v>
      </c>
      <c r="G397" s="182">
        <v>36.82</v>
      </c>
      <c r="H397" s="182">
        <v>26.74</v>
      </c>
      <c r="I397" s="182">
        <v>31.9</v>
      </c>
      <c r="J397" s="76"/>
      <c r="K397" s="75"/>
      <c r="L397" s="75">
        <v>284.49</v>
      </c>
      <c r="M397" s="77"/>
      <c r="N397" s="78">
        <v>37.74</v>
      </c>
      <c r="O397" s="78">
        <v>322.23</v>
      </c>
      <c r="P397" s="3">
        <v>393</v>
      </c>
      <c r="Q397" s="4"/>
      <c r="R397" s="193"/>
    </row>
    <row r="398" spans="1:18" x14ac:dyDescent="0.25">
      <c r="A398" s="73">
        <v>1174178313</v>
      </c>
      <c r="B398" s="74" t="s">
        <v>522</v>
      </c>
      <c r="C398" s="75">
        <v>255.17000000000002</v>
      </c>
      <c r="D398" s="181">
        <v>1.2505999999999999</v>
      </c>
      <c r="E398" s="182">
        <v>39.86</v>
      </c>
      <c r="F398" s="182">
        <v>153.97</v>
      </c>
      <c r="G398" s="182">
        <v>8.61</v>
      </c>
      <c r="H398" s="182">
        <v>26.74</v>
      </c>
      <c r="I398" s="182">
        <v>31.9</v>
      </c>
      <c r="J398" s="76"/>
      <c r="K398" s="75"/>
      <c r="L398" s="75">
        <v>261.08</v>
      </c>
      <c r="M398" s="77"/>
      <c r="N398" s="78">
        <v>37.74</v>
      </c>
      <c r="O398" s="78">
        <v>298.82</v>
      </c>
      <c r="P398" s="3">
        <v>394</v>
      </c>
      <c r="Q398" s="4"/>
      <c r="R398" s="193"/>
    </row>
    <row r="399" spans="1:18" x14ac:dyDescent="0.25">
      <c r="A399" s="73">
        <v>1518088830</v>
      </c>
      <c r="B399" s="74" t="s">
        <v>789</v>
      </c>
      <c r="C399" s="75">
        <v>242</v>
      </c>
      <c r="D399" s="181">
        <v>1.1205000000000001</v>
      </c>
      <c r="E399" s="182">
        <v>39.86</v>
      </c>
      <c r="F399" s="182">
        <v>144.41999999999999</v>
      </c>
      <c r="G399" s="182">
        <v>13.53</v>
      </c>
      <c r="H399" s="182">
        <v>8.64</v>
      </c>
      <c r="I399" s="182">
        <v>31.9</v>
      </c>
      <c r="J399" s="76"/>
      <c r="K399" s="75"/>
      <c r="L399" s="75">
        <v>242</v>
      </c>
      <c r="M399" s="77"/>
      <c r="N399" s="78">
        <v>37.74</v>
      </c>
      <c r="O399" s="78">
        <v>279.74</v>
      </c>
      <c r="P399" s="3">
        <v>395</v>
      </c>
      <c r="Q399" s="4"/>
      <c r="R399" s="193"/>
    </row>
    <row r="400" spans="1:18" x14ac:dyDescent="0.25">
      <c r="A400" s="73">
        <v>1164848503</v>
      </c>
      <c r="B400" s="74" t="s">
        <v>523</v>
      </c>
      <c r="C400" s="75">
        <v>268.5</v>
      </c>
      <c r="D400" s="181">
        <v>1.2317</v>
      </c>
      <c r="E400" s="182">
        <v>39.86</v>
      </c>
      <c r="F400" s="182">
        <v>149.54</v>
      </c>
      <c r="G400" s="182">
        <v>17.37</v>
      </c>
      <c r="H400" s="182">
        <v>26.74</v>
      </c>
      <c r="I400" s="182">
        <v>31.9</v>
      </c>
      <c r="J400" s="76"/>
      <c r="K400" s="75"/>
      <c r="L400" s="75">
        <v>268.5</v>
      </c>
      <c r="M400" s="77"/>
      <c r="N400" s="78">
        <v>37.74</v>
      </c>
      <c r="O400" s="78">
        <v>306.24</v>
      </c>
      <c r="P400" s="3">
        <v>396</v>
      </c>
      <c r="Q400" s="4"/>
      <c r="R400" s="193"/>
    </row>
    <row r="401" spans="1:15" x14ac:dyDescent="0.25">
      <c r="A401" s="183"/>
      <c r="B401" s="184"/>
      <c r="C401" s="165"/>
      <c r="D401" s="185"/>
      <c r="E401" s="186"/>
      <c r="F401" s="186"/>
      <c r="G401" s="186"/>
      <c r="H401" s="186"/>
      <c r="I401" s="186"/>
      <c r="J401" s="166"/>
      <c r="K401" s="165"/>
      <c r="L401" s="165"/>
      <c r="N401" s="187"/>
      <c r="O401" s="187"/>
    </row>
    <row r="402" spans="1:15" x14ac:dyDescent="0.25">
      <c r="A402" s="183"/>
      <c r="B402" s="184"/>
      <c r="C402" s="165"/>
      <c r="D402" s="185"/>
      <c r="E402" s="186"/>
      <c r="F402" s="186"/>
      <c r="G402" s="186"/>
      <c r="H402" s="186"/>
      <c r="I402" s="186"/>
      <c r="J402" s="166"/>
      <c r="K402" s="165"/>
      <c r="L402" s="165"/>
      <c r="N402" s="187"/>
      <c r="O402" s="187"/>
    </row>
    <row r="403" spans="1:15" x14ac:dyDescent="0.25">
      <c r="A403" s="188" t="s">
        <v>790</v>
      </c>
      <c r="C403" s="132">
        <f>AVERAGE(C5:C400)</f>
        <v>261.16042929292917</v>
      </c>
      <c r="D403" s="134">
        <f>AVERAGE(D5:D400)</f>
        <v>1.1861646110606356</v>
      </c>
      <c r="E403" s="132">
        <f>AVERAGE(E5:E400)</f>
        <v>39.860000000000205</v>
      </c>
      <c r="F403" s="132">
        <f>AVERAGE(F5:F400)</f>
        <v>149.03267676767686</v>
      </c>
      <c r="G403" s="132">
        <f>AVERAGE(G5:G400)</f>
        <v>17.665580808080797</v>
      </c>
      <c r="H403" s="132"/>
      <c r="I403" s="132"/>
      <c r="K403" s="166"/>
      <c r="L403" s="132">
        <f>AVERAGE(L5:L400)</f>
        <v>262.808813131313</v>
      </c>
      <c r="N403" s="132">
        <f>AVERAGE(N5:N400)</f>
        <v>37.739999999999817</v>
      </c>
      <c r="O403" s="165">
        <f>AVERAGE(O5:O400)</f>
        <v>300.54881313131312</v>
      </c>
    </row>
    <row r="404" spans="1:15" ht="118.2" customHeight="1" x14ac:dyDescent="0.25">
      <c r="A404" s="69" t="s">
        <v>51</v>
      </c>
      <c r="B404" s="69" t="s">
        <v>24</v>
      </c>
      <c r="C404" s="163" t="s">
        <v>791</v>
      </c>
      <c r="D404" s="70" t="s">
        <v>792</v>
      </c>
      <c r="E404" s="70" t="s">
        <v>793</v>
      </c>
      <c r="F404" s="70" t="s">
        <v>794</v>
      </c>
      <c r="G404" s="70" t="s">
        <v>795</v>
      </c>
      <c r="H404" s="70"/>
      <c r="I404" s="70" t="s">
        <v>796</v>
      </c>
      <c r="J404" s="164"/>
      <c r="K404" s="71" t="s">
        <v>797</v>
      </c>
      <c r="L404" s="71" t="s">
        <v>798</v>
      </c>
      <c r="M404" s="72"/>
      <c r="N404" s="180" t="s">
        <v>771</v>
      </c>
      <c r="O404" s="79" t="s">
        <v>134</v>
      </c>
    </row>
    <row r="405" spans="1:15" x14ac:dyDescent="0.25">
      <c r="A405" s="77">
        <v>1073168316</v>
      </c>
      <c r="B405" s="77" t="s">
        <v>799</v>
      </c>
      <c r="C405" s="189">
        <v>409.71</v>
      </c>
      <c r="D405" s="190" t="s">
        <v>525</v>
      </c>
      <c r="E405" s="190" t="s">
        <v>525</v>
      </c>
      <c r="F405" s="190" t="s">
        <v>525</v>
      </c>
      <c r="G405" s="190" t="s">
        <v>525</v>
      </c>
      <c r="H405" s="190"/>
      <c r="I405" s="190" t="s">
        <v>525</v>
      </c>
      <c r="J405" s="191"/>
      <c r="K405" s="192"/>
      <c r="L405" s="192">
        <v>521.99</v>
      </c>
      <c r="M405" s="192"/>
      <c r="N405" s="192">
        <v>37.74</v>
      </c>
      <c r="O405" s="192">
        <v>559.73</v>
      </c>
    </row>
  </sheetData>
  <mergeCells count="2">
    <mergeCell ref="A1:O1"/>
    <mergeCell ref="A3:O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79998168889431442"/>
  </sheetPr>
  <dimension ref="A2:P36"/>
  <sheetViews>
    <sheetView workbookViewId="0">
      <selection activeCell="A3" sqref="A3"/>
    </sheetView>
  </sheetViews>
  <sheetFormatPr defaultRowHeight="13.2" x14ac:dyDescent="0.25"/>
  <cols>
    <col min="1" max="1" width="35.5546875" customWidth="1"/>
    <col min="2" max="2" width="15.6640625" customWidth="1"/>
    <col min="3" max="4" width="12.88671875" customWidth="1"/>
    <col min="6" max="7" width="3.6640625" customWidth="1"/>
    <col min="8" max="8" width="37.33203125" customWidth="1"/>
    <col min="9" max="9" width="11" bestFit="1" customWidth="1"/>
    <col min="10" max="10" width="3.6640625" customWidth="1"/>
    <col min="11" max="11" width="2.6640625" customWidth="1"/>
    <col min="12" max="12" width="3.21875" customWidth="1"/>
    <col min="13" max="13" width="3.6640625" customWidth="1"/>
    <col min="14" max="14" width="35.88671875" customWidth="1"/>
    <col min="15" max="15" width="10.5546875" customWidth="1"/>
    <col min="16" max="16" width="2.88671875" customWidth="1"/>
  </cols>
  <sheetData>
    <row r="2" spans="1:16" ht="13.8" thickBot="1" x14ac:dyDescent="0.3">
      <c r="A2" s="5" t="s">
        <v>52</v>
      </c>
    </row>
    <row r="3" spans="1:16" ht="13.8" thickTop="1" x14ac:dyDescent="0.25">
      <c r="A3" s="43"/>
      <c r="B3" s="44"/>
      <c r="C3" s="156"/>
      <c r="D3" s="5"/>
      <c r="E3" s="5"/>
      <c r="F3" s="9"/>
      <c r="G3" s="10"/>
      <c r="H3" s="10"/>
      <c r="I3" s="10"/>
      <c r="J3" s="11"/>
      <c r="L3" s="9"/>
      <c r="M3" s="10"/>
      <c r="N3" s="10"/>
      <c r="O3" s="10"/>
      <c r="P3" s="11"/>
    </row>
    <row r="4" spans="1:16" x14ac:dyDescent="0.25">
      <c r="F4" s="201" t="s">
        <v>756</v>
      </c>
      <c r="G4" s="202"/>
      <c r="H4" s="202"/>
      <c r="I4" s="202"/>
      <c r="J4" s="203"/>
      <c r="L4" s="201" t="s">
        <v>26</v>
      </c>
      <c r="M4" s="202"/>
      <c r="N4" s="202"/>
      <c r="O4" s="202"/>
      <c r="P4" s="203"/>
    </row>
    <row r="5" spans="1:16" x14ac:dyDescent="0.25">
      <c r="B5" s="136"/>
      <c r="F5" s="201" t="s">
        <v>26</v>
      </c>
      <c r="G5" s="202"/>
      <c r="H5" s="202"/>
      <c r="I5" s="202"/>
      <c r="J5" s="203"/>
      <c r="L5" s="204" t="s">
        <v>535</v>
      </c>
      <c r="M5" s="205"/>
      <c r="N5" s="205"/>
      <c r="O5" s="205"/>
      <c r="P5" s="206"/>
    </row>
    <row r="6" spans="1:16" ht="13.8" thickBot="1" x14ac:dyDescent="0.3">
      <c r="A6" s="5" t="s">
        <v>532</v>
      </c>
      <c r="B6" s="41"/>
      <c r="F6" s="201" t="str">
        <f>IF('New Facilities'!C2&lt;&gt;"New","","For a 'new' facility - one without a 2005 Medicaid cost report")</f>
        <v/>
      </c>
      <c r="G6" s="202"/>
      <c r="H6" s="202"/>
      <c r="I6" s="202"/>
      <c r="J6" s="203"/>
      <c r="L6" s="204" t="str">
        <f>+F6</f>
        <v/>
      </c>
      <c r="M6" s="205"/>
      <c r="N6" s="205"/>
      <c r="O6" s="205"/>
      <c r="P6" s="206"/>
    </row>
    <row r="7" spans="1:16" ht="13.8" thickTop="1" x14ac:dyDescent="0.25">
      <c r="A7" s="129" t="str">
        <f>IF(B6="","","NPI Confirmation:")</f>
        <v/>
      </c>
      <c r="B7" t="str">
        <f>IF(B6="","",CONCATENATE("This facility has ",'FRV Rate Calculation'!C7," beds and is in ZIP Code ",'FRV Rate Calculation'!C6,"."))</f>
        <v/>
      </c>
      <c r="D7" s="15"/>
      <c r="F7" s="9"/>
      <c r="G7" s="10"/>
      <c r="H7" s="10"/>
      <c r="I7" s="10"/>
      <c r="J7" s="11"/>
      <c r="L7" s="9"/>
      <c r="M7" s="10"/>
      <c r="N7" s="10"/>
      <c r="O7" s="10"/>
      <c r="P7" s="11"/>
    </row>
    <row r="8" spans="1:16" x14ac:dyDescent="0.25">
      <c r="D8" s="15"/>
      <c r="F8" s="33" t="s">
        <v>38</v>
      </c>
      <c r="H8" t="s">
        <v>33</v>
      </c>
      <c r="I8" s="18" t="e">
        <f>+B9</f>
        <v>#N/A</v>
      </c>
      <c r="J8" s="17"/>
      <c r="L8" s="33" t="s">
        <v>38</v>
      </c>
      <c r="N8" t="s">
        <v>33</v>
      </c>
      <c r="O8" s="18">
        <f>+B10</f>
        <v>0</v>
      </c>
      <c r="P8" s="17"/>
    </row>
    <row r="9" spans="1:16" x14ac:dyDescent="0.25">
      <c r="A9" s="5" t="s">
        <v>729</v>
      </c>
      <c r="B9" s="135" t="e">
        <f>VLOOKUP($B$6,'Lookup Info'!$A$2:$K$398,11,FALSE)</f>
        <v>#N/A</v>
      </c>
      <c r="D9" s="21"/>
      <c r="F9" s="33" t="s">
        <v>39</v>
      </c>
      <c r="H9" t="s">
        <v>32</v>
      </c>
      <c r="I9" s="20" t="e">
        <f>VLOOKUP(B6,'Lookup Info'!A2:D398,2,FALSE)</f>
        <v>#N/A</v>
      </c>
      <c r="J9" s="17"/>
      <c r="L9" s="33" t="s">
        <v>39</v>
      </c>
      <c r="N9" t="s">
        <v>32</v>
      </c>
      <c r="O9" s="20" t="e">
        <f>+I9</f>
        <v>#N/A</v>
      </c>
      <c r="P9" s="17"/>
    </row>
    <row r="10" spans="1:16" x14ac:dyDescent="0.25">
      <c r="A10" s="32" t="s">
        <v>533</v>
      </c>
      <c r="B10" s="84"/>
      <c r="C10" s="85" t="s">
        <v>537</v>
      </c>
      <c r="D10" s="15"/>
      <c r="F10" s="33"/>
      <c r="J10" s="17"/>
      <c r="L10" s="33"/>
      <c r="P10" s="17"/>
    </row>
    <row r="11" spans="1:16" x14ac:dyDescent="0.25">
      <c r="C11" s="15"/>
      <c r="D11" s="15"/>
      <c r="F11" s="33" t="str">
        <f>IF('New Facilities'!$C$2&lt;&gt;"New","c","c1")</f>
        <v>c</v>
      </c>
      <c r="H11" s="32" t="str">
        <f>IF('New Facilities'!$C$2&lt;&gt;"New","Direct Neutralized Rate Cap","Average Direct Rate")</f>
        <v>Direct Neutralized Rate Cap</v>
      </c>
      <c r="I11" s="35">
        <f>IF('New Facilities'!$C$2&lt;&gt;"New",133.36,'New Facilities'!G4)</f>
        <v>133.36000000000001</v>
      </c>
      <c r="J11" s="17"/>
      <c r="L11" s="33" t="str">
        <f>+F11</f>
        <v>c</v>
      </c>
      <c r="N11" s="32" t="str">
        <f>+H11</f>
        <v>Direct Neutralized Rate Cap</v>
      </c>
      <c r="O11" s="31">
        <f>+I11</f>
        <v>133.36000000000001</v>
      </c>
      <c r="P11" s="17"/>
    </row>
    <row r="12" spans="1:16" ht="12.75" customHeight="1" x14ac:dyDescent="0.25">
      <c r="A12" s="5"/>
      <c r="B12" s="32"/>
      <c r="C12" s="85"/>
      <c r="D12" s="216"/>
      <c r="F12" s="33" t="str">
        <f>IF('New Facilities'!$C$2&lt;&gt;"New","","c2")</f>
        <v/>
      </c>
      <c r="H12" s="32" t="str">
        <f>IF('New Facilities'!$C$2&lt;&gt;"New","","Average Case-Mix")</f>
        <v/>
      </c>
      <c r="I12" s="155" t="str">
        <f>IF('New Facilities'!$C$2&lt;&gt;"New","",'New Facilities'!G5)</f>
        <v/>
      </c>
      <c r="J12" s="17"/>
      <c r="L12" s="34" t="str">
        <f>+F12</f>
        <v/>
      </c>
      <c r="N12" t="str">
        <f>+H12</f>
        <v/>
      </c>
      <c r="O12" s="18" t="str">
        <f>IF('New Facilities'!C2&lt;&gt;"New","",'Rate Calculation'!I12)</f>
        <v/>
      </c>
      <c r="P12" s="17"/>
    </row>
    <row r="13" spans="1:16" x14ac:dyDescent="0.25">
      <c r="A13" s="32" t="s">
        <v>37</v>
      </c>
      <c r="B13" s="219" t="e">
        <f>VLOOKUP(B6,'January 2023 Fee Schedule'!A5:G400,7,FALSE)</f>
        <v>#N/A</v>
      </c>
      <c r="C13" s="19"/>
      <c r="D13" s="217"/>
      <c r="F13" s="33" t="s">
        <v>41</v>
      </c>
      <c r="H13" s="32" t="str">
        <f>IF('New Facilities'!$C$2&lt;&gt;"New","CMI Portion of Rate Cap (b*c)","CMI Portion of Avg Direct Rate (b*c1)")</f>
        <v>CMI Portion of Rate Cap (b*c)</v>
      </c>
      <c r="I13" s="31" t="e">
        <f>+I11*I9</f>
        <v>#N/A</v>
      </c>
      <c r="J13" s="17"/>
      <c r="L13" s="33" t="s">
        <v>41</v>
      </c>
      <c r="N13" s="32" t="str">
        <f>IF('New Facilities'!$C$2&lt;&gt;"New","CMI Portion of Rate Cap (b*c)","CMI Portion of Avg Direct Rate (b*c1)")</f>
        <v>CMI Portion of Rate Cap (b*c)</v>
      </c>
      <c r="O13" s="31" t="e">
        <f>+O11*O9</f>
        <v>#N/A</v>
      </c>
      <c r="P13" s="17"/>
    </row>
    <row r="14" spans="1:16" x14ac:dyDescent="0.25">
      <c r="C14" s="15"/>
      <c r="D14" s="215"/>
      <c r="F14" s="33" t="s">
        <v>42</v>
      </c>
      <c r="H14" s="32" t="str">
        <f>IF('New Facilities'!$C$2&lt;&gt;"New","Non-CMI Portion of Rate Cap (c-d)","Non-CMI Portion of Avg Direct Rate (C1-d)")</f>
        <v>Non-CMI Portion of Rate Cap (c-d)</v>
      </c>
      <c r="I14" s="31" t="e">
        <f>+ROUND(I11-I13,4)</f>
        <v>#N/A</v>
      </c>
      <c r="J14" s="17"/>
      <c r="L14" s="33" t="s">
        <v>42</v>
      </c>
      <c r="N14" s="32" t="str">
        <f>IF('New Facilities'!$C$2&lt;&gt;"New","Non-CMI Portion of Rate Cap (c-d)","Non-CMI Portion of Avg Direct Rate (C1-d)")</f>
        <v>Non-CMI Portion of Rate Cap (c-d)</v>
      </c>
      <c r="O14" s="31" t="e">
        <f>+ROUND(O11-O13,4)</f>
        <v>#N/A</v>
      </c>
      <c r="P14" s="17"/>
    </row>
    <row r="15" spans="1:16" x14ac:dyDescent="0.25">
      <c r="A15" s="30" t="s">
        <v>35</v>
      </c>
      <c r="B15" s="133" t="e">
        <f>VLOOKUP($B$6,'Lookup Info'!$A$2:$J$398,10,FALSE)</f>
        <v>#N/A</v>
      </c>
      <c r="D15" s="89"/>
      <c r="F15" s="33" t="s">
        <v>43</v>
      </c>
      <c r="H15" s="32" t="str">
        <f>IF('New Facilities'!$C$2&lt;&gt;"New","2005 Based Direct Rate (a*d+e)","Direct Rate (d*a/c2) ****")</f>
        <v>2005 Based Direct Rate (a*d+e)</v>
      </c>
      <c r="I15" s="35" t="e">
        <f>IF('New Facilities'!$C$2&lt;&gt;"New",ROUND(I13*I8+I14,2),'Rate Calculation'!I13*'Rate Calculation'!I8/'Rate Calculation'!I12+'Rate Calculation'!I14)</f>
        <v>#N/A</v>
      </c>
      <c r="J15" s="17"/>
      <c r="L15" s="33" t="s">
        <v>43</v>
      </c>
      <c r="N15" s="32" t="str">
        <f>IF('New Facilities'!$C$2&lt;&gt;"New","2005 Based Direct Rate (a*d+e)","Direct Rate (d*a/c2) ****")</f>
        <v>2005 Based Direct Rate (a*d+e)</v>
      </c>
      <c r="O15" s="35" t="e">
        <f>IF('New Facilities'!$C$2&lt;&gt;"New",ROUND(O13*O8+O14,2),'Rate Calculation'!O13*'Rate Calculation'!O8/'Rate Calculation'!O12+'Rate Calculation'!O14)</f>
        <v>#N/A</v>
      </c>
      <c r="P15" s="17"/>
    </row>
    <row r="16" spans="1:16" x14ac:dyDescent="0.25">
      <c r="C16" s="19"/>
      <c r="D16" s="218"/>
      <c r="F16" s="16"/>
      <c r="J16" s="17"/>
      <c r="L16" s="16"/>
      <c r="P16" s="17"/>
    </row>
    <row r="17" spans="1:16" x14ac:dyDescent="0.25">
      <c r="A17" s="197" t="s">
        <v>808</v>
      </c>
      <c r="B17" s="198"/>
      <c r="C17" s="198"/>
      <c r="D17" s="195"/>
      <c r="F17" s="33" t="s">
        <v>44</v>
      </c>
      <c r="H17" s="32" t="s">
        <v>34</v>
      </c>
      <c r="I17" s="35">
        <v>39.86</v>
      </c>
      <c r="J17" s="17"/>
      <c r="L17" s="33" t="s">
        <v>44</v>
      </c>
      <c r="N17" s="32" t="s">
        <v>34</v>
      </c>
      <c r="O17" s="35">
        <f>+I17</f>
        <v>39.86</v>
      </c>
      <c r="P17" s="17"/>
    </row>
    <row r="18" spans="1:16" x14ac:dyDescent="0.25">
      <c r="A18" s="198"/>
      <c r="B18" s="198"/>
      <c r="C18" s="198"/>
      <c r="D18" s="195"/>
      <c r="F18" s="33" t="s">
        <v>45</v>
      </c>
      <c r="H18" s="32" t="s">
        <v>27</v>
      </c>
      <c r="I18" s="36" t="e">
        <f>+B13</f>
        <v>#N/A</v>
      </c>
      <c r="J18" s="17"/>
      <c r="L18" s="33" t="s">
        <v>45</v>
      </c>
      <c r="N18" s="32" t="s">
        <v>27</v>
      </c>
      <c r="O18" s="36" t="e">
        <f>+'FRV Rate Calculation'!F42</f>
        <v>#N/A</v>
      </c>
      <c r="P18" s="17"/>
    </row>
    <row r="19" spans="1:16" x14ac:dyDescent="0.25">
      <c r="A19" s="194" t="s">
        <v>809</v>
      </c>
      <c r="B19" s="195"/>
      <c r="C19" s="195"/>
      <c r="D19" s="195"/>
      <c r="F19" s="33" t="s">
        <v>46</v>
      </c>
      <c r="H19" s="32" t="s">
        <v>28</v>
      </c>
      <c r="I19" s="36" t="e">
        <f>+B15</f>
        <v>#N/A</v>
      </c>
      <c r="J19" s="17"/>
      <c r="L19" s="33" t="s">
        <v>46</v>
      </c>
      <c r="N19" s="32" t="s">
        <v>28</v>
      </c>
      <c r="O19" s="36" t="e">
        <f>+I19</f>
        <v>#N/A</v>
      </c>
      <c r="P19" s="17"/>
    </row>
    <row r="20" spans="1:16" ht="13.2" customHeight="1" x14ac:dyDescent="0.25">
      <c r="A20" s="195"/>
      <c r="B20" s="195"/>
      <c r="C20" s="195"/>
      <c r="D20" s="195"/>
      <c r="F20" s="33" t="s">
        <v>76</v>
      </c>
      <c r="H20" s="32" t="s">
        <v>757</v>
      </c>
      <c r="I20" s="35">
        <v>31.9</v>
      </c>
      <c r="J20" s="17"/>
      <c r="L20" s="33" t="s">
        <v>76</v>
      </c>
      <c r="N20" s="32" t="s">
        <v>757</v>
      </c>
      <c r="O20" s="35">
        <v>31.9</v>
      </c>
      <c r="P20" s="17"/>
    </row>
    <row r="21" spans="1:16" ht="26.4" customHeight="1" x14ac:dyDescent="0.25">
      <c r="A21" s="195"/>
      <c r="B21" s="195"/>
      <c r="C21" s="195"/>
      <c r="D21" s="195"/>
      <c r="F21" s="33" t="s">
        <v>77</v>
      </c>
      <c r="H21" s="32" t="s">
        <v>758</v>
      </c>
      <c r="I21" s="35" t="e">
        <f>+I15+I17+I18+I19+I20</f>
        <v>#N/A</v>
      </c>
      <c r="J21" s="17"/>
      <c r="L21" s="33" t="s">
        <v>77</v>
      </c>
      <c r="N21" s="32" t="s">
        <v>758</v>
      </c>
      <c r="O21" s="35" t="e">
        <f>+O15+O17+O18+O19+O20</f>
        <v>#N/A</v>
      </c>
      <c r="P21" s="17"/>
    </row>
    <row r="22" spans="1:16" x14ac:dyDescent="0.25">
      <c r="F22" s="33"/>
      <c r="H22" s="167"/>
      <c r="I22" s="168"/>
      <c r="J22" s="17"/>
      <c r="L22" s="16"/>
      <c r="N22" s="194" t="s">
        <v>534</v>
      </c>
      <c r="O22" s="157" t="str">
        <f>IF(B10="","n/a",O21-I21)</f>
        <v>n/a</v>
      </c>
      <c r="P22" s="17"/>
    </row>
    <row r="23" spans="1:16" x14ac:dyDescent="0.25">
      <c r="A23" s="30" t="s">
        <v>36</v>
      </c>
      <c r="F23" s="33" t="s">
        <v>82</v>
      </c>
      <c r="H23" s="32" t="s">
        <v>760</v>
      </c>
      <c r="I23" s="38" t="e">
        <f>VLOOKUP(B6,'January 2023 Fee Schedule'!A5:C419,3,FALSE)</f>
        <v>#N/A</v>
      </c>
      <c r="J23" s="17"/>
      <c r="L23" s="16"/>
      <c r="N23" s="195"/>
      <c r="O23" s="38"/>
      <c r="P23" s="17"/>
    </row>
    <row r="24" spans="1:16" x14ac:dyDescent="0.25">
      <c r="A24" t="s">
        <v>29</v>
      </c>
      <c r="F24" s="33" t="s">
        <v>84</v>
      </c>
      <c r="H24" s="32" t="s">
        <v>800</v>
      </c>
      <c r="I24" s="38" t="e">
        <f>MAX(I21:I23)</f>
        <v>#N/A</v>
      </c>
      <c r="J24" s="17"/>
      <c r="L24" s="16"/>
      <c r="N24" s="32"/>
      <c r="O24" s="38"/>
      <c r="P24" s="17"/>
    </row>
    <row r="25" spans="1:16" x14ac:dyDescent="0.25">
      <c r="A25" s="32" t="s">
        <v>49</v>
      </c>
      <c r="F25" s="33" t="s">
        <v>87</v>
      </c>
      <c r="H25" s="32" t="s">
        <v>539</v>
      </c>
      <c r="I25" s="83">
        <v>37.74</v>
      </c>
      <c r="J25" s="17"/>
      <c r="L25" s="16"/>
      <c r="M25" s="207" t="s">
        <v>536</v>
      </c>
      <c r="N25" s="207"/>
      <c r="O25" s="207"/>
      <c r="P25" s="17"/>
    </row>
    <row r="26" spans="1:16" ht="13.8" thickBot="1" x14ac:dyDescent="0.3">
      <c r="A26" s="32" t="s">
        <v>50</v>
      </c>
      <c r="F26" s="33" t="s">
        <v>89</v>
      </c>
      <c r="H26" s="32" t="s">
        <v>801</v>
      </c>
      <c r="I26" s="82" t="e">
        <f>+I24+I25</f>
        <v>#N/A</v>
      </c>
      <c r="J26" s="17"/>
      <c r="L26" s="16"/>
      <c r="M26" s="207"/>
      <c r="N26" s="207"/>
      <c r="O26" s="207"/>
      <c r="P26" s="17"/>
    </row>
    <row r="27" spans="1:16" ht="13.2" customHeight="1" thickTop="1" x14ac:dyDescent="0.25">
      <c r="A27" s="32" t="s">
        <v>540</v>
      </c>
      <c r="F27" s="16"/>
      <c r="J27" s="17"/>
      <c r="L27" s="16"/>
      <c r="M27" s="198"/>
      <c r="N27" s="198"/>
      <c r="O27" s="198"/>
      <c r="P27" s="17"/>
    </row>
    <row r="28" spans="1:16" x14ac:dyDescent="0.25">
      <c r="F28" s="16"/>
      <c r="J28" s="17"/>
      <c r="L28" s="16"/>
      <c r="P28" s="17"/>
    </row>
    <row r="29" spans="1:16" x14ac:dyDescent="0.25">
      <c r="A29" s="196" t="s">
        <v>807</v>
      </c>
      <c r="B29" s="195"/>
      <c r="C29" s="195"/>
      <c r="D29" s="195"/>
      <c r="F29" s="16"/>
      <c r="G29" s="207" t="s">
        <v>806</v>
      </c>
      <c r="H29" s="207"/>
      <c r="I29" s="207"/>
      <c r="J29" s="17"/>
      <c r="L29" s="16"/>
      <c r="P29" s="17"/>
    </row>
    <row r="30" spans="1:16" ht="24.6" customHeight="1" x14ac:dyDescent="0.25">
      <c r="A30" s="195"/>
      <c r="B30" s="195"/>
      <c r="C30" s="195"/>
      <c r="D30" s="195"/>
      <c r="F30" s="16"/>
      <c r="G30" s="207"/>
      <c r="H30" s="207"/>
      <c r="I30" s="207"/>
      <c r="J30" s="17"/>
      <c r="L30" s="16"/>
      <c r="P30" s="17"/>
    </row>
    <row r="31" spans="1:16" ht="13.8" thickBot="1" x14ac:dyDescent="0.3">
      <c r="A31" s="195"/>
      <c r="B31" s="195"/>
      <c r="C31" s="195"/>
      <c r="D31" s="195"/>
      <c r="F31" s="16"/>
      <c r="G31" s="198"/>
      <c r="H31" s="198"/>
      <c r="I31" s="198"/>
      <c r="J31" s="17"/>
      <c r="L31" s="12"/>
      <c r="M31" s="13"/>
      <c r="N31" s="13"/>
      <c r="O31" s="13"/>
      <c r="P31" s="14"/>
    </row>
    <row r="32" spans="1:16" ht="13.8" customHeight="1" thickTop="1" x14ac:dyDescent="0.25">
      <c r="F32" s="16"/>
      <c r="G32" s="199" t="e">
        <f>IF(I24&gt;I21,"Hold harmless caution:  The amount on line l is greater than the amount on line k.  You are receiving benefit from the 'rate hold harmless'.  The Medicaid rate without any COVID enhancements is shown on line k.","")</f>
        <v>#N/A</v>
      </c>
      <c r="H32" s="199"/>
      <c r="I32" s="199"/>
      <c r="J32" s="17"/>
    </row>
    <row r="33" spans="6:10" ht="13.2" customHeight="1" x14ac:dyDescent="0.25">
      <c r="F33" s="16"/>
      <c r="G33" s="199"/>
      <c r="H33" s="199"/>
      <c r="I33" s="199"/>
      <c r="J33" s="17"/>
    </row>
    <row r="34" spans="6:10" ht="22.2" customHeight="1" x14ac:dyDescent="0.25">
      <c r="F34" s="16"/>
      <c r="G34" s="200"/>
      <c r="H34" s="200"/>
      <c r="I34" s="200"/>
      <c r="J34" s="17"/>
    </row>
    <row r="35" spans="6:10" ht="13.8" thickBot="1" x14ac:dyDescent="0.3">
      <c r="F35" s="12"/>
      <c r="G35" s="13"/>
      <c r="H35" s="13"/>
      <c r="I35" s="13"/>
      <c r="J35" s="14"/>
    </row>
    <row r="36" spans="6:10" ht="13.8" thickTop="1" x14ac:dyDescent="0.25"/>
  </sheetData>
  <mergeCells count="13">
    <mergeCell ref="A17:D18"/>
    <mergeCell ref="A29:D31"/>
    <mergeCell ref="G32:I34"/>
    <mergeCell ref="L4:P4"/>
    <mergeCell ref="L5:P5"/>
    <mergeCell ref="L6:P6"/>
    <mergeCell ref="N22:N23"/>
    <mergeCell ref="M25:O27"/>
    <mergeCell ref="F4:J4"/>
    <mergeCell ref="F6:J6"/>
    <mergeCell ref="F5:J5"/>
    <mergeCell ref="G29:I31"/>
    <mergeCell ref="A19:D21"/>
  </mergeCells>
  <phoneticPr fontId="4" type="noConversion"/>
  <printOptions horizontalCentered="1" verticalCentered="1"/>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E8955-E9A6-4EDB-98F4-65E538B96F09}">
  <sheetPr>
    <tabColor theme="3" tint="0.79998168889431442"/>
  </sheetPr>
  <dimension ref="A1:L31"/>
  <sheetViews>
    <sheetView workbookViewId="0">
      <selection activeCell="A2" sqref="A2"/>
    </sheetView>
  </sheetViews>
  <sheetFormatPr defaultRowHeight="13.2" x14ac:dyDescent="0.25"/>
  <cols>
    <col min="7" max="7" width="9.77734375" bestFit="1" customWidth="1"/>
  </cols>
  <sheetData>
    <row r="1" spans="1:12" x14ac:dyDescent="0.25">
      <c r="A1" s="32" t="s">
        <v>730</v>
      </c>
    </row>
    <row r="2" spans="1:12" x14ac:dyDescent="0.25">
      <c r="A2" s="117">
        <v>1730136250</v>
      </c>
      <c r="B2" s="32" t="s">
        <v>127</v>
      </c>
      <c r="C2" t="str">
        <f>IFERROR(VLOOKUP('Rate Calculation'!B6,'New Facilities'!A2:B41,2,FALSE),"old")</f>
        <v>old</v>
      </c>
    </row>
    <row r="3" spans="1:12" ht="14.4" x14ac:dyDescent="0.3">
      <c r="A3" s="117">
        <v>1861521635</v>
      </c>
      <c r="B3" s="32" t="s">
        <v>127</v>
      </c>
      <c r="E3" s="59"/>
      <c r="F3" s="137"/>
      <c r="G3" s="138">
        <v>44927</v>
      </c>
      <c r="H3" s="137"/>
    </row>
    <row r="4" spans="1:12" x14ac:dyDescent="0.25">
      <c r="A4" s="117">
        <v>1891908687</v>
      </c>
      <c r="B4" s="32" t="s">
        <v>127</v>
      </c>
      <c r="E4" t="s">
        <v>731</v>
      </c>
      <c r="F4" s="139"/>
      <c r="G4" s="139">
        <v>149.94999999999999</v>
      </c>
      <c r="H4" s="139"/>
      <c r="I4" s="140" t="s">
        <v>732</v>
      </c>
      <c r="J4" s="140"/>
      <c r="K4" s="140"/>
      <c r="L4" s="140"/>
    </row>
    <row r="5" spans="1:12" x14ac:dyDescent="0.25">
      <c r="A5" s="117">
        <v>1932368586</v>
      </c>
      <c r="B5" s="32" t="s">
        <v>127</v>
      </c>
      <c r="E5" t="s">
        <v>733</v>
      </c>
      <c r="F5" s="141"/>
      <c r="G5" s="141">
        <v>1.1947000000000001</v>
      </c>
      <c r="H5" s="142"/>
      <c r="I5" s="143" t="s">
        <v>734</v>
      </c>
      <c r="J5" s="143"/>
      <c r="K5" s="143"/>
      <c r="L5" s="143"/>
    </row>
    <row r="6" spans="1:12" x14ac:dyDescent="0.25">
      <c r="A6" s="117">
        <v>1306372230</v>
      </c>
      <c r="B6" s="32" t="s">
        <v>127</v>
      </c>
      <c r="E6" t="s">
        <v>735</v>
      </c>
      <c r="F6" s="144"/>
      <c r="G6" s="145">
        <v>0.65</v>
      </c>
      <c r="H6" s="146"/>
      <c r="I6" s="147" t="s">
        <v>736</v>
      </c>
      <c r="J6" s="147"/>
      <c r="K6" s="147"/>
      <c r="L6" s="147"/>
    </row>
    <row r="7" spans="1:12" x14ac:dyDescent="0.25">
      <c r="A7" s="117">
        <v>1437484672</v>
      </c>
      <c r="B7" s="32" t="s">
        <v>127</v>
      </c>
      <c r="E7" t="s">
        <v>737</v>
      </c>
      <c r="F7" s="148"/>
      <c r="G7" s="148">
        <f>+G4*G6</f>
        <v>97.467500000000001</v>
      </c>
      <c r="H7" s="39"/>
    </row>
    <row r="8" spans="1:12" x14ac:dyDescent="0.25">
      <c r="A8" s="117">
        <v>1982130811</v>
      </c>
      <c r="B8" s="32" t="s">
        <v>127</v>
      </c>
      <c r="E8" t="s">
        <v>738</v>
      </c>
      <c r="F8" s="148"/>
      <c r="G8" s="148">
        <f>+G4-G7</f>
        <v>52.482499999999987</v>
      </c>
      <c r="H8" s="39"/>
    </row>
    <row r="9" spans="1:12" x14ac:dyDescent="0.25">
      <c r="A9" s="117">
        <v>1124342241</v>
      </c>
      <c r="B9" s="32" t="s">
        <v>127</v>
      </c>
      <c r="E9" t="s">
        <v>739</v>
      </c>
      <c r="F9" s="149"/>
      <c r="G9" s="150">
        <v>1.2782</v>
      </c>
      <c r="H9" s="151" t="s">
        <v>740</v>
      </c>
      <c r="K9" s="22"/>
    </row>
    <row r="10" spans="1:12" x14ac:dyDescent="0.25">
      <c r="A10" s="117">
        <v>1669613071</v>
      </c>
      <c r="B10" s="32" t="s">
        <v>127</v>
      </c>
      <c r="E10" t="s">
        <v>741</v>
      </c>
      <c r="F10" s="38"/>
      <c r="G10" s="38">
        <f>+(G7*G9/G5+G8)</f>
        <v>156.7622007616975</v>
      </c>
      <c r="H10" s="22"/>
      <c r="I10" s="22"/>
      <c r="J10" s="4"/>
    </row>
    <row r="11" spans="1:12" x14ac:dyDescent="0.25">
      <c r="A11" s="117">
        <v>1518112036</v>
      </c>
      <c r="B11" s="32" t="s">
        <v>127</v>
      </c>
      <c r="E11" t="s">
        <v>34</v>
      </c>
      <c r="F11" s="38"/>
      <c r="G11" s="38">
        <v>36.81</v>
      </c>
      <c r="H11" s="22"/>
    </row>
    <row r="12" spans="1:12" ht="14.4" x14ac:dyDescent="0.3">
      <c r="A12" s="117">
        <v>1114463932</v>
      </c>
      <c r="B12" s="32" t="s">
        <v>127</v>
      </c>
      <c r="E12" s="59" t="s">
        <v>742</v>
      </c>
      <c r="F12" s="152"/>
      <c r="G12" s="152">
        <f>+G10+G11</f>
        <v>193.5722007616975</v>
      </c>
      <c r="H12" s="152"/>
      <c r="I12" s="22"/>
    </row>
    <row r="13" spans="1:12" x14ac:dyDescent="0.25">
      <c r="A13" s="117">
        <v>1194028118</v>
      </c>
      <c r="B13" s="32" t="s">
        <v>127</v>
      </c>
      <c r="E13" t="s">
        <v>743</v>
      </c>
      <c r="G13" s="153"/>
      <c r="H13" s="151" t="s">
        <v>744</v>
      </c>
    </row>
    <row r="14" spans="1:12" x14ac:dyDescent="0.25">
      <c r="A14" s="117">
        <v>1255682522</v>
      </c>
      <c r="B14" s="32" t="s">
        <v>127</v>
      </c>
      <c r="E14" t="s">
        <v>28</v>
      </c>
      <c r="G14" s="153"/>
      <c r="H14" s="151" t="s">
        <v>745</v>
      </c>
    </row>
    <row r="15" spans="1:12" ht="13.8" thickBot="1" x14ac:dyDescent="0.3">
      <c r="A15" s="117">
        <v>1588805014</v>
      </c>
      <c r="B15" s="32" t="s">
        <v>127</v>
      </c>
      <c r="E15" t="s">
        <v>746</v>
      </c>
      <c r="G15" s="154">
        <f>SUM(G12:G14)</f>
        <v>193.5722007616975</v>
      </c>
      <c r="I15" s="22"/>
    </row>
    <row r="16" spans="1:12" ht="13.8" thickTop="1" x14ac:dyDescent="0.25">
      <c r="A16" s="117">
        <v>1962832899</v>
      </c>
      <c r="B16" s="32" t="s">
        <v>127</v>
      </c>
    </row>
    <row r="17" spans="1:2" x14ac:dyDescent="0.25">
      <c r="A17" s="136">
        <v>1710312079</v>
      </c>
      <c r="B17" s="32" t="s">
        <v>127</v>
      </c>
    </row>
    <row r="18" spans="1:2" x14ac:dyDescent="0.25">
      <c r="A18" s="136">
        <v>1992106348</v>
      </c>
      <c r="B18" s="32" t="s">
        <v>127</v>
      </c>
    </row>
    <row r="19" spans="1:2" x14ac:dyDescent="0.25">
      <c r="A19" s="136">
        <v>1376932889</v>
      </c>
      <c r="B19" s="32" t="s">
        <v>127</v>
      </c>
    </row>
    <row r="20" spans="1:2" x14ac:dyDescent="0.25">
      <c r="A20" s="136">
        <v>1912323635</v>
      </c>
      <c r="B20" s="32" t="s">
        <v>127</v>
      </c>
    </row>
    <row r="21" spans="1:2" x14ac:dyDescent="0.25">
      <c r="A21" s="136">
        <v>1841697422</v>
      </c>
      <c r="B21" s="32" t="s">
        <v>127</v>
      </c>
    </row>
    <row r="22" spans="1:2" x14ac:dyDescent="0.25">
      <c r="A22" s="136">
        <v>1003205337</v>
      </c>
      <c r="B22" s="32" t="s">
        <v>127</v>
      </c>
    </row>
    <row r="23" spans="1:2" x14ac:dyDescent="0.25">
      <c r="A23" s="136">
        <v>1477137628</v>
      </c>
      <c r="B23" s="32" t="s">
        <v>127</v>
      </c>
    </row>
    <row r="24" spans="1:2" x14ac:dyDescent="0.25">
      <c r="A24" s="136">
        <v>1992998504</v>
      </c>
      <c r="B24" s="32" t="s">
        <v>127</v>
      </c>
    </row>
    <row r="25" spans="1:2" x14ac:dyDescent="0.25">
      <c r="A25" s="136">
        <v>1093228397</v>
      </c>
      <c r="B25" s="32" t="s">
        <v>127</v>
      </c>
    </row>
    <row r="26" spans="1:2" x14ac:dyDescent="0.25">
      <c r="A26" s="136">
        <v>1558872333</v>
      </c>
      <c r="B26" s="32" t="s">
        <v>127</v>
      </c>
    </row>
    <row r="27" spans="1:2" x14ac:dyDescent="0.25">
      <c r="A27" s="136">
        <v>1730183625</v>
      </c>
      <c r="B27" s="32" t="s">
        <v>127</v>
      </c>
    </row>
    <row r="28" spans="1:2" x14ac:dyDescent="0.25">
      <c r="A28" s="136">
        <v>1033611959</v>
      </c>
      <c r="B28" s="32" t="s">
        <v>127</v>
      </c>
    </row>
    <row r="29" spans="1:2" x14ac:dyDescent="0.25">
      <c r="A29" s="136"/>
      <c r="B29" s="32"/>
    </row>
    <row r="30" spans="1:2" x14ac:dyDescent="0.25">
      <c r="A30" s="136"/>
      <c r="B30" s="32"/>
    </row>
    <row r="31" spans="1:2" x14ac:dyDescent="0.25">
      <c r="A31" s="136"/>
      <c r="B31"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79998168889431442"/>
    <pageSetUpPr fitToPage="1"/>
  </sheetPr>
  <dimension ref="A1:K14"/>
  <sheetViews>
    <sheetView workbookViewId="0"/>
  </sheetViews>
  <sheetFormatPr defaultRowHeight="13.2" x14ac:dyDescent="0.25"/>
  <cols>
    <col min="1" max="1" width="5.6640625" customWidth="1"/>
    <col min="2" max="2" width="24.44140625" bestFit="1" customWidth="1"/>
    <col min="8" max="8" width="8.88671875" customWidth="1"/>
    <col min="9" max="9" width="15" customWidth="1"/>
  </cols>
  <sheetData>
    <row r="1" spans="1:11" ht="22.8" x14ac:dyDescent="0.4">
      <c r="A1" s="6" t="s">
        <v>25</v>
      </c>
      <c r="B1" s="6"/>
      <c r="C1" s="6"/>
      <c r="D1" s="6"/>
      <c r="E1" s="6"/>
      <c r="F1" s="6"/>
      <c r="G1" s="6"/>
      <c r="H1" s="6"/>
      <c r="I1" s="6"/>
    </row>
    <row r="3" spans="1:11" ht="32.4" customHeight="1" x14ac:dyDescent="0.25">
      <c r="A3" s="194" t="s">
        <v>47</v>
      </c>
      <c r="B3" s="195"/>
      <c r="C3" s="195"/>
      <c r="D3" s="195"/>
      <c r="E3" s="195"/>
      <c r="F3" s="195"/>
      <c r="G3" s="195"/>
      <c r="H3" s="195"/>
      <c r="I3" s="195"/>
    </row>
    <row r="4" spans="1:11" ht="40.200000000000003" customHeight="1" x14ac:dyDescent="0.25">
      <c r="A4" s="194" t="s">
        <v>810</v>
      </c>
      <c r="B4" s="195"/>
      <c r="C4" s="195"/>
      <c r="D4" s="195"/>
      <c r="E4" s="195"/>
      <c r="F4" s="195"/>
      <c r="G4" s="195"/>
      <c r="H4" s="195"/>
      <c r="I4" s="195"/>
    </row>
    <row r="5" spans="1:11" ht="48" customHeight="1" x14ac:dyDescent="0.25">
      <c r="A5" s="194" t="s">
        <v>811</v>
      </c>
      <c r="B5" s="195"/>
      <c r="C5" s="195"/>
      <c r="D5" s="195"/>
      <c r="E5" s="195"/>
      <c r="F5" s="195"/>
      <c r="G5" s="195"/>
      <c r="H5" s="195"/>
      <c r="I5" s="195"/>
    </row>
    <row r="6" spans="1:11" ht="27.75" customHeight="1" x14ac:dyDescent="0.3">
      <c r="A6" s="8" t="s">
        <v>23</v>
      </c>
    </row>
    <row r="7" spans="1:11" ht="37.5" customHeight="1" x14ac:dyDescent="0.25">
      <c r="A7" s="209" t="s">
        <v>541</v>
      </c>
      <c r="B7" s="209"/>
      <c r="C7" s="209"/>
      <c r="D7" s="209"/>
      <c r="E7" s="209"/>
      <c r="F7" s="209"/>
      <c r="G7" s="209"/>
      <c r="H7" s="209"/>
      <c r="I7" s="209"/>
    </row>
    <row r="8" spans="1:11" ht="25.5" customHeight="1" x14ac:dyDescent="0.25">
      <c r="A8" s="5" t="s">
        <v>542</v>
      </c>
    </row>
    <row r="9" spans="1:11" ht="26.4" customHeight="1" x14ac:dyDescent="0.25">
      <c r="A9" s="195" t="s">
        <v>543</v>
      </c>
      <c r="B9" s="195"/>
      <c r="C9" s="195"/>
      <c r="D9" s="195"/>
      <c r="E9" s="195"/>
      <c r="F9" s="195"/>
      <c r="G9" s="195"/>
      <c r="H9" s="195"/>
      <c r="I9" s="195"/>
    </row>
    <row r="10" spans="1:11" ht="25.5" customHeight="1" x14ac:dyDescent="0.25">
      <c r="A10" s="32" t="s">
        <v>547</v>
      </c>
    </row>
    <row r="11" spans="1:11" x14ac:dyDescent="0.25">
      <c r="B11" s="208" t="s">
        <v>544</v>
      </c>
      <c r="C11" s="195"/>
      <c r="D11" s="195"/>
      <c r="E11" s="195"/>
      <c r="F11" s="195"/>
      <c r="G11" s="195"/>
      <c r="H11" s="195"/>
      <c r="I11" s="195"/>
    </row>
    <row r="12" spans="1:11" ht="26.4" customHeight="1" x14ac:dyDescent="0.25">
      <c r="B12" s="208" t="s">
        <v>545</v>
      </c>
      <c r="C12" s="195"/>
      <c r="D12" s="195"/>
      <c r="E12" s="195"/>
      <c r="F12" s="195"/>
      <c r="G12" s="195"/>
      <c r="H12" s="195"/>
      <c r="I12" s="195"/>
    </row>
    <row r="13" spans="1:11" ht="26.4" customHeight="1" x14ac:dyDescent="0.25">
      <c r="B13" s="208" t="s">
        <v>546</v>
      </c>
      <c r="C13" s="195"/>
      <c r="D13" s="195"/>
      <c r="E13" s="195"/>
      <c r="F13" s="195"/>
      <c r="G13" s="195"/>
      <c r="H13" s="195"/>
      <c r="I13" s="195"/>
      <c r="J13" s="92"/>
      <c r="K13" s="92"/>
    </row>
    <row r="14" spans="1:11" ht="26.4" customHeight="1" x14ac:dyDescent="0.25">
      <c r="B14" s="208" t="s">
        <v>812</v>
      </c>
      <c r="C14" s="195"/>
      <c r="D14" s="195"/>
      <c r="E14" s="195"/>
      <c r="F14" s="195"/>
      <c r="G14" s="195"/>
      <c r="H14" s="195"/>
      <c r="I14" s="195"/>
      <c r="J14" s="92"/>
      <c r="K14" s="92"/>
    </row>
  </sheetData>
  <mergeCells count="9">
    <mergeCell ref="B11:I11"/>
    <mergeCell ref="B12:I12"/>
    <mergeCell ref="A3:I3"/>
    <mergeCell ref="A4:I4"/>
    <mergeCell ref="A5:I5"/>
    <mergeCell ref="A7:I7"/>
    <mergeCell ref="A9:I9"/>
    <mergeCell ref="B13:I13"/>
    <mergeCell ref="B14:I14"/>
  </mergeCells>
  <phoneticPr fontId="4" type="noConversion"/>
  <pageMargins left="0.75" right="0.75" top="0.72" bottom="1" header="0.5" footer="0.5"/>
  <pageSetup scale="91"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79998168889431442"/>
    <pageSetUpPr fitToPage="1"/>
  </sheetPr>
  <dimension ref="A1:S74"/>
  <sheetViews>
    <sheetView workbookViewId="0"/>
  </sheetViews>
  <sheetFormatPr defaultRowHeight="13.2" x14ac:dyDescent="0.25"/>
  <cols>
    <col min="1" max="1" width="3.44140625" style="39" customWidth="1"/>
    <col min="2" max="2" width="41.109375" customWidth="1"/>
    <col min="3" max="3" width="16.6640625" bestFit="1" customWidth="1"/>
    <col min="4" max="4" width="18.6640625" customWidth="1"/>
    <col min="5" max="6" width="18.6640625" bestFit="1" customWidth="1"/>
    <col min="7" max="7" width="5.6640625" customWidth="1"/>
    <col min="8" max="8" width="40" customWidth="1"/>
    <col min="9" max="9" width="12.44140625" bestFit="1" customWidth="1"/>
    <col min="10" max="10" width="13.6640625" bestFit="1" customWidth="1"/>
    <col min="11" max="11" width="11" bestFit="1" customWidth="1"/>
    <col min="12" max="12" width="13.6640625" bestFit="1" customWidth="1"/>
    <col min="16" max="16" width="13.6640625" bestFit="1" customWidth="1"/>
    <col min="17" max="17" width="11" bestFit="1" customWidth="1"/>
    <col min="18" max="18" width="11.77734375" bestFit="1" customWidth="1"/>
    <col min="19" max="19" width="7.6640625" bestFit="1" customWidth="1"/>
  </cols>
  <sheetData>
    <row r="1" spans="1:19" ht="52.8" x14ac:dyDescent="0.25">
      <c r="C1" s="91" t="s">
        <v>57</v>
      </c>
      <c r="D1" s="91" t="s">
        <v>58</v>
      </c>
      <c r="E1" s="51" t="s">
        <v>59</v>
      </c>
      <c r="F1" s="158" t="s">
        <v>60</v>
      </c>
      <c r="G1" s="66" t="s">
        <v>133</v>
      </c>
      <c r="H1" s="159" t="s">
        <v>748</v>
      </c>
    </row>
    <row r="2" spans="1:19" x14ac:dyDescent="0.25">
      <c r="B2" t="s">
        <v>61</v>
      </c>
      <c r="C2" s="86">
        <f>+'Rate Calculation'!B6</f>
        <v>0</v>
      </c>
      <c r="D2">
        <f>+C2</f>
        <v>0</v>
      </c>
      <c r="E2">
        <f>+C2</f>
        <v>0</v>
      </c>
      <c r="F2">
        <f>+D2</f>
        <v>0</v>
      </c>
    </row>
    <row r="3" spans="1:19" x14ac:dyDescent="0.25">
      <c r="B3" t="s">
        <v>62</v>
      </c>
      <c r="C3" s="87" t="e">
        <f>VLOOKUP($C$2,'Lookup Info'!$A$1:$I$398,8,FALSE)</f>
        <v>#N/A</v>
      </c>
      <c r="D3" s="15" t="e">
        <f>+C3</f>
        <v>#N/A</v>
      </c>
      <c r="E3" s="15" t="e">
        <f>700*E7</f>
        <v>#N/A</v>
      </c>
      <c r="F3" s="64">
        <v>0</v>
      </c>
      <c r="G3" s="66" t="s">
        <v>133</v>
      </c>
      <c r="H3" s="210" t="e">
        <f>IF(C16&lt;700,CONCATENATE("Number of Proposed Additional Nursing Square Feet, adding ",ROUND(E3-C3,0)," square feet will reach the sq ft ceiling."),"This facility is already at the square foot floor cap.")</f>
        <v>#N/A</v>
      </c>
      <c r="I3" s="38"/>
      <c r="J3" s="38"/>
    </row>
    <row r="4" spans="1:19" x14ac:dyDescent="0.25">
      <c r="B4" s="32" t="s">
        <v>530</v>
      </c>
      <c r="C4" s="88" t="e">
        <f>VLOOKUP($C$2,'Lookup Info'!$A$1:$I$398,9,FALSE)</f>
        <v>#N/A</v>
      </c>
      <c r="D4" s="19" t="e">
        <f>+C4</f>
        <v>#N/A</v>
      </c>
      <c r="E4" s="15"/>
      <c r="F4" s="90"/>
      <c r="G4" s="66"/>
      <c r="H4" s="210"/>
      <c r="I4" s="38"/>
      <c r="J4" s="38"/>
    </row>
    <row r="5" spans="1:19" x14ac:dyDescent="0.25">
      <c r="B5" t="s">
        <v>17</v>
      </c>
      <c r="C5" s="87" t="e">
        <f>VLOOKUP($C$2,'Lookup Info'!$A$1:$D$398,4,FALSE)</f>
        <v>#N/A</v>
      </c>
      <c r="D5" s="15" t="e">
        <f>+C5</f>
        <v>#N/A</v>
      </c>
      <c r="E5" s="15" t="e">
        <f>+C5</f>
        <v>#N/A</v>
      </c>
      <c r="F5" s="15" t="e">
        <f t="shared" ref="F5:F7" si="0">+D5</f>
        <v>#N/A</v>
      </c>
      <c r="H5" s="210"/>
      <c r="I5" s="38"/>
      <c r="J5" s="38"/>
    </row>
    <row r="6" spans="1:19" x14ac:dyDescent="0.25">
      <c r="B6" t="s">
        <v>20</v>
      </c>
      <c r="C6" s="86" t="e">
        <f>VLOOKUP(C2,'Lookup Info'!A2:E398,5,FALSE)</f>
        <v>#N/A</v>
      </c>
      <c r="D6" s="52" t="e">
        <f>+C6</f>
        <v>#N/A</v>
      </c>
      <c r="E6" s="52" t="e">
        <f>+C6</f>
        <v>#N/A</v>
      </c>
      <c r="F6" s="52" t="e">
        <f t="shared" si="0"/>
        <v>#N/A</v>
      </c>
      <c r="H6" s="210"/>
    </row>
    <row r="7" spans="1:19" x14ac:dyDescent="0.25">
      <c r="B7" t="s">
        <v>63</v>
      </c>
      <c r="C7" s="86" t="e">
        <f>VLOOKUP(C2,'Lookup Info'!A2:F398,6,FALSE)</f>
        <v>#N/A</v>
      </c>
      <c r="D7" s="15" t="e">
        <f>+C7</f>
        <v>#N/A</v>
      </c>
      <c r="E7" s="15" t="e">
        <f>+C7</f>
        <v>#N/A</v>
      </c>
      <c r="F7" s="15" t="e">
        <f t="shared" si="0"/>
        <v>#N/A</v>
      </c>
      <c r="G7" s="53"/>
      <c r="H7" s="53"/>
      <c r="I7" s="53"/>
      <c r="J7" s="53"/>
    </row>
    <row r="8" spans="1:19" x14ac:dyDescent="0.25">
      <c r="F8" s="65">
        <v>0</v>
      </c>
      <c r="G8" s="66" t="s">
        <v>133</v>
      </c>
      <c r="H8" s="209" t="e">
        <f>CONCATENATE("Cost of Proposed Renovation, a renovation costing approximately $",E58," will make this facility brand new.")</f>
        <v>#N/A</v>
      </c>
      <c r="I8" s="38"/>
      <c r="J8" s="38"/>
    </row>
    <row r="9" spans="1:19" ht="14.4" x14ac:dyDescent="0.3">
      <c r="B9" s="54" t="s">
        <v>64</v>
      </c>
      <c r="H9" s="209"/>
      <c r="I9" s="38"/>
      <c r="J9" s="38"/>
      <c r="P9" s="38" t="s">
        <v>65</v>
      </c>
      <c r="Q9" t="s">
        <v>67</v>
      </c>
      <c r="R9" t="s">
        <v>68</v>
      </c>
      <c r="S9" t="s">
        <v>66</v>
      </c>
    </row>
    <row r="10" spans="1:19" x14ac:dyDescent="0.25">
      <c r="A10" s="39" t="s">
        <v>38</v>
      </c>
      <c r="B10" t="s">
        <v>21</v>
      </c>
      <c r="C10" s="89">
        <v>231.11</v>
      </c>
      <c r="D10" s="38">
        <v>231.11</v>
      </c>
      <c r="E10" s="38">
        <v>231.11</v>
      </c>
      <c r="F10" s="38">
        <v>231.11</v>
      </c>
      <c r="G10" s="22"/>
      <c r="H10" s="209"/>
      <c r="J10" s="7"/>
      <c r="L10" s="38"/>
      <c r="P10" s="7">
        <v>0</v>
      </c>
      <c r="Q10">
        <v>30</v>
      </c>
      <c r="R10" s="38">
        <v>12.21</v>
      </c>
      <c r="S10">
        <v>0</v>
      </c>
    </row>
    <row r="11" spans="1:19" x14ac:dyDescent="0.25">
      <c r="A11" s="39" t="s">
        <v>39</v>
      </c>
      <c r="B11" s="32" t="s">
        <v>531</v>
      </c>
      <c r="C11" s="3" t="e">
        <f>+C3</f>
        <v>#N/A</v>
      </c>
      <c r="D11" s="3" t="e">
        <f>+D3</f>
        <v>#N/A</v>
      </c>
      <c r="E11" s="3" t="e">
        <f>+E3</f>
        <v>#N/A</v>
      </c>
      <c r="F11" s="3" t="e">
        <f>+F3+C3</f>
        <v>#N/A</v>
      </c>
      <c r="G11" s="22"/>
      <c r="I11" s="38"/>
      <c r="J11" s="38"/>
      <c r="L11" s="38"/>
      <c r="M11" s="38"/>
      <c r="P11" s="38">
        <v>500000</v>
      </c>
      <c r="Q11">
        <v>27.35</v>
      </c>
      <c r="R11" s="38">
        <v>13.42</v>
      </c>
      <c r="S11" s="38">
        <v>13.33</v>
      </c>
    </row>
    <row r="12" spans="1:19" x14ac:dyDescent="0.25">
      <c r="A12" s="39" t="s">
        <v>40</v>
      </c>
      <c r="B12" s="32" t="s">
        <v>63</v>
      </c>
      <c r="C12" s="3" t="e">
        <f>+C7</f>
        <v>#N/A</v>
      </c>
      <c r="D12" s="3" t="e">
        <f>+D7</f>
        <v>#N/A</v>
      </c>
      <c r="E12" s="3" t="e">
        <f>+E7</f>
        <v>#N/A</v>
      </c>
      <c r="F12" s="3" t="e">
        <f>+F7</f>
        <v>#N/A</v>
      </c>
      <c r="G12" s="3"/>
      <c r="I12" s="38"/>
      <c r="J12" s="38"/>
      <c r="L12" s="38"/>
      <c r="M12" s="38"/>
      <c r="P12" s="38">
        <v>1000000</v>
      </c>
      <c r="Q12">
        <v>24.7</v>
      </c>
      <c r="R12" s="38">
        <v>14.63</v>
      </c>
      <c r="S12" s="38">
        <v>13.33</v>
      </c>
    </row>
    <row r="13" spans="1:19" x14ac:dyDescent="0.25">
      <c r="A13" s="39" t="s">
        <v>41</v>
      </c>
      <c r="B13" t="s">
        <v>69</v>
      </c>
      <c r="C13" s="19" t="e">
        <f>+C11/C7</f>
        <v>#N/A</v>
      </c>
      <c r="D13" s="4" t="e">
        <f>+D11/D7</f>
        <v>#N/A</v>
      </c>
      <c r="E13" s="3" t="e">
        <f>+E11/E7</f>
        <v>#N/A</v>
      </c>
      <c r="F13" s="3" t="e">
        <f>+F11/F7</f>
        <v>#N/A</v>
      </c>
      <c r="G13" s="4"/>
      <c r="I13" s="38"/>
      <c r="J13" s="38"/>
      <c r="L13" s="38"/>
      <c r="M13" s="38"/>
      <c r="P13" s="38">
        <v>1500000</v>
      </c>
      <c r="Q13">
        <v>22.04</v>
      </c>
      <c r="R13" s="38">
        <v>15.83</v>
      </c>
      <c r="S13" s="38">
        <v>13.33</v>
      </c>
    </row>
    <row r="14" spans="1:19" ht="14.4" x14ac:dyDescent="0.3">
      <c r="A14" s="39" t="s">
        <v>42</v>
      </c>
      <c r="B14" t="s">
        <v>70</v>
      </c>
      <c r="C14" s="88" t="e">
        <f>VLOOKUP(C2,'Lookup Info'!A2:G398,7,FALSE)</f>
        <v>#N/A</v>
      </c>
      <c r="D14" s="55">
        <v>1</v>
      </c>
      <c r="E14" s="55">
        <v>1</v>
      </c>
      <c r="F14" s="55" t="e">
        <f>+C61</f>
        <v>#N/A</v>
      </c>
      <c r="I14" s="38"/>
      <c r="J14" s="38"/>
      <c r="L14" s="38"/>
      <c r="M14" s="38"/>
      <c r="P14" s="38">
        <v>2000000</v>
      </c>
      <c r="Q14">
        <v>19.39</v>
      </c>
      <c r="R14" s="38">
        <v>17.04</v>
      </c>
      <c r="S14" s="38">
        <v>13.33</v>
      </c>
    </row>
    <row r="15" spans="1:19" x14ac:dyDescent="0.25">
      <c r="A15" s="39" t="s">
        <v>43</v>
      </c>
      <c r="B15" t="s">
        <v>71</v>
      </c>
      <c r="C15" s="48" t="e">
        <f>VLOOKUP(C14,'RSMeans Factors'!$N$2:$O$6,2)</f>
        <v>#N/A</v>
      </c>
      <c r="D15" s="48">
        <f>VLOOKUP(D14,'RSMeans Factors'!$N$2:$O$6,2)</f>
        <v>425</v>
      </c>
      <c r="E15" s="48">
        <f>VLOOKUP(E14,'RSMeans Factors'!$N$2:$O$6,2)</f>
        <v>425</v>
      </c>
      <c r="F15" s="48" t="e">
        <f>VLOOKUP(F14,'RSMeans Factors'!$N$2:$O$6,2)</f>
        <v>#N/A</v>
      </c>
      <c r="I15" s="38"/>
      <c r="J15" s="38"/>
      <c r="L15" s="38"/>
      <c r="M15" s="38"/>
      <c r="P15" s="38">
        <v>2500000</v>
      </c>
      <c r="Q15">
        <v>16.739999999999998</v>
      </c>
      <c r="R15" s="38">
        <v>18.25</v>
      </c>
      <c r="S15" s="38">
        <v>13.33</v>
      </c>
    </row>
    <row r="16" spans="1:19" x14ac:dyDescent="0.25">
      <c r="A16" s="39" t="s">
        <v>44</v>
      </c>
      <c r="B16" t="s">
        <v>72</v>
      </c>
      <c r="C16" s="3" t="e">
        <f>MAX(MIN(700,C13),C15)</f>
        <v>#N/A</v>
      </c>
      <c r="D16" s="3" t="e">
        <f>MAX(MIN(700,D13),D15)</f>
        <v>#N/A</v>
      </c>
      <c r="E16" s="3" t="e">
        <f>MAX(MIN(700,E13),E15)</f>
        <v>#N/A</v>
      </c>
      <c r="F16" s="3" t="e">
        <f>MAX(MIN(700,F13),F15)</f>
        <v>#N/A</v>
      </c>
      <c r="I16" s="38"/>
      <c r="J16" s="38"/>
      <c r="L16" s="38"/>
      <c r="M16" s="38"/>
      <c r="P16" s="38">
        <v>3000000</v>
      </c>
      <c r="Q16">
        <v>14.09</v>
      </c>
      <c r="R16" s="38">
        <v>19.46</v>
      </c>
      <c r="S16" s="38">
        <v>13.33</v>
      </c>
    </row>
    <row r="17" spans="1:19" x14ac:dyDescent="0.25">
      <c r="A17" s="39" t="s">
        <v>45</v>
      </c>
      <c r="B17" t="s">
        <v>73</v>
      </c>
      <c r="C17" s="7" t="e">
        <f>VLOOKUP(VALUE(LEFT(C6,3)),'RSMeans Factors'!$A$3:$C$22,3,FALSE)</f>
        <v>#N/A</v>
      </c>
      <c r="D17" s="7" t="e">
        <f>VLOOKUP(VALUE(LEFT(D6,3)),'RSMeans Factors'!$A$3:$C$22,3,FALSE)</f>
        <v>#N/A</v>
      </c>
      <c r="E17" s="7" t="e">
        <f>VLOOKUP(VALUE(LEFT(E6,3)),'RSMeans Factors'!$A$3:$C$22,3,FALSE)</f>
        <v>#N/A</v>
      </c>
      <c r="F17" s="7" t="e">
        <f>VLOOKUP(VALUE(LEFT(F6,3)),'RSMeans Factors'!$A$3:$C$22,3,FALSE)</f>
        <v>#N/A</v>
      </c>
      <c r="I17" s="22"/>
      <c r="J17" s="38"/>
      <c r="L17" s="38"/>
      <c r="M17" s="38"/>
      <c r="P17" s="38">
        <v>3500000</v>
      </c>
      <c r="Q17">
        <v>11.44</v>
      </c>
      <c r="R17" s="38">
        <v>20.67</v>
      </c>
      <c r="S17" s="38">
        <v>13.33</v>
      </c>
    </row>
    <row r="18" spans="1:19" x14ac:dyDescent="0.25">
      <c r="A18" s="39" t="s">
        <v>46</v>
      </c>
      <c r="B18" t="s">
        <v>74</v>
      </c>
      <c r="C18" s="56" t="e">
        <f>+C17*C16*C7*C10</f>
        <v>#N/A</v>
      </c>
      <c r="D18" s="56" t="e">
        <f>+D17*D16*D7*D10</f>
        <v>#N/A</v>
      </c>
      <c r="E18" s="56" t="e">
        <f>+E17*E16*E7*E10</f>
        <v>#N/A</v>
      </c>
      <c r="F18" s="56" t="e">
        <f>+F17*F16*F7*F10</f>
        <v>#N/A</v>
      </c>
      <c r="J18" s="38"/>
      <c r="L18" s="38"/>
      <c r="M18" s="38"/>
      <c r="P18" s="38">
        <v>4000000</v>
      </c>
      <c r="Q18">
        <v>8.7899999999999991</v>
      </c>
      <c r="R18" s="38">
        <v>21.88</v>
      </c>
      <c r="S18" s="38">
        <v>13.33</v>
      </c>
    </row>
    <row r="19" spans="1:19" x14ac:dyDescent="0.25">
      <c r="J19" s="38"/>
      <c r="L19" s="38"/>
      <c r="M19" s="38"/>
      <c r="P19" s="38">
        <v>4500000</v>
      </c>
      <c r="Q19">
        <v>6.13</v>
      </c>
      <c r="R19" s="38">
        <v>23.09</v>
      </c>
      <c r="S19" s="38">
        <v>13.33</v>
      </c>
    </row>
    <row r="20" spans="1:19" ht="14.4" x14ac:dyDescent="0.3">
      <c r="B20" s="54" t="s">
        <v>75</v>
      </c>
      <c r="J20" s="38"/>
      <c r="L20" s="38"/>
      <c r="M20" s="38"/>
      <c r="P20" s="38">
        <v>5000000</v>
      </c>
      <c r="Q20">
        <v>3.48</v>
      </c>
      <c r="R20" s="38">
        <v>24.3</v>
      </c>
      <c r="S20" s="38">
        <v>13.33</v>
      </c>
    </row>
    <row r="21" spans="1:19" x14ac:dyDescent="0.25">
      <c r="A21" s="39" t="s">
        <v>76</v>
      </c>
      <c r="B21" t="s">
        <v>19</v>
      </c>
      <c r="C21" s="45">
        <v>0.15</v>
      </c>
      <c r="D21" s="45">
        <v>0.15</v>
      </c>
      <c r="E21" s="45">
        <v>0.15</v>
      </c>
      <c r="F21" s="45">
        <v>0.15</v>
      </c>
      <c r="J21" s="38"/>
      <c r="L21" s="38"/>
      <c r="M21" s="38"/>
      <c r="P21" s="38">
        <v>5468216</v>
      </c>
      <c r="Q21">
        <v>1</v>
      </c>
      <c r="R21" s="38">
        <v>25.43</v>
      </c>
      <c r="S21" s="38">
        <v>13.33</v>
      </c>
    </row>
    <row r="22" spans="1:19" x14ac:dyDescent="0.25">
      <c r="A22" s="39" t="s">
        <v>77</v>
      </c>
      <c r="B22" t="s">
        <v>78</v>
      </c>
      <c r="C22" s="57" t="e">
        <f>+C21*C18</f>
        <v>#N/A</v>
      </c>
      <c r="D22" s="57" t="e">
        <f>+D21*D18</f>
        <v>#N/A</v>
      </c>
      <c r="E22" s="57" t="e">
        <f>+E21*E18</f>
        <v>#N/A</v>
      </c>
      <c r="F22" s="57" t="e">
        <f>+F21*F18</f>
        <v>#N/A</v>
      </c>
    </row>
    <row r="23" spans="1:19" x14ac:dyDescent="0.25">
      <c r="J23" s="38"/>
    </row>
    <row r="24" spans="1:19" ht="14.4" x14ac:dyDescent="0.3">
      <c r="B24" s="54" t="s">
        <v>81</v>
      </c>
      <c r="J24" s="7"/>
      <c r="L24" s="38"/>
    </row>
    <row r="25" spans="1:19" x14ac:dyDescent="0.25">
      <c r="A25" s="39" t="s">
        <v>82</v>
      </c>
      <c r="B25" t="s">
        <v>83</v>
      </c>
      <c r="C25" s="56">
        <v>9000</v>
      </c>
      <c r="D25" s="56">
        <v>9000</v>
      </c>
      <c r="E25" s="56">
        <v>9000</v>
      </c>
      <c r="F25" s="56">
        <v>9000</v>
      </c>
      <c r="J25" s="38"/>
      <c r="L25" s="38"/>
    </row>
    <row r="26" spans="1:19" x14ac:dyDescent="0.25">
      <c r="A26" s="39" t="s">
        <v>84</v>
      </c>
      <c r="B26" t="s">
        <v>85</v>
      </c>
      <c r="C26" s="56" t="e">
        <f>+C25*C12</f>
        <v>#N/A</v>
      </c>
      <c r="D26" s="56" t="e">
        <f>+D25*D12</f>
        <v>#N/A</v>
      </c>
      <c r="E26" s="56" t="e">
        <f>+E25*E12</f>
        <v>#N/A</v>
      </c>
      <c r="F26" s="56" t="e">
        <f>+F25*F12</f>
        <v>#N/A</v>
      </c>
      <c r="J26" s="38"/>
      <c r="L26" s="38"/>
    </row>
    <row r="27" spans="1:19" x14ac:dyDescent="0.25">
      <c r="J27" s="38"/>
      <c r="L27" s="38"/>
    </row>
    <row r="28" spans="1:19" ht="14.4" x14ac:dyDescent="0.3">
      <c r="B28" s="54" t="s">
        <v>86</v>
      </c>
      <c r="J28" s="38"/>
      <c r="L28" s="38"/>
    </row>
    <row r="29" spans="1:19" x14ac:dyDescent="0.25">
      <c r="A29" s="39" t="s">
        <v>87</v>
      </c>
      <c r="B29" t="s">
        <v>88</v>
      </c>
      <c r="C29" s="57" t="e">
        <f>+C18+C26</f>
        <v>#N/A</v>
      </c>
      <c r="D29" s="57" t="e">
        <f>+D18+D26</f>
        <v>#N/A</v>
      </c>
      <c r="E29" s="57" t="e">
        <f>+E18+E26</f>
        <v>#N/A</v>
      </c>
      <c r="F29" s="57" t="e">
        <f>+F18+F26</f>
        <v>#N/A</v>
      </c>
      <c r="J29" s="38"/>
      <c r="L29" s="38"/>
    </row>
    <row r="30" spans="1:19" x14ac:dyDescent="0.25">
      <c r="A30" s="39" t="s">
        <v>89</v>
      </c>
      <c r="B30" t="s">
        <v>90</v>
      </c>
      <c r="C30" s="7" t="e">
        <f>+C14</f>
        <v>#N/A</v>
      </c>
      <c r="D30" s="7">
        <f>+D14</f>
        <v>1</v>
      </c>
      <c r="E30" s="7">
        <f>+E14</f>
        <v>1</v>
      </c>
      <c r="F30" s="7" t="e">
        <f>+F14</f>
        <v>#N/A</v>
      </c>
      <c r="J30" s="38"/>
      <c r="L30" s="38"/>
    </row>
    <row r="31" spans="1:19" x14ac:dyDescent="0.25">
      <c r="A31" s="39" t="s">
        <v>91</v>
      </c>
      <c r="B31" t="s">
        <v>92</v>
      </c>
      <c r="C31" s="45">
        <v>0.02</v>
      </c>
      <c r="D31" s="45">
        <v>0.02</v>
      </c>
      <c r="E31" s="45">
        <v>0.02</v>
      </c>
      <c r="F31" s="45">
        <v>0.02</v>
      </c>
      <c r="J31" s="38"/>
      <c r="L31" s="38"/>
    </row>
    <row r="32" spans="1:19" x14ac:dyDescent="0.25">
      <c r="A32" s="39" t="s">
        <v>93</v>
      </c>
      <c r="B32" t="s">
        <v>94</v>
      </c>
      <c r="C32" s="56" t="e">
        <f>+C29*C30*C31</f>
        <v>#N/A</v>
      </c>
      <c r="D32" s="56" t="e">
        <f>+D29*D30*D31</f>
        <v>#N/A</v>
      </c>
      <c r="E32" s="56" t="e">
        <f>+E29*E30*E31</f>
        <v>#N/A</v>
      </c>
      <c r="F32" s="56" t="e">
        <f>+F29*F30*F31</f>
        <v>#N/A</v>
      </c>
      <c r="J32" s="38"/>
      <c r="L32" s="38"/>
    </row>
    <row r="33" spans="1:18" x14ac:dyDescent="0.25">
      <c r="A33" s="39" t="s">
        <v>95</v>
      </c>
      <c r="B33" t="s">
        <v>96</v>
      </c>
      <c r="C33" s="57" t="e">
        <f>+C29-C32</f>
        <v>#N/A</v>
      </c>
      <c r="D33" s="57" t="e">
        <f>+D29-D32</f>
        <v>#N/A</v>
      </c>
      <c r="E33" s="57" t="e">
        <f>+E29-E32</f>
        <v>#N/A</v>
      </c>
      <c r="F33" s="57" t="e">
        <f>+F29-F32</f>
        <v>#N/A</v>
      </c>
      <c r="J33" s="38"/>
      <c r="L33" s="38"/>
    </row>
    <row r="34" spans="1:18" x14ac:dyDescent="0.25">
      <c r="A34" s="39" t="s">
        <v>97</v>
      </c>
      <c r="B34" t="s">
        <v>98</v>
      </c>
      <c r="C34" s="57" t="e">
        <f>+C33+C22</f>
        <v>#N/A</v>
      </c>
      <c r="D34" s="57" t="e">
        <f>+D33+D22</f>
        <v>#N/A</v>
      </c>
      <c r="E34" s="57" t="e">
        <f>+E33+E22</f>
        <v>#N/A</v>
      </c>
      <c r="F34" s="57" t="e">
        <f>+F33+F22</f>
        <v>#N/A</v>
      </c>
    </row>
    <row r="36" spans="1:18" ht="14.4" x14ac:dyDescent="0.3">
      <c r="B36" s="54" t="s">
        <v>99</v>
      </c>
      <c r="C36">
        <v>6</v>
      </c>
    </row>
    <row r="37" spans="1:18" x14ac:dyDescent="0.25">
      <c r="A37" s="39" t="s">
        <v>100</v>
      </c>
      <c r="B37" t="s">
        <v>101</v>
      </c>
      <c r="C37" s="46">
        <v>7.4999999999999997E-2</v>
      </c>
      <c r="D37" s="46">
        <v>7.4999999999999997E-2</v>
      </c>
      <c r="E37" s="46">
        <v>7.4999999999999997E-2</v>
      </c>
      <c r="F37" s="46">
        <v>7.4999999999999997E-2</v>
      </c>
    </row>
    <row r="38" spans="1:18" x14ac:dyDescent="0.25">
      <c r="A38" s="39" t="s">
        <v>102</v>
      </c>
      <c r="B38" t="s">
        <v>103</v>
      </c>
      <c r="C38" s="56" t="e">
        <f>+C34*C37</f>
        <v>#N/A</v>
      </c>
      <c r="D38" s="56" t="e">
        <f>+D34*D37</f>
        <v>#N/A</v>
      </c>
      <c r="E38" s="56" t="e">
        <f>+E34*E37</f>
        <v>#N/A</v>
      </c>
      <c r="F38" s="56" t="e">
        <f>+F34*F37</f>
        <v>#N/A</v>
      </c>
    </row>
    <row r="39" spans="1:18" x14ac:dyDescent="0.25">
      <c r="A39" s="39" t="s">
        <v>104</v>
      </c>
      <c r="B39" t="s">
        <v>17</v>
      </c>
      <c r="C39" s="48" t="e">
        <f>+C5</f>
        <v>#N/A</v>
      </c>
      <c r="D39" s="48" t="e">
        <f>+D5</f>
        <v>#N/A</v>
      </c>
      <c r="E39" s="48" t="e">
        <f>+E5</f>
        <v>#N/A</v>
      </c>
      <c r="F39" s="48" t="e">
        <f>+F5</f>
        <v>#N/A</v>
      </c>
    </row>
    <row r="40" spans="1:18" x14ac:dyDescent="0.25">
      <c r="A40" s="39" t="s">
        <v>105</v>
      </c>
      <c r="B40" s="32" t="s">
        <v>761</v>
      </c>
      <c r="C40" s="48" t="e">
        <f>+C12*366*0.85</f>
        <v>#N/A</v>
      </c>
      <c r="D40" s="48" t="e">
        <f>+D12*366*0.85</f>
        <v>#N/A</v>
      </c>
      <c r="E40" s="48" t="e">
        <f>+E12*366*0.85</f>
        <v>#N/A</v>
      </c>
      <c r="F40" s="48" t="e">
        <f>+F12*366*0.85</f>
        <v>#N/A</v>
      </c>
      <c r="L40" s="38"/>
      <c r="P40" t="s">
        <v>68</v>
      </c>
      <c r="Q40" t="s">
        <v>79</v>
      </c>
      <c r="R40" t="s">
        <v>80</v>
      </c>
    </row>
    <row r="41" spans="1:18" x14ac:dyDescent="0.25">
      <c r="A41" s="39" t="s">
        <v>106</v>
      </c>
      <c r="B41" t="s">
        <v>107</v>
      </c>
      <c r="C41" s="3" t="e">
        <f>MAX(C40,C39)</f>
        <v>#N/A</v>
      </c>
      <c r="D41" s="3" t="e">
        <f>MAX(D40,D39)</f>
        <v>#N/A</v>
      </c>
      <c r="E41" s="3" t="e">
        <f>MAX(E40,E39)</f>
        <v>#N/A</v>
      </c>
      <c r="F41" s="3" t="e">
        <f>MAX(F40,F39)</f>
        <v>#N/A</v>
      </c>
      <c r="L41" s="7"/>
      <c r="N41" s="38"/>
      <c r="P41" s="38">
        <v>12.21</v>
      </c>
      <c r="Q41">
        <v>30</v>
      </c>
      <c r="R41" s="38">
        <v>9.69</v>
      </c>
    </row>
    <row r="42" spans="1:18" ht="15" thickBot="1" x14ac:dyDescent="0.35">
      <c r="A42" s="39" t="s">
        <v>108</v>
      </c>
      <c r="B42" t="s">
        <v>109</v>
      </c>
      <c r="C42" s="58" t="e">
        <f>+ROUND(C38/C41,2)</f>
        <v>#N/A</v>
      </c>
      <c r="D42" s="58" t="e">
        <f>+D38/D41</f>
        <v>#N/A</v>
      </c>
      <c r="E42" s="58" t="e">
        <f>+E38/E41</f>
        <v>#N/A</v>
      </c>
      <c r="F42" s="58" t="e">
        <f>+F38/F41</f>
        <v>#N/A</v>
      </c>
      <c r="J42" s="22"/>
      <c r="L42" s="56"/>
      <c r="N42" s="38"/>
      <c r="P42" s="38">
        <v>13.42</v>
      </c>
      <c r="Q42">
        <v>26.68</v>
      </c>
      <c r="R42" s="38">
        <v>10.9</v>
      </c>
    </row>
    <row r="43" spans="1:18" ht="13.8" thickTop="1" x14ac:dyDescent="0.25">
      <c r="J43" s="4"/>
      <c r="L43" s="56"/>
      <c r="N43" s="38"/>
      <c r="P43" s="38">
        <v>14.63</v>
      </c>
      <c r="Q43">
        <v>23.36</v>
      </c>
      <c r="R43" s="38">
        <v>12.89</v>
      </c>
    </row>
    <row r="44" spans="1:18" x14ac:dyDescent="0.25">
      <c r="B44" t="s">
        <v>110</v>
      </c>
      <c r="D44" s="56" t="e">
        <f>+(D55-1)/(D55-D61)*D56</f>
        <v>#N/A</v>
      </c>
      <c r="E44" s="220" t="e">
        <f>IF($C$42-'Rate Calculation'!$B$13&gt;0.03,"This facility has a difference between the calculated FRV rate and the actual FRV rate.  In most cases, this happens for facilities with ages at or above the maximum FRV age.","")</f>
        <v>#N/A</v>
      </c>
      <c r="F44" s="220"/>
      <c r="G44" s="220"/>
      <c r="H44" s="220"/>
      <c r="J44" s="4"/>
      <c r="L44" s="56"/>
      <c r="N44" s="38"/>
      <c r="P44" s="38">
        <v>15.83</v>
      </c>
      <c r="Q44">
        <v>20.04</v>
      </c>
      <c r="R44" s="38">
        <v>14.17</v>
      </c>
    </row>
    <row r="45" spans="1:18" x14ac:dyDescent="0.25">
      <c r="B45" t="s">
        <v>111</v>
      </c>
      <c r="D45" s="38" t="e">
        <f>+D42-C42</f>
        <v>#N/A</v>
      </c>
      <c r="E45" s="220"/>
      <c r="F45" s="220"/>
      <c r="G45" s="220"/>
      <c r="H45" s="220"/>
      <c r="L45" s="56"/>
      <c r="N45" s="38"/>
      <c r="P45" s="38">
        <v>17.04</v>
      </c>
      <c r="Q45">
        <v>16.72</v>
      </c>
      <c r="R45" s="38">
        <v>16.39</v>
      </c>
    </row>
    <row r="46" spans="1:18" x14ac:dyDescent="0.25">
      <c r="D46" s="56"/>
      <c r="E46" s="220"/>
      <c r="F46" s="220"/>
      <c r="G46" s="220"/>
      <c r="H46" s="220"/>
      <c r="L46" s="56"/>
      <c r="N46" s="38"/>
      <c r="P46" s="38">
        <v>18.25</v>
      </c>
      <c r="Q46">
        <v>13.41</v>
      </c>
      <c r="R46" s="38">
        <v>17.75</v>
      </c>
    </row>
    <row r="47" spans="1:18" x14ac:dyDescent="0.25">
      <c r="B47" t="s">
        <v>112</v>
      </c>
      <c r="D47" s="56">
        <f>+F8</f>
        <v>0</v>
      </c>
      <c r="E47" s="220" t="e">
        <f>IF($C$42-'Rate Calculation'!$B$13&gt;0.03,"The calculations on this page are for facilities that have FRV ages below the maximum age.","")</f>
        <v>#N/A</v>
      </c>
      <c r="F47" s="220"/>
      <c r="G47" s="220"/>
      <c r="H47" s="220"/>
      <c r="L47" s="56"/>
      <c r="N47" s="38"/>
      <c r="P47" s="38">
        <v>19.46</v>
      </c>
      <c r="Q47">
        <v>10.09</v>
      </c>
      <c r="R47" s="38">
        <v>19.11</v>
      </c>
    </row>
    <row r="48" spans="1:18" x14ac:dyDescent="0.25">
      <c r="B48" t="s">
        <v>113</v>
      </c>
      <c r="D48" s="38" t="e">
        <f>+F42</f>
        <v>#N/A</v>
      </c>
      <c r="E48" s="220"/>
      <c r="F48" s="220"/>
      <c r="G48" s="220"/>
      <c r="H48" s="220"/>
      <c r="L48" s="56"/>
      <c r="N48" s="38"/>
      <c r="P48" s="38">
        <v>20.67</v>
      </c>
      <c r="Q48">
        <v>6.77</v>
      </c>
      <c r="R48" s="38">
        <v>21.64</v>
      </c>
    </row>
    <row r="49" spans="2:18" x14ac:dyDescent="0.25">
      <c r="B49" t="s">
        <v>114</v>
      </c>
      <c r="D49" s="38" t="e">
        <f>+F42-C42</f>
        <v>#N/A</v>
      </c>
      <c r="E49" s="220"/>
      <c r="F49" s="220"/>
      <c r="G49" s="220"/>
      <c r="H49" s="220"/>
      <c r="L49" s="56"/>
      <c r="N49" s="38"/>
      <c r="P49" s="38">
        <v>21.88</v>
      </c>
      <c r="Q49">
        <v>3.45</v>
      </c>
      <c r="R49" s="38">
        <v>23.07</v>
      </c>
    </row>
    <row r="50" spans="2:18" x14ac:dyDescent="0.25">
      <c r="D50" s="56"/>
      <c r="L50" s="56"/>
      <c r="N50" s="38"/>
      <c r="P50" s="38">
        <v>23.09</v>
      </c>
      <c r="Q50">
        <v>1</v>
      </c>
      <c r="R50" s="38">
        <v>24.13</v>
      </c>
    </row>
    <row r="51" spans="2:18" x14ac:dyDescent="0.25">
      <c r="B51" s="32" t="s">
        <v>749</v>
      </c>
      <c r="C51" s="38">
        <v>77158.626946922726</v>
      </c>
      <c r="L51" s="56"/>
      <c r="N51" s="38"/>
      <c r="P51" s="38">
        <v>24.3</v>
      </c>
    </row>
    <row r="53" spans="2:18" ht="14.4" x14ac:dyDescent="0.3">
      <c r="B53" s="59" t="s">
        <v>115</v>
      </c>
    </row>
    <row r="54" spans="2:18" x14ac:dyDescent="0.25">
      <c r="B54" t="s">
        <v>116</v>
      </c>
    </row>
    <row r="55" spans="2:18" ht="14.4" x14ac:dyDescent="0.3">
      <c r="B55" t="s">
        <v>117</v>
      </c>
      <c r="C55" s="7" t="e">
        <f>+C14</f>
        <v>#N/A</v>
      </c>
      <c r="D55" s="4" t="e">
        <f>+C55</f>
        <v>#N/A</v>
      </c>
      <c r="E55" s="4" t="e">
        <f>+D55/(D55-D61)*D56</f>
        <v>#N/A</v>
      </c>
    </row>
    <row r="56" spans="2:18" ht="14.4" x14ac:dyDescent="0.3">
      <c r="B56" t="s">
        <v>118</v>
      </c>
      <c r="C56" s="56">
        <f>+F8</f>
        <v>0</v>
      </c>
      <c r="D56">
        <v>10000</v>
      </c>
      <c r="E56" s="7"/>
    </row>
    <row r="57" spans="2:18" x14ac:dyDescent="0.25">
      <c r="B57" s="32" t="s">
        <v>750</v>
      </c>
      <c r="C57" s="56" t="e">
        <f>+C51*C59</f>
        <v>#N/A</v>
      </c>
      <c r="D57" s="57" t="e">
        <f>+C57</f>
        <v>#N/A</v>
      </c>
    </row>
    <row r="58" spans="2:18" x14ac:dyDescent="0.25">
      <c r="B58" s="32" t="s">
        <v>125</v>
      </c>
      <c r="C58" s="7" t="e">
        <f>MIN(C56/C57,C7)</f>
        <v>#N/A</v>
      </c>
      <c r="D58" s="161" t="e">
        <f>+D56/D57</f>
        <v>#N/A</v>
      </c>
      <c r="E58" s="56" t="e">
        <f>ROUND(C7/D58*D56,0)</f>
        <v>#N/A</v>
      </c>
    </row>
    <row r="59" spans="2:18" ht="14.4" x14ac:dyDescent="0.3">
      <c r="B59" t="s">
        <v>119</v>
      </c>
      <c r="C59" s="46" t="e">
        <f>+C55*C60</f>
        <v>#N/A</v>
      </c>
      <c r="E59" s="4"/>
    </row>
    <row r="60" spans="2:18" x14ac:dyDescent="0.25">
      <c r="B60" t="s">
        <v>120</v>
      </c>
      <c r="C60" s="46">
        <v>0.02</v>
      </c>
      <c r="E60" s="4"/>
    </row>
    <row r="61" spans="2:18" ht="14.4" x14ac:dyDescent="0.3">
      <c r="B61" s="32" t="s">
        <v>751</v>
      </c>
      <c r="C61" s="160" t="e">
        <f>(C58+(C7-C58)*C55)/C7</f>
        <v>#N/A</v>
      </c>
      <c r="D61" s="4" t="e">
        <f>+(D58+((C7-D58)*D55))/C7</f>
        <v>#N/A</v>
      </c>
      <c r="E61" s="4"/>
    </row>
    <row r="62" spans="2:18" x14ac:dyDescent="0.25">
      <c r="C62" s="4"/>
      <c r="D62" s="7"/>
      <c r="E62" s="56"/>
    </row>
    <row r="63" spans="2:18" ht="14.4" x14ac:dyDescent="0.3">
      <c r="B63" s="60" t="s">
        <v>121</v>
      </c>
    </row>
    <row r="64" spans="2:18" x14ac:dyDescent="0.25">
      <c r="B64" t="s">
        <v>122</v>
      </c>
      <c r="C64" s="125" t="e">
        <f>+C7</f>
        <v>#N/A</v>
      </c>
    </row>
    <row r="65" spans="2:6" x14ac:dyDescent="0.25">
      <c r="B65" t="s">
        <v>123</v>
      </c>
      <c r="C65" s="22" t="e">
        <f>+C51*C59</f>
        <v>#N/A</v>
      </c>
    </row>
    <row r="66" spans="2:6" x14ac:dyDescent="0.25">
      <c r="B66" t="s">
        <v>124</v>
      </c>
      <c r="C66" s="57">
        <f>+C56</f>
        <v>0</v>
      </c>
    </row>
    <row r="67" spans="2:6" x14ac:dyDescent="0.25">
      <c r="B67" t="s">
        <v>125</v>
      </c>
      <c r="C67" s="61" t="e">
        <f>MIN(C66/C65,C64)</f>
        <v>#N/A</v>
      </c>
    </row>
    <row r="69" spans="2:6" x14ac:dyDescent="0.25">
      <c r="B69" t="s">
        <v>126</v>
      </c>
      <c r="C69" s="61" t="e">
        <f>+C64-C67</f>
        <v>#N/A</v>
      </c>
      <c r="D69" t="e">
        <f>C55</f>
        <v>#N/A</v>
      </c>
      <c r="E69" s="61" t="e">
        <f>D69*C69</f>
        <v>#N/A</v>
      </c>
      <c r="F69" s="61"/>
    </row>
    <row r="70" spans="2:6" x14ac:dyDescent="0.25">
      <c r="B70" t="s">
        <v>127</v>
      </c>
      <c r="C70" s="62" t="e">
        <f>+C67</f>
        <v>#N/A</v>
      </c>
      <c r="D70">
        <v>1</v>
      </c>
      <c r="E70" s="61" t="e">
        <f>D70*C70</f>
        <v>#N/A</v>
      </c>
      <c r="F70" s="61"/>
    </row>
    <row r="71" spans="2:6" x14ac:dyDescent="0.25">
      <c r="C71" t="e">
        <f>SUM(C69:C70)</f>
        <v>#N/A</v>
      </c>
      <c r="E71" s="61" t="e">
        <f>SUM(E69:E70)</f>
        <v>#N/A</v>
      </c>
      <c r="F71" s="61"/>
    </row>
    <row r="72" spans="2:6" x14ac:dyDescent="0.25">
      <c r="B72" s="32" t="s">
        <v>725</v>
      </c>
      <c r="E72" s="127" t="e">
        <f>E71/C71</f>
        <v>#N/A</v>
      </c>
      <c r="F72" s="61"/>
    </row>
    <row r="73" spans="2:6" x14ac:dyDescent="0.25">
      <c r="B73" t="s">
        <v>128</v>
      </c>
      <c r="E73" s="62" t="e">
        <f>C55</f>
        <v>#N/A</v>
      </c>
      <c r="F73" s="61"/>
    </row>
    <row r="74" spans="2:6" ht="14.4" x14ac:dyDescent="0.3">
      <c r="B74" t="s">
        <v>129</v>
      </c>
      <c r="E74" s="128" t="e">
        <f>E73-E72</f>
        <v>#N/A</v>
      </c>
      <c r="F74" s="126"/>
    </row>
  </sheetData>
  <mergeCells count="4">
    <mergeCell ref="H3:H6"/>
    <mergeCell ref="H8:H10"/>
    <mergeCell ref="E44:H46"/>
    <mergeCell ref="E47:H49"/>
  </mergeCells>
  <phoneticPr fontId="4" type="noConversion"/>
  <pageMargins left="0.75" right="0.68" top="0.65" bottom="0.57999999999999996" header="0.5" footer="0.45"/>
  <pageSetup scale="9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5A23-7A96-4A9F-9494-D9E92FCD0EBA}">
  <sheetPr>
    <tabColor theme="6" tint="0.79998168889431442"/>
  </sheetPr>
  <dimension ref="A1:D20"/>
  <sheetViews>
    <sheetView workbookViewId="0">
      <selection activeCell="D25" sqref="D25"/>
    </sheetView>
  </sheetViews>
  <sheetFormatPr defaultRowHeight="13.2" x14ac:dyDescent="0.25"/>
  <cols>
    <col min="1" max="1" width="14" customWidth="1"/>
    <col min="2" max="2" width="18.33203125" bestFit="1" customWidth="1"/>
    <col min="3" max="3" width="17.77734375" bestFit="1" customWidth="1"/>
    <col min="4" max="4" width="14" bestFit="1" customWidth="1"/>
  </cols>
  <sheetData>
    <row r="1" spans="1:4" x14ac:dyDescent="0.25">
      <c r="A1" s="32" t="s">
        <v>726</v>
      </c>
    </row>
    <row r="3" spans="1:4" x14ac:dyDescent="0.25">
      <c r="A3" s="5" t="s">
        <v>728</v>
      </c>
    </row>
    <row r="4" spans="1:4" x14ac:dyDescent="0.25">
      <c r="A4" s="130">
        <f>+'Rate Calculation'!A3</f>
        <v>0</v>
      </c>
      <c r="B4" s="123"/>
    </row>
    <row r="6" spans="1:4" x14ac:dyDescent="0.25">
      <c r="A6" s="5" t="s">
        <v>61</v>
      </c>
      <c r="B6" s="131">
        <f>+'Rate Calculation'!B6</f>
        <v>0</v>
      </c>
    </row>
    <row r="7" spans="1:4" x14ac:dyDescent="0.25">
      <c r="A7" s="5"/>
      <c r="C7" s="123"/>
    </row>
    <row r="8" spans="1:4" x14ac:dyDescent="0.25">
      <c r="B8" s="5" t="s">
        <v>706</v>
      </c>
      <c r="C8" s="5" t="s">
        <v>707</v>
      </c>
      <c r="D8" s="5" t="s">
        <v>708</v>
      </c>
    </row>
    <row r="9" spans="1:4" x14ac:dyDescent="0.25">
      <c r="A9" s="5" t="s">
        <v>705</v>
      </c>
      <c r="B9" s="48" t="e">
        <f>VLOOKUP($B$6,'2017 and newer renovations'!$B$4:$Y$411,2,FALSE)</f>
        <v>#N/A</v>
      </c>
      <c r="C9" s="124" t="e">
        <f>VLOOKUP($B$6,'2017 and newer renovations'!$B$4:$Y$411,3,FALSE)</f>
        <v>#N/A</v>
      </c>
      <c r="D9" s="48" t="e">
        <f>VLOOKUP($B$6,'2017 and newer renovations'!$B$4:$Y$411,4,FALSE)</f>
        <v>#N/A</v>
      </c>
    </row>
    <row r="10" spans="1:4" x14ac:dyDescent="0.25">
      <c r="A10" s="5" t="s">
        <v>709</v>
      </c>
      <c r="B10" s="48" t="e">
        <f>VLOOKUP($B$6,'2017 and newer renovations'!$B$4:$Y$411,6,FALSE)</f>
        <v>#N/A</v>
      </c>
      <c r="C10" s="124" t="e">
        <f>VLOOKUP($B$6,'2017 and newer renovations'!$B$4:$Y$411,7,FALSE)</f>
        <v>#N/A</v>
      </c>
      <c r="D10" s="48" t="e">
        <f>VLOOKUP($B$6,'2017 and newer renovations'!$B$4:$Y$411,8,FALSE)</f>
        <v>#N/A</v>
      </c>
    </row>
    <row r="11" spans="1:4" x14ac:dyDescent="0.25">
      <c r="A11" s="5" t="s">
        <v>710</v>
      </c>
      <c r="B11" s="48" t="e">
        <f>VLOOKUP($B$6,'2017 and newer renovations'!$B$4:$Y$411,10,FALSE)</f>
        <v>#N/A</v>
      </c>
      <c r="C11" s="124" t="e">
        <f>VLOOKUP($B$6,'2017 and newer renovations'!$B$4:$Y$411,11,FALSE)</f>
        <v>#N/A</v>
      </c>
      <c r="D11" s="48" t="e">
        <f>VLOOKUP($B$6,'2017 and newer renovations'!$B$4:$Y$411,12,FALSE)</f>
        <v>#N/A</v>
      </c>
    </row>
    <row r="12" spans="1:4" x14ac:dyDescent="0.25">
      <c r="A12" s="5" t="s">
        <v>711</v>
      </c>
      <c r="B12" s="48" t="e">
        <f>VLOOKUP($B$6,'2017 and newer renovations'!$B$4:$Y$411,14,FALSE)</f>
        <v>#N/A</v>
      </c>
      <c r="C12" s="124" t="e">
        <f>VLOOKUP($B$6,'2017 and newer renovations'!$B$4:$Y$411,15,FALSE)</f>
        <v>#N/A</v>
      </c>
      <c r="D12" s="48" t="e">
        <f>VLOOKUP($B$6,'2017 and newer renovations'!$B$4:$Y$411,16,FALSE)</f>
        <v>#N/A</v>
      </c>
    </row>
    <row r="13" spans="1:4" x14ac:dyDescent="0.25">
      <c r="A13" s="5" t="s">
        <v>712</v>
      </c>
      <c r="B13" s="48" t="e">
        <f>VLOOKUP($B$6,'2017 and newer renovations'!$B$4:$Y$411,18,FALSE)</f>
        <v>#N/A</v>
      </c>
      <c r="C13" s="124" t="e">
        <f>VLOOKUP($B$6,'2017 and newer renovations'!$B$4:$Y$411,19,FALSE)</f>
        <v>#N/A</v>
      </c>
      <c r="D13" s="48" t="e">
        <f>VLOOKUP($B$6,'2017 and newer renovations'!$B$4:$Y$411,20,FALSE)</f>
        <v>#N/A</v>
      </c>
    </row>
    <row r="14" spans="1:4" x14ac:dyDescent="0.25">
      <c r="A14" s="5" t="s">
        <v>713</v>
      </c>
      <c r="B14" s="48" t="e">
        <f>VLOOKUP($B$6,'2017 and newer renovations'!$B$4:$Y$411,22,FALSE)</f>
        <v>#N/A</v>
      </c>
      <c r="C14" s="124" t="e">
        <f>VLOOKUP($B$6,'2017 and newer renovations'!$B$4:$Y$411,23,FALSE)</f>
        <v>#N/A</v>
      </c>
      <c r="D14" s="48" t="e">
        <f>VLOOKUP($B$6,'2017 and newer renovations'!$B$4:$Y$411,24,FALSE)</f>
        <v>#N/A</v>
      </c>
    </row>
    <row r="17" spans="1:2" x14ac:dyDescent="0.25">
      <c r="A17" s="32" t="s">
        <v>714</v>
      </c>
    </row>
    <row r="18" spans="1:2" x14ac:dyDescent="0.25">
      <c r="B18" s="32" t="s">
        <v>715</v>
      </c>
    </row>
    <row r="19" spans="1:2" x14ac:dyDescent="0.25">
      <c r="B19" s="32" t="s">
        <v>716</v>
      </c>
    </row>
    <row r="20" spans="1:2" x14ac:dyDescent="0.25">
      <c r="B20" s="32" t="s">
        <v>717</v>
      </c>
    </row>
  </sheetData>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63299-6342-4D66-AB1B-2E46837B089F}">
  <dimension ref="A1:Y411"/>
  <sheetViews>
    <sheetView topLeftCell="B403" workbookViewId="0">
      <selection activeCell="A6" sqref="A6"/>
    </sheetView>
  </sheetViews>
  <sheetFormatPr defaultRowHeight="13.2" x14ac:dyDescent="0.25"/>
  <cols>
    <col min="1" max="1" width="54.5546875" style="93" bestFit="1" customWidth="1"/>
    <col min="2" max="2" width="11" style="93" bestFit="1" customWidth="1"/>
    <col min="3" max="3" width="16.33203125" style="122" bestFit="1" customWidth="1"/>
    <col min="4" max="4" width="5" style="122" bestFit="1" customWidth="1"/>
    <col min="5" max="5" width="9.77734375" style="122" bestFit="1" customWidth="1"/>
    <col min="6" max="6" width="2.33203125" style="122" bestFit="1" customWidth="1"/>
    <col min="7" max="7" width="5.21875" style="122" bestFit="1" customWidth="1"/>
    <col min="8" max="8" width="5" style="122" bestFit="1" customWidth="1"/>
    <col min="9" max="9" width="9.77734375" style="122" bestFit="1" customWidth="1"/>
    <col min="10" max="10" width="2.33203125" style="122" bestFit="1" customWidth="1"/>
    <col min="11" max="11" width="5.21875" style="122" bestFit="1" customWidth="1"/>
    <col min="12" max="12" width="5" style="122" bestFit="1" customWidth="1"/>
    <col min="13" max="13" width="9.77734375" style="122" bestFit="1" customWidth="1"/>
    <col min="14" max="14" width="2.33203125" style="122" bestFit="1" customWidth="1"/>
    <col min="15" max="15" width="5.21875" style="122" bestFit="1" customWidth="1"/>
    <col min="16" max="16" width="5" style="122" bestFit="1" customWidth="1"/>
    <col min="17" max="17" width="9.77734375" style="122" bestFit="1" customWidth="1"/>
    <col min="18" max="18" width="2.33203125" style="122" bestFit="1" customWidth="1"/>
    <col min="19" max="19" width="5.21875" style="122" bestFit="1" customWidth="1"/>
    <col min="20" max="20" width="5" style="122" bestFit="1" customWidth="1"/>
    <col min="21" max="21" width="8.21875" style="122" bestFit="1" customWidth="1"/>
    <col min="22" max="22" width="3" style="122" customWidth="1"/>
    <col min="23" max="23" width="9.77734375" style="122" bestFit="1" customWidth="1"/>
    <col min="24" max="24" width="5" style="122" bestFit="1" customWidth="1"/>
    <col min="25" max="25" width="9.77734375" style="122" bestFit="1" customWidth="1"/>
  </cols>
  <sheetData>
    <row r="1" spans="1:25" x14ac:dyDescent="0.25">
      <c r="C1" s="94" t="s">
        <v>548</v>
      </c>
      <c r="D1" s="94"/>
      <c r="E1" s="95"/>
      <c r="F1" s="96"/>
      <c r="G1" s="94" t="s">
        <v>549</v>
      </c>
      <c r="H1" s="94"/>
      <c r="I1" s="95"/>
      <c r="J1" s="96"/>
      <c r="K1" s="94" t="s">
        <v>550</v>
      </c>
      <c r="L1" s="94"/>
      <c r="M1" s="95"/>
      <c r="N1" s="96"/>
      <c r="O1" s="94" t="s">
        <v>551</v>
      </c>
      <c r="P1" s="94"/>
      <c r="Q1" s="95"/>
      <c r="R1" s="96"/>
      <c r="S1" s="94" t="s">
        <v>552</v>
      </c>
      <c r="T1" s="94"/>
      <c r="U1" s="95"/>
      <c r="V1" s="96"/>
      <c r="W1" s="94" t="s">
        <v>553</v>
      </c>
      <c r="X1" s="94"/>
      <c r="Y1" s="95"/>
    </row>
    <row r="2" spans="1:25" ht="39.6" x14ac:dyDescent="0.25">
      <c r="A2" s="97"/>
      <c r="B2" s="97"/>
      <c r="C2" s="98" t="s">
        <v>554</v>
      </c>
      <c r="D2" s="99"/>
      <c r="E2" s="100"/>
      <c r="F2" s="101"/>
      <c r="G2" s="98" t="s">
        <v>554</v>
      </c>
      <c r="H2" s="99"/>
      <c r="I2" s="100"/>
      <c r="J2" s="101"/>
      <c r="K2" s="98" t="s">
        <v>554</v>
      </c>
      <c r="L2" s="99"/>
      <c r="M2" s="100"/>
      <c r="N2" s="101"/>
      <c r="O2" s="98" t="s">
        <v>554</v>
      </c>
      <c r="P2" s="99"/>
      <c r="Q2" s="100"/>
      <c r="R2" s="101"/>
      <c r="S2" s="98" t="s">
        <v>554</v>
      </c>
      <c r="T2" s="99"/>
      <c r="U2" s="100"/>
      <c r="V2" s="101"/>
      <c r="W2" s="98" t="s">
        <v>554</v>
      </c>
      <c r="X2" s="99"/>
      <c r="Y2" s="100"/>
    </row>
    <row r="3" spans="1:25" ht="26.4" x14ac:dyDescent="0.25">
      <c r="A3" s="97" t="s">
        <v>555</v>
      </c>
      <c r="B3" s="97"/>
      <c r="C3" s="102" t="s">
        <v>16</v>
      </c>
      <c r="D3" s="99" t="s">
        <v>15</v>
      </c>
      <c r="E3" s="100" t="s">
        <v>124</v>
      </c>
      <c r="F3" s="101"/>
      <c r="G3" s="102" t="s">
        <v>16</v>
      </c>
      <c r="H3" s="99" t="s">
        <v>15</v>
      </c>
      <c r="I3" s="100" t="s">
        <v>124</v>
      </c>
      <c r="J3" s="101"/>
      <c r="K3" s="102" t="s">
        <v>16</v>
      </c>
      <c r="L3" s="99" t="s">
        <v>15</v>
      </c>
      <c r="M3" s="100" t="s">
        <v>124</v>
      </c>
      <c r="N3" s="101"/>
      <c r="O3" s="102" t="s">
        <v>16</v>
      </c>
      <c r="P3" s="99" t="s">
        <v>15</v>
      </c>
      <c r="Q3" s="100" t="s">
        <v>124</v>
      </c>
      <c r="R3" s="101"/>
      <c r="S3" s="102" t="s">
        <v>16</v>
      </c>
      <c r="T3" s="99" t="s">
        <v>15</v>
      </c>
      <c r="U3" s="100" t="s">
        <v>124</v>
      </c>
      <c r="V3" s="101"/>
      <c r="W3" s="102" t="s">
        <v>16</v>
      </c>
      <c r="X3" s="99" t="s">
        <v>15</v>
      </c>
      <c r="Y3" s="100" t="s">
        <v>124</v>
      </c>
    </row>
    <row r="4" spans="1:25" x14ac:dyDescent="0.25">
      <c r="A4" s="103" t="s">
        <v>556</v>
      </c>
      <c r="B4" s="103">
        <f>_xlfn.XLOOKUP(A4,'[2]FRV Output'!$B:$B,'[2]FRV Output'!$F:$F)</f>
        <v>1285687962</v>
      </c>
      <c r="C4" s="104"/>
      <c r="D4" s="104"/>
      <c r="E4" s="105"/>
      <c r="F4" s="106" t="s">
        <v>528</v>
      </c>
      <c r="G4" s="104"/>
      <c r="H4" s="104"/>
      <c r="I4" s="105"/>
      <c r="J4" s="106" t="s">
        <v>528</v>
      </c>
      <c r="K4" s="104"/>
      <c r="L4" s="104"/>
      <c r="M4" s="105"/>
      <c r="N4" s="106" t="s">
        <v>528</v>
      </c>
      <c r="O4" s="104"/>
      <c r="P4" s="104"/>
      <c r="Q4" s="105"/>
      <c r="R4" s="106" t="s">
        <v>528</v>
      </c>
      <c r="S4" s="104"/>
      <c r="T4" s="104"/>
      <c r="U4" s="105"/>
      <c r="V4" s="106" t="s">
        <v>528</v>
      </c>
      <c r="W4" s="104"/>
      <c r="X4" s="104"/>
      <c r="Y4" s="105"/>
    </row>
    <row r="5" spans="1:25" x14ac:dyDescent="0.25">
      <c r="A5" s="107" t="s">
        <v>136</v>
      </c>
      <c r="B5" s="103">
        <f>_xlfn.XLOOKUP(A5,'[2]FRV Output'!$B:$B,'[2]FRV Output'!$F:$F)</f>
        <v>1245227578</v>
      </c>
      <c r="C5" s="104">
        <v>2</v>
      </c>
      <c r="D5" s="104">
        <v>2017</v>
      </c>
      <c r="E5" s="105">
        <v>96</v>
      </c>
      <c r="F5" s="106" t="s">
        <v>528</v>
      </c>
      <c r="G5" s="104">
        <v>2</v>
      </c>
      <c r="H5" s="104">
        <v>2019</v>
      </c>
      <c r="I5" s="105">
        <v>78</v>
      </c>
      <c r="J5" s="106" t="s">
        <v>528</v>
      </c>
      <c r="K5" s="104">
        <v>3</v>
      </c>
      <c r="L5" s="104">
        <v>2019</v>
      </c>
      <c r="M5" s="105">
        <v>120547</v>
      </c>
      <c r="N5" s="106" t="s">
        <v>528</v>
      </c>
      <c r="O5" s="104">
        <v>3</v>
      </c>
      <c r="P5" s="104">
        <v>2021</v>
      </c>
      <c r="Q5" s="105">
        <v>300845</v>
      </c>
      <c r="R5" s="106" t="s">
        <v>528</v>
      </c>
      <c r="S5" s="104"/>
      <c r="T5" s="104"/>
      <c r="U5" s="105"/>
      <c r="V5" s="106" t="s">
        <v>528</v>
      </c>
      <c r="W5" s="104"/>
      <c r="X5" s="104"/>
      <c r="Y5" s="105"/>
    </row>
    <row r="6" spans="1:25" x14ac:dyDescent="0.25">
      <c r="A6" s="103" t="s">
        <v>137</v>
      </c>
      <c r="B6" s="103">
        <f>_xlfn.XLOOKUP(A6,'[2]FRV Output'!$B:$B,'[2]FRV Output'!$F:$F)</f>
        <v>1427608959</v>
      </c>
      <c r="C6" s="104">
        <v>3</v>
      </c>
      <c r="D6" s="104">
        <v>2020</v>
      </c>
      <c r="E6" s="105">
        <v>178898</v>
      </c>
      <c r="F6" s="106" t="s">
        <v>528</v>
      </c>
      <c r="G6" s="104">
        <v>3</v>
      </c>
      <c r="H6" s="104">
        <v>2021</v>
      </c>
      <c r="I6" s="105">
        <v>150104</v>
      </c>
      <c r="J6" s="106" t="s">
        <v>528</v>
      </c>
      <c r="K6" s="104"/>
      <c r="L6" s="104"/>
      <c r="M6" s="105"/>
      <c r="N6" s="106" t="s">
        <v>528</v>
      </c>
      <c r="O6" s="104"/>
      <c r="P6" s="104"/>
      <c r="Q6" s="105"/>
      <c r="R6" s="106" t="s">
        <v>528</v>
      </c>
      <c r="S6" s="104"/>
      <c r="T6" s="104"/>
      <c r="U6" s="105"/>
      <c r="V6" s="106" t="s">
        <v>528</v>
      </c>
      <c r="W6" s="104"/>
      <c r="X6" s="104"/>
      <c r="Y6" s="105"/>
    </row>
    <row r="7" spans="1:25" x14ac:dyDescent="0.25">
      <c r="A7" s="103" t="s">
        <v>557</v>
      </c>
      <c r="B7" s="103">
        <f>_xlfn.XLOOKUP(A7,'[2]FRV Output'!$B:$B,'[2]FRV Output'!$F:$F)</f>
        <v>1063919652</v>
      </c>
      <c r="C7" s="104">
        <v>3</v>
      </c>
      <c r="D7" s="104">
        <v>2016</v>
      </c>
      <c r="E7" s="105">
        <v>102564</v>
      </c>
      <c r="F7" s="106" t="s">
        <v>528</v>
      </c>
      <c r="G7" s="104">
        <v>3</v>
      </c>
      <c r="H7" s="104">
        <v>2017</v>
      </c>
      <c r="I7" s="105">
        <v>146951.57999999999</v>
      </c>
      <c r="J7" s="106" t="s">
        <v>528</v>
      </c>
      <c r="K7" s="104">
        <v>3</v>
      </c>
      <c r="L7" s="104">
        <v>2018</v>
      </c>
      <c r="M7" s="105">
        <v>90336</v>
      </c>
      <c r="N7" s="106" t="s">
        <v>528</v>
      </c>
      <c r="O7" s="104">
        <v>3</v>
      </c>
      <c r="P7" s="104">
        <v>2019</v>
      </c>
      <c r="Q7" s="105">
        <v>535380</v>
      </c>
      <c r="R7" s="106" t="s">
        <v>528</v>
      </c>
      <c r="S7" s="104">
        <v>3</v>
      </c>
      <c r="T7" s="104">
        <v>2020</v>
      </c>
      <c r="U7" s="105">
        <v>154670</v>
      </c>
      <c r="V7" s="106" t="s">
        <v>528</v>
      </c>
      <c r="W7" s="104">
        <v>3</v>
      </c>
      <c r="X7" s="104">
        <v>2021</v>
      </c>
      <c r="Y7" s="105">
        <v>681876</v>
      </c>
    </row>
    <row r="8" spans="1:25" x14ac:dyDescent="0.25">
      <c r="A8" s="107" t="s">
        <v>139</v>
      </c>
      <c r="B8" s="103">
        <f>_xlfn.XLOOKUP(A8,'[2]FRV Output'!$B:$B,'[2]FRV Output'!$F:$F)</f>
        <v>1518435650</v>
      </c>
      <c r="C8" s="104">
        <v>3</v>
      </c>
      <c r="D8" s="104">
        <v>2016</v>
      </c>
      <c r="E8" s="105">
        <v>78591</v>
      </c>
      <c r="F8" s="106" t="s">
        <v>528</v>
      </c>
      <c r="G8" s="104">
        <v>3</v>
      </c>
      <c r="H8" s="104">
        <v>2017</v>
      </c>
      <c r="I8" s="105">
        <v>104699.96</v>
      </c>
      <c r="J8" s="106" t="s">
        <v>528</v>
      </c>
      <c r="K8" s="104">
        <v>3</v>
      </c>
      <c r="L8" s="104">
        <v>2019</v>
      </c>
      <c r="M8" s="105">
        <v>172175</v>
      </c>
      <c r="N8" s="106" t="s">
        <v>528</v>
      </c>
      <c r="O8" s="104">
        <v>3</v>
      </c>
      <c r="P8" s="104">
        <v>2020</v>
      </c>
      <c r="Q8" s="105">
        <v>275202</v>
      </c>
      <c r="R8" s="106" t="s">
        <v>528</v>
      </c>
      <c r="S8" s="104">
        <v>3</v>
      </c>
      <c r="T8" s="104">
        <v>2021</v>
      </c>
      <c r="U8" s="105">
        <v>949895</v>
      </c>
      <c r="V8" s="106" t="s">
        <v>528</v>
      </c>
      <c r="W8" s="104"/>
      <c r="X8" s="104"/>
      <c r="Y8" s="105"/>
    </row>
    <row r="9" spans="1:25" x14ac:dyDescent="0.25">
      <c r="A9" s="107" t="s">
        <v>558</v>
      </c>
      <c r="B9" s="103">
        <f>_xlfn.XLOOKUP(A9,'[2]FRV Output'!$B:$B,'[2]FRV Output'!$F:$F)</f>
        <v>1669991865</v>
      </c>
      <c r="C9" s="104">
        <v>3</v>
      </c>
      <c r="D9" s="104">
        <v>2016</v>
      </c>
      <c r="E9" s="105">
        <v>153270</v>
      </c>
      <c r="F9" s="106" t="s">
        <v>528</v>
      </c>
      <c r="G9" s="104">
        <v>3</v>
      </c>
      <c r="H9" s="104">
        <v>2018</v>
      </c>
      <c r="I9" s="105">
        <v>138865</v>
      </c>
      <c r="J9" s="106" t="s">
        <v>528</v>
      </c>
      <c r="K9" s="104">
        <v>3</v>
      </c>
      <c r="L9" s="104">
        <v>2019</v>
      </c>
      <c r="M9" s="105">
        <v>105032</v>
      </c>
      <c r="N9" s="106" t="s">
        <v>528</v>
      </c>
      <c r="O9" s="104">
        <v>3</v>
      </c>
      <c r="P9" s="104">
        <v>2020</v>
      </c>
      <c r="Q9" s="105">
        <v>192756</v>
      </c>
      <c r="R9" s="106" t="s">
        <v>528</v>
      </c>
      <c r="S9" s="104">
        <v>3</v>
      </c>
      <c r="T9" s="104">
        <v>2021</v>
      </c>
      <c r="U9" s="105">
        <v>91148</v>
      </c>
      <c r="V9" s="106" t="s">
        <v>528</v>
      </c>
      <c r="W9" s="104"/>
      <c r="X9" s="104"/>
      <c r="Y9" s="105"/>
    </row>
    <row r="10" spans="1:25" x14ac:dyDescent="0.25">
      <c r="A10" s="103" t="s">
        <v>141</v>
      </c>
      <c r="B10" s="103">
        <f>_xlfn.XLOOKUP(A10,'[2]FRV Output'!$B:$B,'[2]FRV Output'!$F:$F)</f>
        <v>1871143305</v>
      </c>
      <c r="C10" s="104">
        <v>3</v>
      </c>
      <c r="D10" s="104">
        <v>2020</v>
      </c>
      <c r="E10" s="105">
        <v>176312</v>
      </c>
      <c r="F10" s="106" t="s">
        <v>528</v>
      </c>
      <c r="G10" s="104">
        <v>3</v>
      </c>
      <c r="H10" s="104">
        <v>2021</v>
      </c>
      <c r="I10" s="105">
        <v>405785</v>
      </c>
      <c r="J10" s="106" t="s">
        <v>528</v>
      </c>
      <c r="K10" s="104"/>
      <c r="L10" s="104"/>
      <c r="M10" s="105"/>
      <c r="N10" s="106" t="s">
        <v>528</v>
      </c>
      <c r="O10" s="104"/>
      <c r="P10" s="104"/>
      <c r="Q10" s="105"/>
      <c r="R10" s="106" t="s">
        <v>528</v>
      </c>
      <c r="S10" s="104"/>
      <c r="T10" s="104"/>
      <c r="U10" s="105"/>
      <c r="V10" s="106" t="s">
        <v>528</v>
      </c>
      <c r="W10" s="104"/>
      <c r="X10" s="104"/>
      <c r="Y10" s="105"/>
    </row>
    <row r="11" spans="1:25" x14ac:dyDescent="0.25">
      <c r="A11" s="107" t="s">
        <v>559</v>
      </c>
      <c r="B11" s="103">
        <f>_xlfn.XLOOKUP(A11,'[2]FRV Output'!$B:$B,'[2]FRV Output'!$F:$F)</f>
        <v>1992242119</v>
      </c>
      <c r="C11" s="104">
        <v>3</v>
      </c>
      <c r="D11" s="104">
        <v>2016</v>
      </c>
      <c r="E11" s="105">
        <v>693189</v>
      </c>
      <c r="F11" s="106" t="s">
        <v>528</v>
      </c>
      <c r="G11" s="104">
        <v>3</v>
      </c>
      <c r="H11" s="104">
        <v>2017</v>
      </c>
      <c r="I11" s="105">
        <v>753948</v>
      </c>
      <c r="J11" s="106" t="s">
        <v>528</v>
      </c>
      <c r="K11" s="104">
        <v>3</v>
      </c>
      <c r="L11" s="104">
        <v>2018</v>
      </c>
      <c r="M11" s="105">
        <v>158468</v>
      </c>
      <c r="N11" s="106" t="s">
        <v>528</v>
      </c>
      <c r="O11" s="104">
        <v>3</v>
      </c>
      <c r="P11" s="104">
        <v>2019</v>
      </c>
      <c r="Q11" s="105">
        <v>142226</v>
      </c>
      <c r="R11" s="106" t="s">
        <v>528</v>
      </c>
      <c r="S11" s="104">
        <v>3</v>
      </c>
      <c r="T11" s="104">
        <v>2020</v>
      </c>
      <c r="U11" s="105">
        <v>418967</v>
      </c>
      <c r="V11" s="106" t="s">
        <v>528</v>
      </c>
      <c r="W11" s="104">
        <v>3</v>
      </c>
      <c r="X11" s="104">
        <v>2021</v>
      </c>
      <c r="Y11" s="105">
        <v>1019331</v>
      </c>
    </row>
    <row r="12" spans="1:25" x14ac:dyDescent="0.25">
      <c r="A12" s="107" t="s">
        <v>560</v>
      </c>
      <c r="B12" s="103">
        <f>_xlfn.XLOOKUP(A12,'[2]FRV Output'!$B:$B,'[2]FRV Output'!$F:$F)</f>
        <v>1043703945</v>
      </c>
      <c r="C12" s="104">
        <v>3</v>
      </c>
      <c r="D12" s="104">
        <v>2016</v>
      </c>
      <c r="E12" s="105">
        <v>633652</v>
      </c>
      <c r="F12" s="106" t="s">
        <v>528</v>
      </c>
      <c r="G12" s="104">
        <v>3</v>
      </c>
      <c r="H12" s="104">
        <v>2018</v>
      </c>
      <c r="I12" s="105">
        <v>78972</v>
      </c>
      <c r="J12" s="106" t="s">
        <v>528</v>
      </c>
      <c r="K12" s="104">
        <v>3</v>
      </c>
      <c r="L12" s="104">
        <v>2019</v>
      </c>
      <c r="M12" s="105">
        <v>548406</v>
      </c>
      <c r="N12" s="106" t="s">
        <v>528</v>
      </c>
      <c r="O12" s="104">
        <v>3</v>
      </c>
      <c r="P12" s="104">
        <v>2020</v>
      </c>
      <c r="Q12" s="105">
        <v>584611</v>
      </c>
      <c r="R12" s="106" t="s">
        <v>528</v>
      </c>
      <c r="S12" s="104">
        <v>3</v>
      </c>
      <c r="T12" s="104">
        <v>2021</v>
      </c>
      <c r="U12" s="105">
        <v>566239</v>
      </c>
      <c r="V12" s="106" t="s">
        <v>528</v>
      </c>
      <c r="W12" s="104"/>
      <c r="X12" s="104"/>
      <c r="Y12" s="105"/>
    </row>
    <row r="13" spans="1:25" x14ac:dyDescent="0.25">
      <c r="A13" s="107" t="s">
        <v>144</v>
      </c>
      <c r="B13" s="103">
        <f>_xlfn.XLOOKUP(A13,'[2]FRV Output'!$B:$B,'[2]FRV Output'!$F:$F)</f>
        <v>1831649268</v>
      </c>
      <c r="C13" s="104">
        <v>3</v>
      </c>
      <c r="D13" s="104">
        <v>2017</v>
      </c>
      <c r="E13" s="105">
        <v>361829</v>
      </c>
      <c r="F13" s="106" t="s">
        <v>528</v>
      </c>
      <c r="G13" s="104">
        <v>3</v>
      </c>
      <c r="H13" s="104">
        <v>2018</v>
      </c>
      <c r="I13" s="105">
        <v>172880</v>
      </c>
      <c r="J13" s="106" t="s">
        <v>528</v>
      </c>
      <c r="K13" s="104">
        <v>3</v>
      </c>
      <c r="L13" s="104">
        <v>2019</v>
      </c>
      <c r="M13" s="105">
        <v>89920</v>
      </c>
      <c r="N13" s="106" t="s">
        <v>528</v>
      </c>
      <c r="O13" s="104">
        <v>3</v>
      </c>
      <c r="P13" s="104">
        <v>2020</v>
      </c>
      <c r="Q13" s="105">
        <v>234039</v>
      </c>
      <c r="R13" s="106" t="s">
        <v>528</v>
      </c>
      <c r="S13" s="104">
        <v>3</v>
      </c>
      <c r="T13" s="104">
        <v>2021</v>
      </c>
      <c r="U13" s="105">
        <v>109816</v>
      </c>
      <c r="V13" s="106" t="s">
        <v>528</v>
      </c>
      <c r="W13" s="104"/>
      <c r="X13" s="104"/>
      <c r="Y13" s="105"/>
    </row>
    <row r="14" spans="1:25" x14ac:dyDescent="0.25">
      <c r="A14" s="107" t="s">
        <v>145</v>
      </c>
      <c r="B14" s="103">
        <f>_xlfn.XLOOKUP(A14,'[2]FRV Output'!$B:$B,'[2]FRV Output'!$F:$F)</f>
        <v>1689147035</v>
      </c>
      <c r="C14" s="104">
        <v>3</v>
      </c>
      <c r="D14" s="104">
        <v>2017</v>
      </c>
      <c r="E14" s="105">
        <v>87224.7</v>
      </c>
      <c r="F14" s="106" t="s">
        <v>528</v>
      </c>
      <c r="G14" s="104">
        <v>3</v>
      </c>
      <c r="H14" s="104">
        <v>2019</v>
      </c>
      <c r="I14" s="105">
        <v>140606</v>
      </c>
      <c r="J14" s="106" t="s">
        <v>528</v>
      </c>
      <c r="K14" s="104">
        <v>3</v>
      </c>
      <c r="L14" s="104">
        <v>2020</v>
      </c>
      <c r="M14" s="105">
        <v>381647</v>
      </c>
      <c r="N14" s="106" t="s">
        <v>528</v>
      </c>
      <c r="O14" s="104"/>
      <c r="P14" s="104"/>
      <c r="Q14" s="105"/>
      <c r="R14" s="106" t="s">
        <v>528</v>
      </c>
      <c r="S14" s="104"/>
      <c r="T14" s="104"/>
      <c r="U14" s="105"/>
      <c r="V14" s="106" t="s">
        <v>528</v>
      </c>
      <c r="W14" s="104"/>
      <c r="X14" s="104"/>
      <c r="Y14" s="105"/>
    </row>
    <row r="15" spans="1:25" x14ac:dyDescent="0.25">
      <c r="A15" s="107" t="s">
        <v>146</v>
      </c>
      <c r="B15" s="103">
        <f>_xlfn.XLOOKUP(A15,'[2]FRV Output'!$B:$B,'[2]FRV Output'!$F:$F)</f>
        <v>1295391795</v>
      </c>
      <c r="C15" s="104">
        <v>3</v>
      </c>
      <c r="D15" s="104">
        <v>2019</v>
      </c>
      <c r="E15" s="105">
        <v>187909</v>
      </c>
      <c r="F15" s="106" t="s">
        <v>528</v>
      </c>
      <c r="G15" s="104">
        <v>3</v>
      </c>
      <c r="H15" s="104">
        <v>2020</v>
      </c>
      <c r="I15" s="105">
        <v>252674</v>
      </c>
      <c r="J15" s="106" t="s">
        <v>528</v>
      </c>
      <c r="K15" s="104">
        <v>3</v>
      </c>
      <c r="L15" s="104">
        <v>2021</v>
      </c>
      <c r="M15" s="105">
        <v>1057941</v>
      </c>
      <c r="N15" s="106" t="s">
        <v>528</v>
      </c>
      <c r="O15" s="104"/>
      <c r="P15" s="104"/>
      <c r="Q15" s="105"/>
      <c r="R15" s="106" t="s">
        <v>528</v>
      </c>
      <c r="S15" s="104"/>
      <c r="T15" s="104"/>
      <c r="U15" s="105"/>
      <c r="V15" s="106" t="s">
        <v>528</v>
      </c>
      <c r="W15" s="104"/>
      <c r="X15" s="104"/>
      <c r="Y15" s="105"/>
    </row>
    <row r="16" spans="1:25" x14ac:dyDescent="0.25">
      <c r="A16" s="107" t="s">
        <v>561</v>
      </c>
      <c r="B16" s="103">
        <f>_xlfn.XLOOKUP(A16,'[2]FRV Output'!$B:$B,'[2]FRV Output'!$F:$F)</f>
        <v>1598262198</v>
      </c>
      <c r="C16" s="104">
        <v>3</v>
      </c>
      <c r="D16" s="104">
        <v>2017</v>
      </c>
      <c r="E16" s="105">
        <v>77358.929999999993</v>
      </c>
      <c r="F16" s="106" t="s">
        <v>528</v>
      </c>
      <c r="G16" s="104">
        <v>3</v>
      </c>
      <c r="H16" s="104">
        <v>2018</v>
      </c>
      <c r="I16" s="105">
        <v>101071</v>
      </c>
      <c r="J16" s="106" t="s">
        <v>528</v>
      </c>
      <c r="K16" s="104">
        <v>3</v>
      </c>
      <c r="L16" s="104">
        <v>2019</v>
      </c>
      <c r="M16" s="105">
        <v>352500</v>
      </c>
      <c r="N16" s="106" t="s">
        <v>528</v>
      </c>
      <c r="O16" s="104">
        <v>3</v>
      </c>
      <c r="P16" s="104">
        <v>2020</v>
      </c>
      <c r="Q16" s="105">
        <v>257580</v>
      </c>
      <c r="R16" s="106" t="s">
        <v>528</v>
      </c>
      <c r="S16" s="104">
        <v>3</v>
      </c>
      <c r="T16" s="104">
        <v>2021</v>
      </c>
      <c r="U16" s="105">
        <v>66573</v>
      </c>
      <c r="V16" s="106" t="s">
        <v>528</v>
      </c>
      <c r="W16" s="104"/>
      <c r="X16" s="104"/>
      <c r="Y16" s="105"/>
    </row>
    <row r="17" spans="1:25" x14ac:dyDescent="0.25">
      <c r="A17" s="107" t="s">
        <v>148</v>
      </c>
      <c r="B17" s="103">
        <f>_xlfn.XLOOKUP(A17,'[2]FRV Output'!$B:$B,'[2]FRV Output'!$F:$F)</f>
        <v>1437627593</v>
      </c>
      <c r="C17" s="104">
        <v>3</v>
      </c>
      <c r="D17" s="104">
        <v>2016</v>
      </c>
      <c r="E17" s="105">
        <v>93526</v>
      </c>
      <c r="F17" s="106" t="s">
        <v>528</v>
      </c>
      <c r="G17" s="104">
        <v>3</v>
      </c>
      <c r="H17" s="104">
        <v>2019</v>
      </c>
      <c r="I17" s="105">
        <v>154581</v>
      </c>
      <c r="J17" s="106" t="s">
        <v>528</v>
      </c>
      <c r="K17" s="104">
        <v>3</v>
      </c>
      <c r="L17" s="104">
        <v>2020</v>
      </c>
      <c r="M17" s="105">
        <v>461468</v>
      </c>
      <c r="N17" s="106" t="s">
        <v>528</v>
      </c>
      <c r="O17" s="104">
        <v>3</v>
      </c>
      <c r="P17" s="104">
        <v>2021</v>
      </c>
      <c r="Q17" s="105">
        <v>161121</v>
      </c>
      <c r="R17" s="106" t="s">
        <v>528</v>
      </c>
      <c r="S17" s="104"/>
      <c r="T17" s="104"/>
      <c r="U17" s="105"/>
      <c r="V17" s="106" t="s">
        <v>528</v>
      </c>
      <c r="W17" s="104"/>
      <c r="X17" s="104"/>
      <c r="Y17" s="105"/>
    </row>
    <row r="18" spans="1:25" x14ac:dyDescent="0.25">
      <c r="A18" s="107" t="s">
        <v>149</v>
      </c>
      <c r="B18" s="103">
        <f>_xlfn.XLOOKUP(A18,'[2]FRV Output'!$B:$B,'[2]FRV Output'!$F:$F)</f>
        <v>1598233645</v>
      </c>
      <c r="C18" s="104">
        <v>3</v>
      </c>
      <c r="D18" s="104">
        <v>2016</v>
      </c>
      <c r="E18" s="105">
        <v>75833</v>
      </c>
      <c r="F18" s="106" t="s">
        <v>528</v>
      </c>
      <c r="G18" s="104">
        <v>3</v>
      </c>
      <c r="H18" s="104">
        <v>2017</v>
      </c>
      <c r="I18" s="105">
        <v>41699.5</v>
      </c>
      <c r="J18" s="106" t="s">
        <v>528</v>
      </c>
      <c r="K18" s="104">
        <v>3</v>
      </c>
      <c r="L18" s="104">
        <v>2019</v>
      </c>
      <c r="M18" s="105">
        <v>141317</v>
      </c>
      <c r="N18" s="106" t="s">
        <v>528</v>
      </c>
      <c r="O18" s="104">
        <v>3</v>
      </c>
      <c r="P18" s="104">
        <v>2020</v>
      </c>
      <c r="Q18" s="105">
        <v>429326</v>
      </c>
      <c r="R18" s="106" t="s">
        <v>528</v>
      </c>
      <c r="S18" s="104">
        <v>3</v>
      </c>
      <c r="T18" s="104">
        <v>2021</v>
      </c>
      <c r="U18" s="105">
        <v>73943</v>
      </c>
      <c r="V18" s="106" t="s">
        <v>528</v>
      </c>
      <c r="W18" s="104"/>
      <c r="X18" s="104"/>
      <c r="Y18" s="105"/>
    </row>
    <row r="19" spans="1:25" x14ac:dyDescent="0.25">
      <c r="A19" s="107" t="s">
        <v>150</v>
      </c>
      <c r="B19" s="103">
        <f>_xlfn.XLOOKUP(A19,'[2]FRV Output'!$B:$B,'[2]FRV Output'!$F:$F)</f>
        <v>1659849701</v>
      </c>
      <c r="C19" s="104">
        <v>3</v>
      </c>
      <c r="D19" s="104">
        <v>2016</v>
      </c>
      <c r="E19" s="105">
        <v>71266</v>
      </c>
      <c r="F19" s="106" t="s">
        <v>528</v>
      </c>
      <c r="G19" s="104">
        <v>3</v>
      </c>
      <c r="H19" s="104">
        <v>2017</v>
      </c>
      <c r="I19" s="105">
        <v>104838.39</v>
      </c>
      <c r="J19" s="106" t="s">
        <v>528</v>
      </c>
      <c r="K19" s="104">
        <v>3</v>
      </c>
      <c r="L19" s="104">
        <v>2019</v>
      </c>
      <c r="M19" s="105">
        <v>162370</v>
      </c>
      <c r="N19" s="106" t="s">
        <v>528</v>
      </c>
      <c r="O19" s="104">
        <v>3</v>
      </c>
      <c r="P19" s="104">
        <v>2020</v>
      </c>
      <c r="Q19" s="105">
        <v>466161</v>
      </c>
      <c r="R19" s="106" t="s">
        <v>528</v>
      </c>
      <c r="S19" s="104">
        <v>3</v>
      </c>
      <c r="T19" s="104">
        <v>2021</v>
      </c>
      <c r="U19" s="105">
        <v>543486</v>
      </c>
      <c r="V19" s="106" t="s">
        <v>528</v>
      </c>
      <c r="W19" s="104"/>
      <c r="X19" s="104"/>
      <c r="Y19" s="105"/>
    </row>
    <row r="20" spans="1:25" x14ac:dyDescent="0.25">
      <c r="A20" s="107" t="s">
        <v>151</v>
      </c>
      <c r="B20" s="103">
        <f>_xlfn.XLOOKUP(A20,'[2]FRV Output'!$B:$B,'[2]FRV Output'!$F:$F)</f>
        <v>1770149270</v>
      </c>
      <c r="C20" s="104">
        <v>3</v>
      </c>
      <c r="D20" s="104">
        <v>2019</v>
      </c>
      <c r="E20" s="105">
        <v>134210</v>
      </c>
      <c r="F20" s="106" t="s">
        <v>528</v>
      </c>
      <c r="G20" s="104">
        <v>3</v>
      </c>
      <c r="H20" s="104">
        <v>2020</v>
      </c>
      <c r="I20" s="105">
        <v>126779</v>
      </c>
      <c r="J20" s="106" t="s">
        <v>528</v>
      </c>
      <c r="K20" s="104">
        <v>3</v>
      </c>
      <c r="L20" s="104">
        <v>2021</v>
      </c>
      <c r="M20" s="105">
        <v>455216</v>
      </c>
      <c r="N20" s="106" t="s">
        <v>528</v>
      </c>
      <c r="O20" s="104"/>
      <c r="P20" s="104"/>
      <c r="Q20" s="105"/>
      <c r="R20" s="106" t="s">
        <v>528</v>
      </c>
      <c r="S20" s="104"/>
      <c r="T20" s="104"/>
      <c r="U20" s="105"/>
      <c r="V20" s="106" t="s">
        <v>528</v>
      </c>
      <c r="W20" s="104"/>
      <c r="X20" s="104"/>
      <c r="Y20" s="105"/>
    </row>
    <row r="21" spans="1:25" x14ac:dyDescent="0.25">
      <c r="A21" s="107" t="s">
        <v>152</v>
      </c>
      <c r="B21" s="103">
        <f>_xlfn.XLOOKUP(A21,'[2]FRV Output'!$B:$B,'[2]FRV Output'!$F:$F)</f>
        <v>1699310839</v>
      </c>
      <c r="C21" s="104">
        <v>3</v>
      </c>
      <c r="D21" s="104">
        <v>2016</v>
      </c>
      <c r="E21" s="105">
        <v>50007</v>
      </c>
      <c r="F21" s="106" t="s">
        <v>528</v>
      </c>
      <c r="G21" s="104">
        <v>3</v>
      </c>
      <c r="H21" s="104">
        <v>2017</v>
      </c>
      <c r="I21" s="105">
        <v>95997</v>
      </c>
      <c r="J21" s="106" t="s">
        <v>528</v>
      </c>
      <c r="K21" s="104">
        <v>3</v>
      </c>
      <c r="L21" s="104">
        <v>2018</v>
      </c>
      <c r="M21" s="105">
        <v>51312</v>
      </c>
      <c r="N21" s="106" t="s">
        <v>528</v>
      </c>
      <c r="O21" s="104">
        <v>3</v>
      </c>
      <c r="P21" s="104">
        <v>2019</v>
      </c>
      <c r="Q21" s="105">
        <v>43134</v>
      </c>
      <c r="R21" s="106" t="s">
        <v>528</v>
      </c>
      <c r="S21" s="104">
        <v>3</v>
      </c>
      <c r="T21" s="104">
        <v>2020</v>
      </c>
      <c r="U21" s="105">
        <v>108761</v>
      </c>
      <c r="V21" s="106" t="s">
        <v>528</v>
      </c>
      <c r="W21" s="104"/>
      <c r="X21" s="104"/>
      <c r="Y21" s="105"/>
    </row>
    <row r="22" spans="1:25" x14ac:dyDescent="0.25">
      <c r="A22" s="107" t="s">
        <v>562</v>
      </c>
      <c r="B22" s="103">
        <f>_xlfn.XLOOKUP(A22,'[2]FRV Output'!$B:$B,'[2]FRV Output'!$F:$F)</f>
        <v>1932606530</v>
      </c>
      <c r="C22" s="104">
        <v>3</v>
      </c>
      <c r="D22" s="104">
        <v>2016</v>
      </c>
      <c r="E22" s="105">
        <v>153165</v>
      </c>
      <c r="F22" s="106" t="s">
        <v>528</v>
      </c>
      <c r="G22" s="104">
        <v>3</v>
      </c>
      <c r="H22" s="104">
        <v>2017</v>
      </c>
      <c r="I22" s="105">
        <v>120286.43</v>
      </c>
      <c r="J22" s="106" t="s">
        <v>528</v>
      </c>
      <c r="K22" s="104">
        <v>3</v>
      </c>
      <c r="L22" s="104">
        <v>2018</v>
      </c>
      <c r="M22" s="105">
        <v>132573</v>
      </c>
      <c r="N22" s="106" t="s">
        <v>528</v>
      </c>
      <c r="O22" s="104">
        <v>3</v>
      </c>
      <c r="P22" s="104">
        <v>2019</v>
      </c>
      <c r="Q22" s="105">
        <v>611219</v>
      </c>
      <c r="R22" s="106" t="s">
        <v>528</v>
      </c>
      <c r="S22" s="104">
        <v>3</v>
      </c>
      <c r="T22" s="104">
        <v>2020</v>
      </c>
      <c r="U22" s="105">
        <v>501168</v>
      </c>
      <c r="V22" s="106" t="s">
        <v>528</v>
      </c>
      <c r="W22" s="104">
        <v>3</v>
      </c>
      <c r="X22" s="104">
        <v>2021</v>
      </c>
      <c r="Y22" s="105">
        <v>64676</v>
      </c>
    </row>
    <row r="23" spans="1:25" x14ac:dyDescent="0.25">
      <c r="A23" s="107" t="s">
        <v>563</v>
      </c>
      <c r="B23" s="103">
        <f>_xlfn.XLOOKUP(A23,'[2]FRV Output'!$B:$B,'[2]FRV Output'!$F:$F)</f>
        <v>1528505757</v>
      </c>
      <c r="C23" s="108">
        <v>3</v>
      </c>
      <c r="D23" s="108">
        <v>2018</v>
      </c>
      <c r="E23" s="109">
        <v>81507</v>
      </c>
      <c r="F23" s="110" t="s">
        <v>528</v>
      </c>
      <c r="G23" s="108">
        <v>3</v>
      </c>
      <c r="H23" s="108">
        <v>2019</v>
      </c>
      <c r="I23" s="109">
        <v>55410</v>
      </c>
      <c r="J23" s="106" t="s">
        <v>528</v>
      </c>
      <c r="K23" s="108">
        <v>3</v>
      </c>
      <c r="L23" s="108">
        <v>2020</v>
      </c>
      <c r="M23" s="109">
        <v>63984</v>
      </c>
      <c r="N23" s="106" t="s">
        <v>528</v>
      </c>
      <c r="O23" s="108">
        <v>3</v>
      </c>
      <c r="P23" s="108">
        <v>2021</v>
      </c>
      <c r="Q23" s="109">
        <v>37479</v>
      </c>
      <c r="R23" s="106" t="s">
        <v>528</v>
      </c>
      <c r="S23" s="111"/>
      <c r="T23" s="111"/>
      <c r="U23" s="112"/>
      <c r="V23" s="106" t="s">
        <v>528</v>
      </c>
      <c r="W23" s="111"/>
      <c r="X23" s="111"/>
      <c r="Y23" s="112"/>
    </row>
    <row r="24" spans="1:25" x14ac:dyDescent="0.25">
      <c r="A24" s="107" t="s">
        <v>155</v>
      </c>
      <c r="B24" s="103">
        <f>_xlfn.XLOOKUP(A24,'[2]FRV Output'!$B:$B,'[2]FRV Output'!$F:$F)</f>
        <v>1972071033</v>
      </c>
      <c r="C24" s="104">
        <v>3</v>
      </c>
      <c r="D24" s="104">
        <v>2016</v>
      </c>
      <c r="E24" s="105">
        <v>88007</v>
      </c>
      <c r="F24" s="106" t="s">
        <v>528</v>
      </c>
      <c r="G24" s="104">
        <v>3</v>
      </c>
      <c r="H24" s="104">
        <v>2019</v>
      </c>
      <c r="I24" s="105">
        <v>136181</v>
      </c>
      <c r="J24" s="106" t="s">
        <v>528</v>
      </c>
      <c r="K24" s="104">
        <v>3</v>
      </c>
      <c r="L24" s="104">
        <v>2020</v>
      </c>
      <c r="M24" s="105">
        <v>458634</v>
      </c>
      <c r="N24" s="106" t="s">
        <v>528</v>
      </c>
      <c r="O24" s="104">
        <v>3</v>
      </c>
      <c r="P24" s="104">
        <v>2021</v>
      </c>
      <c r="Q24" s="105">
        <v>645975</v>
      </c>
      <c r="R24" s="106" t="s">
        <v>528</v>
      </c>
      <c r="S24" s="104"/>
      <c r="T24" s="104"/>
      <c r="U24" s="105"/>
      <c r="V24" s="106" t="s">
        <v>528</v>
      </c>
      <c r="W24" s="104"/>
      <c r="X24" s="104"/>
      <c r="Y24" s="105"/>
    </row>
    <row r="25" spans="1:25" x14ac:dyDescent="0.25">
      <c r="A25" s="103" t="s">
        <v>156</v>
      </c>
      <c r="B25" s="103">
        <f>_xlfn.XLOOKUP(A25,'[2]FRV Output'!$B:$B,'[2]FRV Output'!$F:$F)</f>
        <v>1841840378</v>
      </c>
      <c r="C25" s="104">
        <v>3</v>
      </c>
      <c r="D25" s="104">
        <v>2020</v>
      </c>
      <c r="E25" s="105">
        <v>133403</v>
      </c>
      <c r="F25" s="106" t="s">
        <v>528</v>
      </c>
      <c r="G25" s="104">
        <v>3</v>
      </c>
      <c r="H25" s="104">
        <v>2021</v>
      </c>
      <c r="I25" s="105">
        <v>745472</v>
      </c>
      <c r="J25" s="106" t="s">
        <v>528</v>
      </c>
      <c r="K25" s="104"/>
      <c r="L25" s="104"/>
      <c r="M25" s="105"/>
      <c r="N25" s="106" t="s">
        <v>528</v>
      </c>
      <c r="O25" s="104"/>
      <c r="P25" s="104"/>
      <c r="Q25" s="105"/>
      <c r="R25" s="106" t="s">
        <v>528</v>
      </c>
      <c r="S25" s="104"/>
      <c r="T25" s="104"/>
      <c r="U25" s="105"/>
      <c r="V25" s="106" t="s">
        <v>528</v>
      </c>
      <c r="W25" s="104"/>
      <c r="X25" s="104"/>
      <c r="Y25" s="105"/>
    </row>
    <row r="26" spans="1:25" x14ac:dyDescent="0.25">
      <c r="A26" s="107" t="s">
        <v>564</v>
      </c>
      <c r="B26" s="103">
        <f>_xlfn.XLOOKUP(A26,'[2]FRV Output'!$B:$B,'[2]FRV Output'!$F:$F)</f>
        <v>1245737840</v>
      </c>
      <c r="C26" s="104">
        <v>3</v>
      </c>
      <c r="D26" s="104">
        <v>2016</v>
      </c>
      <c r="E26" s="105">
        <v>89128</v>
      </c>
      <c r="F26" s="106" t="s">
        <v>528</v>
      </c>
      <c r="G26" s="104">
        <v>3</v>
      </c>
      <c r="H26" s="104">
        <v>2017</v>
      </c>
      <c r="I26" s="105">
        <v>85457.51</v>
      </c>
      <c r="J26" s="106" t="s">
        <v>528</v>
      </c>
      <c r="K26" s="104">
        <v>3</v>
      </c>
      <c r="L26" s="104">
        <v>2018</v>
      </c>
      <c r="M26" s="105">
        <v>136125</v>
      </c>
      <c r="N26" s="106" t="s">
        <v>528</v>
      </c>
      <c r="O26" s="104">
        <v>3</v>
      </c>
      <c r="P26" s="104">
        <v>2019</v>
      </c>
      <c r="Q26" s="105">
        <v>809057</v>
      </c>
      <c r="R26" s="106" t="s">
        <v>528</v>
      </c>
      <c r="S26" s="104">
        <v>3</v>
      </c>
      <c r="T26" s="104">
        <v>2020</v>
      </c>
      <c r="U26" s="105">
        <v>399690</v>
      </c>
      <c r="V26" s="106" t="s">
        <v>528</v>
      </c>
      <c r="W26" s="104">
        <v>3</v>
      </c>
      <c r="X26" s="104">
        <v>2021</v>
      </c>
      <c r="Y26" s="105">
        <v>3026487</v>
      </c>
    </row>
    <row r="27" spans="1:25" x14ac:dyDescent="0.25">
      <c r="A27" s="103" t="s">
        <v>158</v>
      </c>
      <c r="B27" s="103">
        <f>_xlfn.XLOOKUP(A27,'[2]FRV Output'!$B:$B,'[2]FRV Output'!$F:$F)</f>
        <v>1760032296</v>
      </c>
      <c r="C27" s="104">
        <v>3</v>
      </c>
      <c r="D27" s="104">
        <v>2020</v>
      </c>
      <c r="E27" s="105">
        <v>145462</v>
      </c>
      <c r="F27" s="106" t="s">
        <v>528</v>
      </c>
      <c r="G27" s="104">
        <v>3</v>
      </c>
      <c r="H27" s="104">
        <v>2021</v>
      </c>
      <c r="I27" s="105">
        <v>73207</v>
      </c>
      <c r="J27" s="106" t="s">
        <v>528</v>
      </c>
      <c r="K27" s="104"/>
      <c r="L27" s="104"/>
      <c r="M27" s="105"/>
      <c r="N27" s="106" t="s">
        <v>528</v>
      </c>
      <c r="O27" s="104"/>
      <c r="P27" s="104"/>
      <c r="Q27" s="105"/>
      <c r="R27" s="106" t="s">
        <v>528</v>
      </c>
      <c r="S27" s="104"/>
      <c r="T27" s="104"/>
      <c r="U27" s="105"/>
      <c r="V27" s="106" t="s">
        <v>528</v>
      </c>
      <c r="W27" s="104"/>
      <c r="X27" s="104"/>
      <c r="Y27" s="105"/>
    </row>
    <row r="28" spans="1:25" x14ac:dyDescent="0.25">
      <c r="A28" s="107" t="s">
        <v>565</v>
      </c>
      <c r="B28" s="103">
        <f>_xlfn.XLOOKUP(A28,'[2]FRV Output'!$B:$B,'[2]FRV Output'!$F:$F)</f>
        <v>1205357878</v>
      </c>
      <c r="C28" s="104">
        <v>3</v>
      </c>
      <c r="D28" s="104">
        <v>2016</v>
      </c>
      <c r="E28" s="105">
        <v>62373</v>
      </c>
      <c r="F28" s="106" t="s">
        <v>528</v>
      </c>
      <c r="G28" s="104">
        <v>3</v>
      </c>
      <c r="H28" s="104">
        <v>2017</v>
      </c>
      <c r="I28" s="105">
        <v>47940.05</v>
      </c>
      <c r="J28" s="106" t="s">
        <v>528</v>
      </c>
      <c r="K28" s="104">
        <v>3</v>
      </c>
      <c r="L28" s="104">
        <v>2018</v>
      </c>
      <c r="M28" s="105">
        <v>57359</v>
      </c>
      <c r="N28" s="106" t="s">
        <v>528</v>
      </c>
      <c r="O28" s="104">
        <v>3</v>
      </c>
      <c r="P28" s="104">
        <v>2019</v>
      </c>
      <c r="Q28" s="105">
        <v>374060</v>
      </c>
      <c r="R28" s="106" t="s">
        <v>528</v>
      </c>
      <c r="S28" s="104">
        <v>3</v>
      </c>
      <c r="T28" s="104">
        <v>2020</v>
      </c>
      <c r="U28" s="105">
        <v>405365</v>
      </c>
      <c r="V28" s="106" t="s">
        <v>528</v>
      </c>
      <c r="W28" s="104">
        <v>3</v>
      </c>
      <c r="X28" s="104">
        <v>2021</v>
      </c>
      <c r="Y28" s="105">
        <v>754596</v>
      </c>
    </row>
    <row r="29" spans="1:25" x14ac:dyDescent="0.25">
      <c r="A29" s="103" t="s">
        <v>566</v>
      </c>
      <c r="B29" s="103">
        <f>_xlfn.XLOOKUP(A29,'[2]FRV Output'!$B:$B,'[2]FRV Output'!$F:$F)</f>
        <v>1578059085</v>
      </c>
      <c r="C29" s="104">
        <v>3</v>
      </c>
      <c r="D29" s="104">
        <v>2018</v>
      </c>
      <c r="E29" s="105">
        <v>70312</v>
      </c>
      <c r="F29" s="106" t="s">
        <v>528</v>
      </c>
      <c r="G29" s="104">
        <v>3</v>
      </c>
      <c r="H29" s="104">
        <v>2019</v>
      </c>
      <c r="I29" s="105">
        <v>148548</v>
      </c>
      <c r="J29" s="106" t="s">
        <v>528</v>
      </c>
      <c r="K29" s="104">
        <v>3</v>
      </c>
      <c r="L29" s="104">
        <v>2020</v>
      </c>
      <c r="M29" s="105">
        <v>157863</v>
      </c>
      <c r="N29" s="106" t="s">
        <v>528</v>
      </c>
      <c r="O29" s="104">
        <v>3</v>
      </c>
      <c r="P29" s="104">
        <v>2021</v>
      </c>
      <c r="Q29" s="105">
        <v>49706</v>
      </c>
      <c r="R29" s="106" t="s">
        <v>528</v>
      </c>
      <c r="S29" s="104"/>
      <c r="T29" s="104"/>
      <c r="U29" s="105"/>
      <c r="V29" s="106" t="s">
        <v>528</v>
      </c>
      <c r="W29" s="104"/>
      <c r="X29" s="104"/>
      <c r="Y29" s="105"/>
    </row>
    <row r="30" spans="1:25" x14ac:dyDescent="0.25">
      <c r="A30" s="107" t="s">
        <v>567</v>
      </c>
      <c r="B30" s="103">
        <f>_xlfn.XLOOKUP(A30,'[2]FRV Output'!$B:$B,'[2]FRV Output'!$F:$F)</f>
        <v>1366552739</v>
      </c>
      <c r="C30" s="104">
        <v>3</v>
      </c>
      <c r="D30" s="104">
        <v>2021</v>
      </c>
      <c r="E30" s="105">
        <v>77785</v>
      </c>
      <c r="F30" s="106" t="s">
        <v>528</v>
      </c>
      <c r="G30" s="104"/>
      <c r="H30" s="104"/>
      <c r="I30" s="105"/>
      <c r="J30" s="106" t="s">
        <v>528</v>
      </c>
      <c r="K30" s="104"/>
      <c r="L30" s="104"/>
      <c r="M30" s="105"/>
      <c r="N30" s="106" t="s">
        <v>528</v>
      </c>
      <c r="O30" s="104"/>
      <c r="P30" s="104"/>
      <c r="Q30" s="105"/>
      <c r="R30" s="106" t="s">
        <v>528</v>
      </c>
      <c r="S30" s="104"/>
      <c r="T30" s="104"/>
      <c r="U30" s="105"/>
      <c r="V30" s="106" t="s">
        <v>528</v>
      </c>
      <c r="W30" s="104"/>
      <c r="X30" s="104"/>
      <c r="Y30" s="105"/>
    </row>
    <row r="31" spans="1:25" x14ac:dyDescent="0.25">
      <c r="A31" s="107" t="s">
        <v>162</v>
      </c>
      <c r="B31" s="103">
        <f>_xlfn.XLOOKUP(A31,'[2]FRV Output'!$B:$B,'[2]FRV Output'!$F:$F)</f>
        <v>1114501442</v>
      </c>
      <c r="C31" s="104">
        <v>3</v>
      </c>
      <c r="D31" s="104">
        <v>2017</v>
      </c>
      <c r="E31" s="105">
        <v>712842</v>
      </c>
      <c r="F31" s="106" t="s">
        <v>528</v>
      </c>
      <c r="G31" s="104">
        <v>3</v>
      </c>
      <c r="H31" s="104">
        <v>2018</v>
      </c>
      <c r="I31" s="105">
        <v>104599</v>
      </c>
      <c r="J31" s="106" t="s">
        <v>528</v>
      </c>
      <c r="K31" s="104">
        <v>3</v>
      </c>
      <c r="L31" s="104">
        <v>2019</v>
      </c>
      <c r="M31" s="105">
        <v>188123</v>
      </c>
      <c r="N31" s="106" t="s">
        <v>528</v>
      </c>
      <c r="O31" s="104">
        <v>3</v>
      </c>
      <c r="P31" s="104">
        <v>2020</v>
      </c>
      <c r="Q31" s="105">
        <v>127397</v>
      </c>
      <c r="R31" s="106" t="s">
        <v>528</v>
      </c>
      <c r="S31" s="104"/>
      <c r="T31" s="104"/>
      <c r="U31" s="105"/>
      <c r="V31" s="106" t="s">
        <v>528</v>
      </c>
      <c r="W31" s="104"/>
      <c r="X31" s="104"/>
      <c r="Y31" s="105"/>
    </row>
    <row r="32" spans="1:25" x14ac:dyDescent="0.25">
      <c r="A32" s="103" t="s">
        <v>163</v>
      </c>
      <c r="B32" s="103">
        <f>_xlfn.XLOOKUP(A32,'[2]FRV Output'!$B:$B,'[2]FRV Output'!$F:$F)</f>
        <v>1245337880</v>
      </c>
      <c r="C32" s="104">
        <v>3</v>
      </c>
      <c r="D32" s="104">
        <v>2016</v>
      </c>
      <c r="E32" s="105">
        <v>35414</v>
      </c>
      <c r="F32" s="106" t="s">
        <v>528</v>
      </c>
      <c r="G32" s="104">
        <v>3</v>
      </c>
      <c r="H32" s="104">
        <v>2017</v>
      </c>
      <c r="I32" s="105">
        <v>37342</v>
      </c>
      <c r="J32" s="106" t="s">
        <v>528</v>
      </c>
      <c r="K32" s="104">
        <v>3</v>
      </c>
      <c r="L32" s="104">
        <v>2018</v>
      </c>
      <c r="M32" s="105">
        <v>95628</v>
      </c>
      <c r="N32" s="106" t="s">
        <v>528</v>
      </c>
      <c r="O32" s="104"/>
      <c r="P32" s="104"/>
      <c r="Q32" s="105"/>
      <c r="R32" s="106" t="s">
        <v>528</v>
      </c>
      <c r="S32" s="104"/>
      <c r="T32" s="104"/>
      <c r="U32" s="105"/>
      <c r="V32" s="106" t="s">
        <v>528</v>
      </c>
      <c r="W32" s="104"/>
      <c r="X32" s="104"/>
      <c r="Y32" s="105"/>
    </row>
    <row r="33" spans="1:25" x14ac:dyDescent="0.25">
      <c r="A33" s="103" t="s">
        <v>568</v>
      </c>
      <c r="B33" s="103">
        <f>_xlfn.XLOOKUP(A33,'[2]FRV Output'!$B:$B,'[2]FRV Output'!$F:$F)</f>
        <v>1639122328</v>
      </c>
      <c r="C33" s="104">
        <v>3</v>
      </c>
      <c r="D33" s="104">
        <v>2017</v>
      </c>
      <c r="E33" s="105">
        <v>131963</v>
      </c>
      <c r="F33" s="106" t="s">
        <v>528</v>
      </c>
      <c r="G33" s="104">
        <v>3</v>
      </c>
      <c r="H33" s="104">
        <v>2020</v>
      </c>
      <c r="I33" s="105">
        <v>192586</v>
      </c>
      <c r="J33" s="106" t="s">
        <v>528</v>
      </c>
      <c r="K33" s="104">
        <v>3</v>
      </c>
      <c r="L33" s="104">
        <v>2021</v>
      </c>
      <c r="M33" s="105">
        <v>97432</v>
      </c>
      <c r="N33" s="106" t="s">
        <v>528</v>
      </c>
      <c r="O33" s="104"/>
      <c r="P33" s="104"/>
      <c r="Q33" s="105"/>
      <c r="R33" s="106" t="s">
        <v>528</v>
      </c>
      <c r="S33" s="104"/>
      <c r="T33" s="104"/>
      <c r="U33" s="105"/>
      <c r="V33" s="106" t="s">
        <v>528</v>
      </c>
      <c r="W33" s="104"/>
      <c r="X33" s="104"/>
      <c r="Y33" s="105"/>
    </row>
    <row r="34" spans="1:25" x14ac:dyDescent="0.25">
      <c r="A34" s="103" t="s">
        <v>165</v>
      </c>
      <c r="B34" s="103">
        <f>_xlfn.XLOOKUP(A34,'[2]FRV Output'!$B:$B,'[2]FRV Output'!$F:$F)</f>
        <v>1023671765</v>
      </c>
      <c r="C34" s="104">
        <v>3</v>
      </c>
      <c r="D34" s="104">
        <v>2021</v>
      </c>
      <c r="E34" s="105">
        <v>476954</v>
      </c>
      <c r="F34" s="106" t="s">
        <v>528</v>
      </c>
      <c r="G34" s="104"/>
      <c r="H34" s="104"/>
      <c r="I34" s="105"/>
      <c r="J34" s="106" t="s">
        <v>528</v>
      </c>
      <c r="K34" s="104"/>
      <c r="L34" s="104"/>
      <c r="M34" s="105"/>
      <c r="N34" s="106" t="s">
        <v>528</v>
      </c>
      <c r="O34" s="104"/>
      <c r="P34" s="104"/>
      <c r="Q34" s="105"/>
      <c r="R34" s="106" t="s">
        <v>528</v>
      </c>
      <c r="S34" s="104"/>
      <c r="T34" s="104"/>
      <c r="U34" s="105"/>
      <c r="V34" s="106" t="s">
        <v>528</v>
      </c>
      <c r="W34" s="104"/>
      <c r="X34" s="104"/>
      <c r="Y34" s="105"/>
    </row>
    <row r="35" spans="1:25" x14ac:dyDescent="0.25">
      <c r="A35" s="107" t="s">
        <v>166</v>
      </c>
      <c r="B35" s="103">
        <f>_xlfn.XLOOKUP(A35,'[2]FRV Output'!$B:$B,'[2]FRV Output'!$F:$F)</f>
        <v>1962509505</v>
      </c>
      <c r="C35" s="104">
        <v>3</v>
      </c>
      <c r="D35" s="104">
        <v>2017</v>
      </c>
      <c r="E35" s="105">
        <v>110234</v>
      </c>
      <c r="F35" s="106" t="s">
        <v>528</v>
      </c>
      <c r="G35" s="104">
        <v>3</v>
      </c>
      <c r="H35" s="104">
        <v>2019</v>
      </c>
      <c r="I35" s="105">
        <v>52500</v>
      </c>
      <c r="J35" s="106" t="s">
        <v>528</v>
      </c>
      <c r="K35" s="104"/>
      <c r="L35" s="104"/>
      <c r="M35" s="105"/>
      <c r="N35" s="106" t="s">
        <v>528</v>
      </c>
      <c r="O35" s="104"/>
      <c r="P35" s="104"/>
      <c r="Q35" s="105"/>
      <c r="R35" s="106" t="s">
        <v>528</v>
      </c>
      <c r="S35" s="104"/>
      <c r="T35" s="104"/>
      <c r="U35" s="105"/>
      <c r="V35" s="106" t="s">
        <v>528</v>
      </c>
      <c r="W35" s="104"/>
      <c r="X35" s="104"/>
      <c r="Y35" s="105"/>
    </row>
    <row r="36" spans="1:25" x14ac:dyDescent="0.25">
      <c r="A36" s="107" t="s">
        <v>569</v>
      </c>
      <c r="B36" s="103">
        <f>_xlfn.XLOOKUP(A36,'[2]FRV Output'!$B:$B,'[2]FRV Output'!$F:$F)</f>
        <v>1487060893</v>
      </c>
      <c r="C36" s="104">
        <v>3</v>
      </c>
      <c r="D36" s="104">
        <v>2016</v>
      </c>
      <c r="E36" s="105">
        <v>569351</v>
      </c>
      <c r="F36" s="106" t="s">
        <v>528</v>
      </c>
      <c r="G36" s="104">
        <v>3</v>
      </c>
      <c r="H36" s="104">
        <v>2017</v>
      </c>
      <c r="I36" s="105">
        <v>110453</v>
      </c>
      <c r="J36" s="106" t="s">
        <v>528</v>
      </c>
      <c r="K36" s="104">
        <v>3</v>
      </c>
      <c r="L36" s="104">
        <v>2019</v>
      </c>
      <c r="M36" s="105">
        <v>75148</v>
      </c>
      <c r="N36" s="106" t="s">
        <v>528</v>
      </c>
      <c r="O36" s="104">
        <v>3</v>
      </c>
      <c r="P36" s="104">
        <v>2021</v>
      </c>
      <c r="Q36" s="105">
        <v>47500</v>
      </c>
      <c r="R36" s="106" t="s">
        <v>528</v>
      </c>
      <c r="S36" s="104"/>
      <c r="T36" s="104"/>
      <c r="U36" s="105"/>
      <c r="V36" s="106" t="s">
        <v>528</v>
      </c>
      <c r="W36" s="104"/>
      <c r="X36" s="104"/>
      <c r="Y36" s="105"/>
    </row>
    <row r="37" spans="1:25" x14ac:dyDescent="0.25">
      <c r="A37" s="107" t="s">
        <v>570</v>
      </c>
      <c r="B37" s="103">
        <f>_xlfn.XLOOKUP(A37,'[2]FRV Output'!$B:$B,'[2]FRV Output'!$F:$F)</f>
        <v>1992998504</v>
      </c>
      <c r="C37" s="104"/>
      <c r="D37" s="104"/>
      <c r="E37" s="105"/>
      <c r="F37" s="113" t="s">
        <v>528</v>
      </c>
      <c r="G37" s="104"/>
      <c r="H37" s="104"/>
      <c r="I37" s="105"/>
      <c r="J37" s="113" t="s">
        <v>528</v>
      </c>
      <c r="K37" s="104"/>
      <c r="L37" s="104"/>
      <c r="M37" s="105"/>
      <c r="N37" s="113" t="s">
        <v>528</v>
      </c>
      <c r="O37" s="104"/>
      <c r="P37" s="104"/>
      <c r="Q37" s="105"/>
      <c r="R37" s="113" t="s">
        <v>528</v>
      </c>
      <c r="S37" s="104"/>
      <c r="T37" s="104"/>
      <c r="U37" s="105"/>
      <c r="V37" s="106" t="s">
        <v>528</v>
      </c>
      <c r="W37" s="104"/>
      <c r="X37" s="104"/>
      <c r="Y37" s="105"/>
    </row>
    <row r="38" spans="1:25" x14ac:dyDescent="0.25">
      <c r="A38" s="107" t="s">
        <v>571</v>
      </c>
      <c r="B38" s="103">
        <f>_xlfn.XLOOKUP(A38,'[2]FRV Output'!$B:$B,'[2]FRV Output'!$F:$F)</f>
        <v>1982130811</v>
      </c>
      <c r="C38" s="104"/>
      <c r="D38" s="104"/>
      <c r="E38" s="105"/>
      <c r="F38" s="106" t="s">
        <v>528</v>
      </c>
      <c r="G38" s="104"/>
      <c r="H38" s="104"/>
      <c r="I38" s="105"/>
      <c r="J38" s="106" t="s">
        <v>528</v>
      </c>
      <c r="K38" s="104"/>
      <c r="L38" s="104"/>
      <c r="M38" s="105"/>
      <c r="N38" s="106" t="s">
        <v>528</v>
      </c>
      <c r="O38" s="104"/>
      <c r="P38" s="104"/>
      <c r="Q38" s="105"/>
      <c r="R38" s="106" t="s">
        <v>528</v>
      </c>
      <c r="S38" s="104"/>
      <c r="T38" s="104"/>
      <c r="U38" s="105"/>
      <c r="V38" s="106" t="s">
        <v>528</v>
      </c>
      <c r="W38" s="104"/>
      <c r="X38" s="104"/>
      <c r="Y38" s="105"/>
    </row>
    <row r="39" spans="1:25" x14ac:dyDescent="0.25">
      <c r="A39" s="107" t="s">
        <v>170</v>
      </c>
      <c r="B39" s="103">
        <f>_xlfn.XLOOKUP(A39,'[2]FRV Output'!$B:$B,'[2]FRV Output'!$F:$F)</f>
        <v>1194722629</v>
      </c>
      <c r="C39" s="104">
        <v>3</v>
      </c>
      <c r="D39" s="104">
        <v>2018</v>
      </c>
      <c r="E39" s="105">
        <v>186231</v>
      </c>
      <c r="F39" s="106" t="s">
        <v>528</v>
      </c>
      <c r="G39" s="104">
        <v>3</v>
      </c>
      <c r="H39" s="104">
        <v>2019</v>
      </c>
      <c r="I39" s="105">
        <v>257515</v>
      </c>
      <c r="J39" s="106" t="s">
        <v>528</v>
      </c>
      <c r="K39" s="104">
        <v>3</v>
      </c>
      <c r="L39" s="104">
        <v>2021</v>
      </c>
      <c r="M39" s="105">
        <v>162836</v>
      </c>
      <c r="N39" s="106" t="s">
        <v>528</v>
      </c>
      <c r="O39" s="104"/>
      <c r="P39" s="104"/>
      <c r="Q39" s="105"/>
      <c r="R39" s="106" t="s">
        <v>528</v>
      </c>
      <c r="S39" s="104"/>
      <c r="T39" s="104"/>
      <c r="U39" s="105"/>
      <c r="V39" s="106" t="s">
        <v>528</v>
      </c>
      <c r="W39" s="104"/>
      <c r="X39" s="104"/>
      <c r="Y39" s="105"/>
    </row>
    <row r="40" spans="1:25" x14ac:dyDescent="0.25">
      <c r="A40" s="103" t="s">
        <v>171</v>
      </c>
      <c r="B40" s="103">
        <f>_xlfn.XLOOKUP(A40,'[2]FRV Output'!$B:$B,'[2]FRV Output'!$F:$F)</f>
        <v>1255878245</v>
      </c>
      <c r="C40" s="104"/>
      <c r="D40" s="104"/>
      <c r="E40" s="105"/>
      <c r="F40" s="106" t="s">
        <v>528</v>
      </c>
      <c r="G40" s="104"/>
      <c r="H40" s="104"/>
      <c r="I40" s="105"/>
      <c r="J40" s="106" t="s">
        <v>528</v>
      </c>
      <c r="K40" s="104"/>
      <c r="L40" s="104"/>
      <c r="M40" s="105"/>
      <c r="N40" s="106" t="s">
        <v>528</v>
      </c>
      <c r="O40" s="104"/>
      <c r="P40" s="104"/>
      <c r="Q40" s="105"/>
      <c r="R40" s="106" t="s">
        <v>528</v>
      </c>
      <c r="S40" s="104"/>
      <c r="T40" s="104"/>
      <c r="U40" s="105"/>
      <c r="V40" s="106" t="s">
        <v>528</v>
      </c>
      <c r="W40" s="104"/>
      <c r="X40" s="104"/>
      <c r="Y40" s="105"/>
    </row>
    <row r="41" spans="1:25" x14ac:dyDescent="0.25">
      <c r="A41" s="107" t="s">
        <v>572</v>
      </c>
      <c r="B41" s="103">
        <f>_xlfn.XLOOKUP(A41,'[2]FRV Output'!$B:$B,'[2]FRV Output'!$F:$F)</f>
        <v>1376932889</v>
      </c>
      <c r="C41" s="104">
        <v>3</v>
      </c>
      <c r="D41" s="104">
        <v>2018</v>
      </c>
      <c r="E41" s="105">
        <v>85530</v>
      </c>
      <c r="F41" s="113" t="s">
        <v>528</v>
      </c>
      <c r="G41" s="104">
        <v>3</v>
      </c>
      <c r="H41" s="104">
        <v>2019</v>
      </c>
      <c r="I41" s="105">
        <v>85530</v>
      </c>
      <c r="J41" s="113" t="s">
        <v>528</v>
      </c>
      <c r="K41" s="104">
        <v>3</v>
      </c>
      <c r="L41" s="104">
        <v>2021</v>
      </c>
      <c r="M41" s="105">
        <v>70471</v>
      </c>
      <c r="N41" s="113" t="s">
        <v>528</v>
      </c>
      <c r="O41" s="104"/>
      <c r="P41" s="104"/>
      <c r="Q41" s="105"/>
      <c r="R41" s="113" t="s">
        <v>528</v>
      </c>
      <c r="S41" s="104"/>
      <c r="T41" s="104"/>
      <c r="U41" s="105"/>
      <c r="V41" s="106" t="s">
        <v>528</v>
      </c>
      <c r="W41" s="104"/>
      <c r="X41" s="104"/>
      <c r="Y41" s="105"/>
    </row>
    <row r="42" spans="1:25" x14ac:dyDescent="0.25">
      <c r="A42" s="103" t="s">
        <v>173</v>
      </c>
      <c r="B42" s="103">
        <f>_xlfn.XLOOKUP(A42,'[2]FRV Output'!$B:$B,'[2]FRV Output'!$F:$F)</f>
        <v>1275519506</v>
      </c>
      <c r="C42" s="104">
        <v>3</v>
      </c>
      <c r="D42" s="104">
        <v>2018</v>
      </c>
      <c r="E42" s="105">
        <v>854447</v>
      </c>
      <c r="F42" s="106" t="s">
        <v>528</v>
      </c>
      <c r="G42" s="104">
        <v>3</v>
      </c>
      <c r="H42" s="104">
        <v>2020</v>
      </c>
      <c r="I42" s="105">
        <v>60304</v>
      </c>
      <c r="J42" s="106" t="s">
        <v>528</v>
      </c>
      <c r="K42" s="104"/>
      <c r="L42" s="104"/>
      <c r="M42" s="105"/>
      <c r="N42" s="106" t="s">
        <v>528</v>
      </c>
      <c r="O42" s="104"/>
      <c r="P42" s="104"/>
      <c r="Q42" s="105"/>
      <c r="R42" s="106" t="s">
        <v>528</v>
      </c>
      <c r="S42" s="104"/>
      <c r="T42" s="104"/>
      <c r="U42" s="105"/>
      <c r="V42" s="106" t="s">
        <v>528</v>
      </c>
      <c r="W42" s="104"/>
      <c r="X42" s="104"/>
      <c r="Y42" s="105"/>
    </row>
    <row r="43" spans="1:25" x14ac:dyDescent="0.25">
      <c r="A43" s="107" t="s">
        <v>573</v>
      </c>
      <c r="B43" s="103">
        <f>_xlfn.XLOOKUP(A43,'[2]FRV Output'!$B:$B,'[2]FRV Output'!$F:$F)</f>
        <v>1114463932</v>
      </c>
      <c r="C43" s="104">
        <v>3</v>
      </c>
      <c r="D43" s="104">
        <v>2018</v>
      </c>
      <c r="E43" s="105">
        <v>82956</v>
      </c>
      <c r="F43" s="106" t="s">
        <v>528</v>
      </c>
      <c r="G43" s="104">
        <v>3</v>
      </c>
      <c r="H43" s="104">
        <v>2021</v>
      </c>
      <c r="I43" s="105">
        <v>78210</v>
      </c>
      <c r="J43" s="106" t="s">
        <v>528</v>
      </c>
      <c r="K43" s="104"/>
      <c r="L43" s="104"/>
      <c r="M43" s="105"/>
      <c r="N43" s="106" t="s">
        <v>528</v>
      </c>
      <c r="O43" s="104"/>
      <c r="P43" s="104"/>
      <c r="Q43" s="105"/>
      <c r="R43" s="106" t="s">
        <v>528</v>
      </c>
      <c r="S43" s="104"/>
      <c r="T43" s="104"/>
      <c r="U43" s="105"/>
      <c r="V43" s="106" t="s">
        <v>528</v>
      </c>
      <c r="W43" s="104"/>
      <c r="X43" s="104"/>
      <c r="Y43" s="105"/>
    </row>
    <row r="44" spans="1:25" x14ac:dyDescent="0.25">
      <c r="A44" s="107" t="s">
        <v>175</v>
      </c>
      <c r="B44" s="103">
        <f>_xlfn.XLOOKUP(A44,'[2]FRV Output'!$B:$B,'[2]FRV Output'!$F:$F)</f>
        <v>1609852375</v>
      </c>
      <c r="C44" s="104">
        <v>3</v>
      </c>
      <c r="D44" s="104">
        <v>2018</v>
      </c>
      <c r="E44" s="105">
        <v>165953</v>
      </c>
      <c r="F44" s="106" t="s">
        <v>528</v>
      </c>
      <c r="G44" s="104">
        <v>3</v>
      </c>
      <c r="H44" s="104">
        <v>2019</v>
      </c>
      <c r="I44" s="105">
        <v>79546</v>
      </c>
      <c r="J44" s="106" t="s">
        <v>528</v>
      </c>
      <c r="K44" s="104">
        <v>3</v>
      </c>
      <c r="L44" s="104">
        <v>2021</v>
      </c>
      <c r="M44" s="105">
        <v>110808</v>
      </c>
      <c r="N44" s="106" t="s">
        <v>528</v>
      </c>
      <c r="O44" s="104"/>
      <c r="P44" s="104"/>
      <c r="Q44" s="105"/>
      <c r="R44" s="106" t="s">
        <v>528</v>
      </c>
      <c r="S44" s="104"/>
      <c r="T44" s="104"/>
      <c r="U44" s="105"/>
      <c r="V44" s="106" t="s">
        <v>528</v>
      </c>
      <c r="W44" s="104"/>
      <c r="X44" s="104"/>
      <c r="Y44" s="105"/>
    </row>
    <row r="45" spans="1:25" x14ac:dyDescent="0.25">
      <c r="A45" s="103" t="s">
        <v>176</v>
      </c>
      <c r="B45" s="103">
        <f>_xlfn.XLOOKUP(A45,'[2]FRV Output'!$B:$B,'[2]FRV Output'!$F:$F)</f>
        <v>1093791337</v>
      </c>
      <c r="C45" s="104">
        <v>3</v>
      </c>
      <c r="D45" s="104">
        <v>2018</v>
      </c>
      <c r="E45" s="105">
        <v>501525</v>
      </c>
      <c r="F45" s="106" t="s">
        <v>528</v>
      </c>
      <c r="G45" s="104">
        <v>3</v>
      </c>
      <c r="H45" s="104">
        <v>2020</v>
      </c>
      <c r="I45" s="105">
        <v>71770</v>
      </c>
      <c r="J45" s="106" t="s">
        <v>528</v>
      </c>
      <c r="K45" s="104">
        <v>3</v>
      </c>
      <c r="L45" s="104">
        <v>2021</v>
      </c>
      <c r="M45" s="105">
        <v>76979</v>
      </c>
      <c r="N45" s="106" t="s">
        <v>528</v>
      </c>
      <c r="O45" s="104"/>
      <c r="P45" s="104"/>
      <c r="Q45" s="105"/>
      <c r="R45" s="106" t="s">
        <v>528</v>
      </c>
      <c r="S45" s="104"/>
      <c r="T45" s="104"/>
      <c r="U45" s="105"/>
      <c r="V45" s="106" t="s">
        <v>528</v>
      </c>
      <c r="W45" s="104"/>
      <c r="X45" s="104"/>
      <c r="Y45" s="105"/>
    </row>
    <row r="46" spans="1:25" x14ac:dyDescent="0.25">
      <c r="A46" s="103" t="s">
        <v>177</v>
      </c>
      <c r="B46" s="103">
        <f>_xlfn.XLOOKUP(A46,'[2]FRV Output'!$B:$B,'[2]FRV Output'!$F:$F)</f>
        <v>1073599635</v>
      </c>
      <c r="C46" s="104">
        <v>3</v>
      </c>
      <c r="D46" s="104">
        <v>2017</v>
      </c>
      <c r="E46" s="105">
        <v>106450</v>
      </c>
      <c r="F46" s="106" t="s">
        <v>528</v>
      </c>
      <c r="G46" s="104">
        <v>3</v>
      </c>
      <c r="H46" s="104">
        <v>2018</v>
      </c>
      <c r="I46" s="105">
        <v>117490</v>
      </c>
      <c r="J46" s="106" t="s">
        <v>528</v>
      </c>
      <c r="K46" s="104">
        <v>3</v>
      </c>
      <c r="L46" s="104">
        <v>2020</v>
      </c>
      <c r="M46" s="105">
        <v>100647</v>
      </c>
      <c r="N46" s="106" t="s">
        <v>528</v>
      </c>
      <c r="O46" s="104"/>
      <c r="P46" s="104"/>
      <c r="Q46" s="105"/>
      <c r="R46" s="106" t="s">
        <v>528</v>
      </c>
      <c r="S46" s="104"/>
      <c r="T46" s="104"/>
      <c r="U46" s="105"/>
      <c r="V46" s="106" t="s">
        <v>528</v>
      </c>
      <c r="W46" s="104"/>
      <c r="X46" s="104"/>
      <c r="Y46" s="105"/>
    </row>
    <row r="47" spans="1:25" x14ac:dyDescent="0.25">
      <c r="A47" s="107" t="s">
        <v>178</v>
      </c>
      <c r="B47" s="103">
        <f>_xlfn.XLOOKUP(A47,'[2]FRV Output'!$B:$B,'[2]FRV Output'!$F:$F)</f>
        <v>1053396788</v>
      </c>
      <c r="C47" s="104">
        <v>3</v>
      </c>
      <c r="D47" s="104">
        <v>2017</v>
      </c>
      <c r="E47" s="105">
        <v>41131</v>
      </c>
      <c r="F47" s="106" t="s">
        <v>528</v>
      </c>
      <c r="G47" s="104">
        <v>3</v>
      </c>
      <c r="H47" s="104">
        <v>2018</v>
      </c>
      <c r="I47" s="105">
        <v>67976</v>
      </c>
      <c r="J47" s="106" t="s">
        <v>528</v>
      </c>
      <c r="K47" s="104">
        <v>3</v>
      </c>
      <c r="L47" s="104">
        <v>2019</v>
      </c>
      <c r="M47" s="105">
        <v>44116</v>
      </c>
      <c r="N47" s="106" t="s">
        <v>528</v>
      </c>
      <c r="O47" s="104">
        <v>3</v>
      </c>
      <c r="P47" s="104">
        <v>2020</v>
      </c>
      <c r="Q47" s="105">
        <v>75708</v>
      </c>
      <c r="R47" s="106" t="s">
        <v>528</v>
      </c>
      <c r="S47" s="104">
        <v>3</v>
      </c>
      <c r="T47" s="104">
        <v>2021</v>
      </c>
      <c r="U47" s="105">
        <v>96270</v>
      </c>
      <c r="V47" s="106" t="s">
        <v>528</v>
      </c>
      <c r="W47" s="104"/>
      <c r="X47" s="104"/>
      <c r="Y47" s="105"/>
    </row>
    <row r="48" spans="1:25" x14ac:dyDescent="0.25">
      <c r="A48" s="103" t="s">
        <v>179</v>
      </c>
      <c r="B48" s="103">
        <f>_xlfn.XLOOKUP(A48,'[2]FRV Output'!$B:$B,'[2]FRV Output'!$F:$F)</f>
        <v>1851377543</v>
      </c>
      <c r="C48" s="104">
        <v>3</v>
      </c>
      <c r="D48" s="104">
        <v>2017</v>
      </c>
      <c r="E48" s="105">
        <v>71007</v>
      </c>
      <c r="F48" s="106" t="s">
        <v>528</v>
      </c>
      <c r="G48" s="104">
        <v>3</v>
      </c>
      <c r="H48" s="104">
        <v>2018</v>
      </c>
      <c r="I48" s="105">
        <v>680929</v>
      </c>
      <c r="J48" s="106" t="s">
        <v>528</v>
      </c>
      <c r="K48" s="104">
        <v>3</v>
      </c>
      <c r="L48" s="104">
        <v>2020</v>
      </c>
      <c r="M48" s="105">
        <v>92808</v>
      </c>
      <c r="N48" s="106" t="s">
        <v>528</v>
      </c>
      <c r="O48" s="104"/>
      <c r="P48" s="104"/>
      <c r="Q48" s="105"/>
      <c r="R48" s="106" t="s">
        <v>528</v>
      </c>
      <c r="S48" s="104"/>
      <c r="T48" s="104"/>
      <c r="U48" s="105"/>
      <c r="V48" s="106" t="s">
        <v>528</v>
      </c>
      <c r="W48" s="104"/>
      <c r="X48" s="104"/>
      <c r="Y48" s="105"/>
    </row>
    <row r="49" spans="1:25" x14ac:dyDescent="0.25">
      <c r="A49" s="107" t="s">
        <v>180</v>
      </c>
      <c r="B49" s="103">
        <f>_xlfn.XLOOKUP(A49,'[2]FRV Output'!$B:$B,'[2]FRV Output'!$F:$F)</f>
        <v>1508842295</v>
      </c>
      <c r="C49" s="104">
        <v>3</v>
      </c>
      <c r="D49" s="104">
        <v>2018</v>
      </c>
      <c r="E49" s="105">
        <v>104008</v>
      </c>
      <c r="F49" s="106" t="s">
        <v>528</v>
      </c>
      <c r="G49" s="104">
        <v>3</v>
      </c>
      <c r="H49" s="104">
        <v>2019</v>
      </c>
      <c r="I49" s="105">
        <v>65513</v>
      </c>
      <c r="J49" s="106" t="s">
        <v>528</v>
      </c>
      <c r="K49" s="104">
        <v>3</v>
      </c>
      <c r="L49" s="104">
        <v>2020</v>
      </c>
      <c r="M49" s="105">
        <v>52423</v>
      </c>
      <c r="N49" s="106" t="s">
        <v>528</v>
      </c>
      <c r="O49" s="104"/>
      <c r="P49" s="104"/>
      <c r="Q49" s="105"/>
      <c r="R49" s="106" t="s">
        <v>528</v>
      </c>
      <c r="S49" s="104"/>
      <c r="T49" s="104"/>
      <c r="U49" s="105"/>
      <c r="V49" s="106" t="s">
        <v>528</v>
      </c>
      <c r="W49" s="104"/>
      <c r="X49" s="104"/>
      <c r="Y49" s="105"/>
    </row>
    <row r="50" spans="1:25" x14ac:dyDescent="0.25">
      <c r="A50" s="107" t="s">
        <v>181</v>
      </c>
      <c r="B50" s="103">
        <f>_xlfn.XLOOKUP(A50,'[2]FRV Output'!$B:$B,'[2]FRV Output'!$F:$F)</f>
        <v>1639155302</v>
      </c>
      <c r="C50" s="104">
        <v>3</v>
      </c>
      <c r="D50" s="104">
        <v>2018</v>
      </c>
      <c r="E50" s="105">
        <v>192313</v>
      </c>
      <c r="F50" s="106" t="s">
        <v>528</v>
      </c>
      <c r="G50" s="104">
        <v>3</v>
      </c>
      <c r="H50" s="104">
        <v>2019</v>
      </c>
      <c r="I50" s="105">
        <v>87748</v>
      </c>
      <c r="J50" s="106" t="s">
        <v>528</v>
      </c>
      <c r="K50" s="104">
        <v>3</v>
      </c>
      <c r="L50" s="104">
        <v>2020</v>
      </c>
      <c r="M50" s="105">
        <v>232217</v>
      </c>
      <c r="N50" s="106" t="s">
        <v>528</v>
      </c>
      <c r="O50" s="104"/>
      <c r="P50" s="104"/>
      <c r="Q50" s="105"/>
      <c r="R50" s="106" t="s">
        <v>528</v>
      </c>
      <c r="S50" s="104"/>
      <c r="T50" s="104"/>
      <c r="U50" s="105"/>
      <c r="V50" s="106" t="s">
        <v>528</v>
      </c>
      <c r="W50" s="104"/>
      <c r="X50" s="104"/>
      <c r="Y50" s="105"/>
    </row>
    <row r="51" spans="1:25" x14ac:dyDescent="0.25">
      <c r="A51" s="103" t="s">
        <v>182</v>
      </c>
      <c r="B51" s="103">
        <f>_xlfn.XLOOKUP(A51,'[2]FRV Output'!$B:$B,'[2]FRV Output'!$F:$F)</f>
        <v>1346226040</v>
      </c>
      <c r="C51" s="104">
        <v>3</v>
      </c>
      <c r="D51" s="104">
        <v>2018</v>
      </c>
      <c r="E51" s="105">
        <v>83213</v>
      </c>
      <c r="F51" s="106" t="s">
        <v>528</v>
      </c>
      <c r="G51" s="104">
        <v>1</v>
      </c>
      <c r="H51" s="104">
        <v>2018</v>
      </c>
      <c r="I51" s="105">
        <v>-30</v>
      </c>
      <c r="J51" s="106" t="s">
        <v>528</v>
      </c>
      <c r="K51" s="104">
        <v>3</v>
      </c>
      <c r="L51" s="104">
        <v>2018</v>
      </c>
      <c r="M51" s="105">
        <v>297526</v>
      </c>
      <c r="N51" s="106" t="s">
        <v>528</v>
      </c>
      <c r="O51" s="104">
        <v>3</v>
      </c>
      <c r="P51" s="104">
        <v>2021</v>
      </c>
      <c r="Q51" s="105">
        <v>69734</v>
      </c>
      <c r="R51" s="106" t="s">
        <v>528</v>
      </c>
      <c r="S51" s="104"/>
      <c r="T51" s="104"/>
      <c r="U51" s="105"/>
      <c r="V51" s="106" t="s">
        <v>528</v>
      </c>
      <c r="W51" s="104"/>
      <c r="X51" s="104"/>
      <c r="Y51" s="105"/>
    </row>
    <row r="52" spans="1:25" x14ac:dyDescent="0.25">
      <c r="A52" s="107" t="s">
        <v>183</v>
      </c>
      <c r="B52" s="103">
        <f>_xlfn.XLOOKUP(A52,'[2]FRV Output'!$B:$B,'[2]FRV Output'!$F:$F)</f>
        <v>1730722240</v>
      </c>
      <c r="C52" s="104">
        <v>3</v>
      </c>
      <c r="D52" s="104">
        <v>2018</v>
      </c>
      <c r="E52" s="105">
        <v>71463</v>
      </c>
      <c r="F52" s="106" t="s">
        <v>528</v>
      </c>
      <c r="G52" s="104">
        <v>3</v>
      </c>
      <c r="H52" s="104">
        <v>2019</v>
      </c>
      <c r="I52" s="105">
        <v>65529</v>
      </c>
      <c r="J52" s="106" t="s">
        <v>528</v>
      </c>
      <c r="K52" s="104">
        <v>3</v>
      </c>
      <c r="L52" s="104">
        <v>2020</v>
      </c>
      <c r="M52" s="105">
        <v>63311</v>
      </c>
      <c r="N52" s="106" t="s">
        <v>528</v>
      </c>
      <c r="O52" s="104">
        <v>3</v>
      </c>
      <c r="P52" s="104">
        <v>2021</v>
      </c>
      <c r="Q52" s="105">
        <v>345594</v>
      </c>
      <c r="R52" s="106" t="s">
        <v>528</v>
      </c>
      <c r="S52" s="104"/>
      <c r="T52" s="104"/>
      <c r="U52" s="105"/>
      <c r="V52" s="106" t="s">
        <v>528</v>
      </c>
      <c r="W52" s="104"/>
      <c r="X52" s="104"/>
      <c r="Y52" s="105"/>
    </row>
    <row r="53" spans="1:25" x14ac:dyDescent="0.25">
      <c r="A53" s="103" t="s">
        <v>184</v>
      </c>
      <c r="B53" s="103">
        <f>_xlfn.XLOOKUP(A53,'[2]FRV Output'!$B:$B,'[2]FRV Output'!$F:$F)</f>
        <v>1528044294</v>
      </c>
      <c r="C53" s="104">
        <v>3</v>
      </c>
      <c r="D53" s="104">
        <v>2018</v>
      </c>
      <c r="E53" s="105">
        <v>63418</v>
      </c>
      <c r="F53" s="106" t="s">
        <v>528</v>
      </c>
      <c r="G53" s="104">
        <v>3</v>
      </c>
      <c r="H53" s="104">
        <v>2018</v>
      </c>
      <c r="I53" s="105">
        <v>225346</v>
      </c>
      <c r="J53" s="106" t="s">
        <v>528</v>
      </c>
      <c r="K53" s="104">
        <v>3</v>
      </c>
      <c r="L53" s="104">
        <v>2021</v>
      </c>
      <c r="M53" s="105">
        <v>91463</v>
      </c>
      <c r="N53" s="106" t="s">
        <v>528</v>
      </c>
      <c r="O53" s="104"/>
      <c r="P53" s="104"/>
      <c r="Q53" s="105"/>
      <c r="R53" s="106" t="s">
        <v>528</v>
      </c>
      <c r="S53" s="104"/>
      <c r="T53" s="104"/>
      <c r="U53" s="105"/>
      <c r="V53" s="106" t="s">
        <v>528</v>
      </c>
      <c r="W53" s="104"/>
      <c r="X53" s="104"/>
      <c r="Y53" s="105"/>
    </row>
    <row r="54" spans="1:25" x14ac:dyDescent="0.25">
      <c r="A54" s="107" t="s">
        <v>574</v>
      </c>
      <c r="B54" s="103">
        <f>_xlfn.XLOOKUP(A54,'[2]FRV Output'!$B:$B,'[2]FRV Output'!$F:$F)</f>
        <v>1356372650</v>
      </c>
      <c r="C54" s="104">
        <v>3</v>
      </c>
      <c r="D54" s="104">
        <v>2016</v>
      </c>
      <c r="E54" s="105">
        <v>48022</v>
      </c>
      <c r="F54" s="106" t="s">
        <v>528</v>
      </c>
      <c r="G54" s="104">
        <v>3</v>
      </c>
      <c r="H54" s="104">
        <v>2019</v>
      </c>
      <c r="I54" s="105">
        <v>58255</v>
      </c>
      <c r="J54" s="106" t="s">
        <v>528</v>
      </c>
      <c r="K54" s="104">
        <v>3</v>
      </c>
      <c r="L54" s="104">
        <v>2021</v>
      </c>
      <c r="M54" s="105">
        <v>99807</v>
      </c>
      <c r="N54" s="106" t="s">
        <v>528</v>
      </c>
      <c r="O54" s="104"/>
      <c r="P54" s="104"/>
      <c r="Q54" s="105"/>
      <c r="R54" s="106" t="s">
        <v>528</v>
      </c>
      <c r="S54" s="104"/>
      <c r="T54" s="104"/>
      <c r="U54" s="105"/>
      <c r="V54" s="106" t="s">
        <v>528</v>
      </c>
      <c r="W54" s="104"/>
      <c r="X54" s="104"/>
      <c r="Y54" s="105"/>
    </row>
    <row r="55" spans="1:25" x14ac:dyDescent="0.25">
      <c r="A55" s="107" t="s">
        <v>575</v>
      </c>
      <c r="B55" s="103">
        <f>_xlfn.XLOOKUP(A55,'[2]FRV Output'!$B:$B,'[2]FRV Output'!$F:$F)</f>
        <v>1255682522</v>
      </c>
      <c r="C55" s="104">
        <v>3</v>
      </c>
      <c r="D55" s="104">
        <v>2018</v>
      </c>
      <c r="E55" s="105">
        <v>184391</v>
      </c>
      <c r="F55" s="106" t="s">
        <v>528</v>
      </c>
      <c r="G55" s="104">
        <v>3</v>
      </c>
      <c r="H55" s="104">
        <v>2019</v>
      </c>
      <c r="I55" s="105">
        <v>54354</v>
      </c>
      <c r="J55" s="106" t="s">
        <v>528</v>
      </c>
      <c r="K55" s="104"/>
      <c r="L55" s="104"/>
      <c r="M55" s="105"/>
      <c r="N55" s="106" t="s">
        <v>528</v>
      </c>
      <c r="O55" s="104"/>
      <c r="P55" s="104"/>
      <c r="Q55" s="105"/>
      <c r="R55" s="106" t="s">
        <v>528</v>
      </c>
      <c r="S55" s="104"/>
      <c r="T55" s="104"/>
      <c r="U55" s="105"/>
      <c r="V55" s="106" t="s">
        <v>528</v>
      </c>
      <c r="W55" s="104"/>
      <c r="X55" s="104"/>
      <c r="Y55" s="105"/>
    </row>
    <row r="56" spans="1:25" x14ac:dyDescent="0.25">
      <c r="A56" s="103" t="s">
        <v>576</v>
      </c>
      <c r="B56" s="103">
        <f>_xlfn.XLOOKUP(A56,'[2]FRV Output'!$B:$B,'[2]FRV Output'!$F:$F)</f>
        <v>1225064777</v>
      </c>
      <c r="C56" s="104">
        <v>3</v>
      </c>
      <c r="D56" s="104">
        <v>2017</v>
      </c>
      <c r="E56" s="105">
        <v>83747</v>
      </c>
      <c r="F56" s="106" t="s">
        <v>528</v>
      </c>
      <c r="G56" s="104">
        <v>3</v>
      </c>
      <c r="H56" s="104">
        <v>2021</v>
      </c>
      <c r="I56" s="105">
        <v>520171</v>
      </c>
      <c r="J56" s="106" t="s">
        <v>528</v>
      </c>
      <c r="K56" s="104"/>
      <c r="L56" s="104"/>
      <c r="M56" s="105"/>
      <c r="N56" s="106" t="s">
        <v>528</v>
      </c>
      <c r="O56" s="104"/>
      <c r="P56" s="104"/>
      <c r="Q56" s="105"/>
      <c r="R56" s="106" t="s">
        <v>528</v>
      </c>
      <c r="S56" s="104"/>
      <c r="T56" s="104"/>
      <c r="U56" s="105"/>
      <c r="V56" s="106" t="s">
        <v>528</v>
      </c>
      <c r="W56" s="104"/>
      <c r="X56" s="104"/>
      <c r="Y56" s="105"/>
    </row>
    <row r="57" spans="1:25" x14ac:dyDescent="0.25">
      <c r="A57" s="103" t="s">
        <v>188</v>
      </c>
      <c r="B57" s="103">
        <f>_xlfn.XLOOKUP(A57,'[2]FRV Output'!$B:$B,'[2]FRV Output'!$F:$F)</f>
        <v>1649254582</v>
      </c>
      <c r="C57" s="104">
        <v>3</v>
      </c>
      <c r="D57" s="104">
        <v>2016</v>
      </c>
      <c r="E57" s="105">
        <v>526977</v>
      </c>
      <c r="F57" s="106" t="s">
        <v>528</v>
      </c>
      <c r="G57" s="104">
        <v>3</v>
      </c>
      <c r="H57" s="104">
        <v>2021</v>
      </c>
      <c r="I57" s="105">
        <v>87802</v>
      </c>
      <c r="J57" s="106" t="s">
        <v>528</v>
      </c>
      <c r="K57" s="104"/>
      <c r="L57" s="104"/>
      <c r="M57" s="105"/>
      <c r="N57" s="106" t="s">
        <v>528</v>
      </c>
      <c r="O57" s="104"/>
      <c r="P57" s="104"/>
      <c r="Q57" s="105"/>
      <c r="R57" s="106" t="s">
        <v>528</v>
      </c>
      <c r="S57" s="104"/>
      <c r="T57" s="104"/>
      <c r="U57" s="105"/>
      <c r="V57" s="106" t="s">
        <v>528</v>
      </c>
      <c r="W57" s="104"/>
      <c r="X57" s="104"/>
      <c r="Y57" s="105"/>
    </row>
    <row r="58" spans="1:25" x14ac:dyDescent="0.25">
      <c r="A58" s="107" t="s">
        <v>189</v>
      </c>
      <c r="B58" s="103">
        <f>_xlfn.XLOOKUP(A58,'[2]FRV Output'!$B:$B,'[2]FRV Output'!$F:$F)</f>
        <v>1316512346</v>
      </c>
      <c r="C58" s="104">
        <v>3</v>
      </c>
      <c r="D58" s="104">
        <v>2016</v>
      </c>
      <c r="E58" s="105">
        <v>127016</v>
      </c>
      <c r="F58" s="106" t="s">
        <v>528</v>
      </c>
      <c r="G58" s="104">
        <v>3</v>
      </c>
      <c r="H58" s="104">
        <v>2018</v>
      </c>
      <c r="I58" s="105">
        <v>506422</v>
      </c>
      <c r="J58" s="106" t="s">
        <v>528</v>
      </c>
      <c r="K58" s="104">
        <v>3</v>
      </c>
      <c r="L58" s="104">
        <v>2019</v>
      </c>
      <c r="M58" s="105">
        <v>192779</v>
      </c>
      <c r="N58" s="106" t="s">
        <v>528</v>
      </c>
      <c r="O58" s="104">
        <v>3</v>
      </c>
      <c r="P58" s="104">
        <v>2020</v>
      </c>
      <c r="Q58" s="105">
        <v>94083</v>
      </c>
      <c r="R58" s="106" t="s">
        <v>528</v>
      </c>
      <c r="S58" s="104">
        <v>3</v>
      </c>
      <c r="T58" s="104">
        <v>2021</v>
      </c>
      <c r="U58" s="105">
        <v>109890</v>
      </c>
      <c r="V58" s="106" t="s">
        <v>528</v>
      </c>
      <c r="W58" s="104"/>
      <c r="X58" s="104"/>
      <c r="Y58" s="105"/>
    </row>
    <row r="59" spans="1:25" x14ac:dyDescent="0.25">
      <c r="A59" s="107" t="s">
        <v>577</v>
      </c>
      <c r="B59" s="103">
        <f>_xlfn.XLOOKUP(A59,'[2]FRV Output'!$B:$B,'[2]FRV Output'!$F:$F)</f>
        <v>1093228397</v>
      </c>
      <c r="C59" s="104"/>
      <c r="D59" s="104"/>
      <c r="E59" s="105"/>
      <c r="F59" s="113" t="s">
        <v>528</v>
      </c>
      <c r="G59" s="104"/>
      <c r="H59" s="104"/>
      <c r="I59" s="105"/>
      <c r="J59" s="113" t="s">
        <v>528</v>
      </c>
      <c r="K59" s="104"/>
      <c r="L59" s="104"/>
      <c r="M59" s="105"/>
      <c r="N59" s="113" t="s">
        <v>528</v>
      </c>
      <c r="O59" s="104"/>
      <c r="P59" s="104"/>
      <c r="Q59" s="105"/>
      <c r="R59" s="113" t="s">
        <v>528</v>
      </c>
      <c r="S59" s="104"/>
      <c r="T59" s="104"/>
      <c r="U59" s="105"/>
      <c r="V59" s="106" t="s">
        <v>528</v>
      </c>
      <c r="W59" s="104"/>
      <c r="X59" s="104"/>
      <c r="Y59" s="105"/>
    </row>
    <row r="60" spans="1:25" x14ac:dyDescent="0.25">
      <c r="A60" s="107" t="s">
        <v>191</v>
      </c>
      <c r="B60" s="103">
        <f>_xlfn.XLOOKUP(A60,'[2]FRV Output'!$B:$B,'[2]FRV Output'!$F:$F)</f>
        <v>1891908687</v>
      </c>
      <c r="C60" s="104">
        <v>3</v>
      </c>
      <c r="D60" s="104">
        <v>2019</v>
      </c>
      <c r="E60" s="105">
        <v>238237</v>
      </c>
      <c r="F60" s="106" t="s">
        <v>528</v>
      </c>
      <c r="G60" s="104"/>
      <c r="H60" s="104"/>
      <c r="I60" s="105"/>
      <c r="J60" s="106" t="s">
        <v>528</v>
      </c>
      <c r="K60" s="104"/>
      <c r="L60" s="104"/>
      <c r="M60" s="105"/>
      <c r="N60" s="106" t="s">
        <v>528</v>
      </c>
      <c r="O60" s="104"/>
      <c r="P60" s="104"/>
      <c r="Q60" s="105"/>
      <c r="R60" s="106" t="s">
        <v>528</v>
      </c>
      <c r="S60" s="104"/>
      <c r="T60" s="104"/>
      <c r="U60" s="105"/>
      <c r="V60" s="106" t="s">
        <v>528</v>
      </c>
      <c r="W60" s="104"/>
      <c r="X60" s="104"/>
      <c r="Y60" s="105"/>
    </row>
    <row r="61" spans="1:25" x14ac:dyDescent="0.25">
      <c r="A61" s="107" t="s">
        <v>578</v>
      </c>
      <c r="B61" s="103" t="e">
        <f>_xlfn.XLOOKUP(A61,'[2]FRV Output'!$B:$B,'[2]FRV Output'!$F:$F)</f>
        <v>#N/A</v>
      </c>
      <c r="C61" s="104" t="s">
        <v>579</v>
      </c>
      <c r="D61" s="104"/>
      <c r="E61" s="105"/>
      <c r="F61" s="113" t="s">
        <v>528</v>
      </c>
      <c r="G61" s="104"/>
      <c r="H61" s="104"/>
      <c r="I61" s="105"/>
      <c r="J61" s="113" t="s">
        <v>528</v>
      </c>
      <c r="K61" s="104"/>
      <c r="L61" s="104"/>
      <c r="M61" s="105"/>
      <c r="N61" s="113" t="s">
        <v>528</v>
      </c>
      <c r="O61" s="104"/>
      <c r="P61" s="104"/>
      <c r="Q61" s="105"/>
      <c r="R61" s="113" t="s">
        <v>528</v>
      </c>
      <c r="S61" s="104"/>
      <c r="T61" s="104"/>
      <c r="U61" s="105"/>
      <c r="V61" s="106" t="s">
        <v>528</v>
      </c>
      <c r="W61" s="104"/>
      <c r="X61" s="104"/>
      <c r="Y61" s="105"/>
    </row>
    <row r="62" spans="1:25" x14ac:dyDescent="0.25">
      <c r="A62" s="103" t="s">
        <v>580</v>
      </c>
      <c r="B62" s="103">
        <f>_xlfn.XLOOKUP(A62,'[2]FRV Output'!$B:$B,'[2]FRV Output'!$F:$F)</f>
        <v>1235175175</v>
      </c>
      <c r="C62" s="104">
        <v>3</v>
      </c>
      <c r="D62" s="104">
        <v>2021</v>
      </c>
      <c r="E62" s="105">
        <v>264331</v>
      </c>
      <c r="F62" s="106" t="s">
        <v>528</v>
      </c>
      <c r="G62" s="104"/>
      <c r="H62" s="104"/>
      <c r="I62" s="105"/>
      <c r="J62" s="106" t="s">
        <v>528</v>
      </c>
      <c r="K62" s="104"/>
      <c r="L62" s="104"/>
      <c r="M62" s="105"/>
      <c r="N62" s="106" t="s">
        <v>528</v>
      </c>
      <c r="O62" s="104"/>
      <c r="P62" s="104"/>
      <c r="Q62" s="105"/>
      <c r="R62" s="106" t="s">
        <v>528</v>
      </c>
      <c r="S62" s="104"/>
      <c r="T62" s="104"/>
      <c r="U62" s="105"/>
      <c r="V62" s="106" t="s">
        <v>528</v>
      </c>
      <c r="W62" s="104"/>
      <c r="X62" s="104"/>
      <c r="Y62" s="105"/>
    </row>
    <row r="63" spans="1:25" x14ac:dyDescent="0.25">
      <c r="A63" s="107" t="s">
        <v>193</v>
      </c>
      <c r="B63" s="103">
        <f>_xlfn.XLOOKUP(A63,'[2]FRV Output'!$B:$B,'[2]FRV Output'!$F:$F)</f>
        <v>1992724157</v>
      </c>
      <c r="C63" s="104">
        <v>3</v>
      </c>
      <c r="D63" s="104">
        <v>2019</v>
      </c>
      <c r="E63" s="105">
        <v>59623</v>
      </c>
      <c r="F63" s="106" t="s">
        <v>528</v>
      </c>
      <c r="G63" s="104">
        <v>3</v>
      </c>
      <c r="H63" s="104">
        <v>2020</v>
      </c>
      <c r="I63" s="105">
        <v>158322</v>
      </c>
      <c r="J63" s="106" t="s">
        <v>528</v>
      </c>
      <c r="K63" s="104"/>
      <c r="L63" s="104"/>
      <c r="M63" s="105"/>
      <c r="N63" s="106" t="s">
        <v>528</v>
      </c>
      <c r="O63" s="104"/>
      <c r="P63" s="104"/>
      <c r="Q63" s="105"/>
      <c r="R63" s="106" t="s">
        <v>528</v>
      </c>
      <c r="S63" s="104"/>
      <c r="T63" s="104"/>
      <c r="U63" s="105"/>
      <c r="V63" s="106" t="s">
        <v>528</v>
      </c>
      <c r="W63" s="104"/>
      <c r="X63" s="104"/>
      <c r="Y63" s="105"/>
    </row>
    <row r="64" spans="1:25" x14ac:dyDescent="0.25">
      <c r="A64" s="103" t="s">
        <v>194</v>
      </c>
      <c r="B64" s="103">
        <f>_xlfn.XLOOKUP(A64,'[2]FRV Output'!$B:$B,'[2]FRV Output'!$F:$F)</f>
        <v>1174608350</v>
      </c>
      <c r="C64" s="104">
        <v>3</v>
      </c>
      <c r="D64" s="104">
        <v>2016</v>
      </c>
      <c r="E64" s="105">
        <v>49323</v>
      </c>
      <c r="F64" s="106" t="s">
        <v>528</v>
      </c>
      <c r="G64" s="104">
        <v>3</v>
      </c>
      <c r="H64" s="104">
        <v>2017</v>
      </c>
      <c r="I64" s="105">
        <v>100973</v>
      </c>
      <c r="J64" s="106" t="s">
        <v>528</v>
      </c>
      <c r="K64" s="104">
        <v>3</v>
      </c>
      <c r="L64" s="104">
        <v>2020</v>
      </c>
      <c r="M64" s="105">
        <v>37032</v>
      </c>
      <c r="N64" s="106" t="s">
        <v>528</v>
      </c>
      <c r="O64" s="104"/>
      <c r="P64" s="104"/>
      <c r="Q64" s="105"/>
      <c r="R64" s="106" t="s">
        <v>528</v>
      </c>
      <c r="S64" s="104"/>
      <c r="T64" s="104"/>
      <c r="U64" s="105"/>
      <c r="V64" s="106" t="s">
        <v>528</v>
      </c>
      <c r="W64" s="104"/>
      <c r="X64" s="104"/>
      <c r="Y64" s="105"/>
    </row>
    <row r="65" spans="1:25" x14ac:dyDescent="0.25">
      <c r="A65" s="103" t="s">
        <v>581</v>
      </c>
      <c r="B65" s="103">
        <f>_xlfn.XLOOKUP(A65,'[2]FRV Output'!$B:$B,'[2]FRV Output'!$F:$F)</f>
        <v>1497283899</v>
      </c>
      <c r="C65" s="104"/>
      <c r="D65" s="104"/>
      <c r="E65" s="105"/>
      <c r="F65" s="106" t="s">
        <v>528</v>
      </c>
      <c r="G65" s="104"/>
      <c r="H65" s="104"/>
      <c r="I65" s="105"/>
      <c r="J65" s="106" t="s">
        <v>528</v>
      </c>
      <c r="K65" s="104"/>
      <c r="L65" s="104"/>
      <c r="M65" s="105"/>
      <c r="N65" s="106" t="s">
        <v>528</v>
      </c>
      <c r="O65" s="104"/>
      <c r="P65" s="104"/>
      <c r="Q65" s="105"/>
      <c r="R65" s="106" t="s">
        <v>528</v>
      </c>
      <c r="S65" s="104"/>
      <c r="T65" s="104"/>
      <c r="U65" s="105"/>
      <c r="V65" s="106" t="s">
        <v>528</v>
      </c>
      <c r="W65" s="104"/>
      <c r="X65" s="104"/>
      <c r="Y65" s="105"/>
    </row>
    <row r="66" spans="1:25" x14ac:dyDescent="0.25">
      <c r="A66" s="103" t="s">
        <v>582</v>
      </c>
      <c r="B66" s="103">
        <f>_xlfn.XLOOKUP(A66,'[2]FRV Output'!$B:$B,'[2]FRV Output'!$F:$F)</f>
        <v>1578013876</v>
      </c>
      <c r="C66" s="104">
        <v>3</v>
      </c>
      <c r="D66" s="104">
        <v>2017</v>
      </c>
      <c r="E66" s="105">
        <v>92566.11</v>
      </c>
      <c r="F66" s="106" t="s">
        <v>528</v>
      </c>
      <c r="G66" s="104"/>
      <c r="H66" s="104"/>
      <c r="I66" s="105"/>
      <c r="J66" s="106" t="s">
        <v>528</v>
      </c>
      <c r="K66" s="104"/>
      <c r="L66" s="104"/>
      <c r="M66" s="105"/>
      <c r="N66" s="106" t="s">
        <v>528</v>
      </c>
      <c r="O66" s="104"/>
      <c r="P66" s="104"/>
      <c r="Q66" s="105"/>
      <c r="R66" s="106" t="s">
        <v>528</v>
      </c>
      <c r="S66" s="104"/>
      <c r="T66" s="104"/>
      <c r="U66" s="105"/>
      <c r="V66" s="106" t="s">
        <v>528</v>
      </c>
      <c r="W66" s="104"/>
      <c r="X66" s="104"/>
      <c r="Y66" s="105"/>
    </row>
    <row r="67" spans="1:25" x14ac:dyDescent="0.25">
      <c r="A67" s="103" t="s">
        <v>197</v>
      </c>
      <c r="B67" s="103">
        <f>_xlfn.XLOOKUP(A67,'[2]FRV Output'!$B:$B,'[2]FRV Output'!$F:$F)</f>
        <v>1265441208</v>
      </c>
      <c r="C67" s="104">
        <v>3</v>
      </c>
      <c r="D67" s="104">
        <v>2016</v>
      </c>
      <c r="E67" s="105">
        <v>62830</v>
      </c>
      <c r="F67" s="106" t="s">
        <v>528</v>
      </c>
      <c r="G67" s="104">
        <v>3</v>
      </c>
      <c r="H67" s="104">
        <v>2021</v>
      </c>
      <c r="I67" s="105">
        <v>55068</v>
      </c>
      <c r="J67" s="106" t="s">
        <v>528</v>
      </c>
      <c r="K67" s="104"/>
      <c r="L67" s="104"/>
      <c r="M67" s="105"/>
      <c r="N67" s="106" t="s">
        <v>528</v>
      </c>
      <c r="O67" s="104"/>
      <c r="P67" s="104"/>
      <c r="Q67" s="105"/>
      <c r="R67" s="106" t="s">
        <v>528</v>
      </c>
      <c r="S67" s="104"/>
      <c r="T67" s="104"/>
      <c r="U67" s="105"/>
      <c r="V67" s="106" t="s">
        <v>528</v>
      </c>
      <c r="W67" s="104"/>
      <c r="X67" s="104"/>
      <c r="Y67" s="105"/>
    </row>
    <row r="68" spans="1:25" x14ac:dyDescent="0.25">
      <c r="A68" s="103" t="s">
        <v>198</v>
      </c>
      <c r="B68" s="103">
        <f>_xlfn.XLOOKUP(A68,'[2]FRV Output'!$B:$B,'[2]FRV Output'!$F:$F)</f>
        <v>1619099520</v>
      </c>
      <c r="C68" s="104">
        <v>3</v>
      </c>
      <c r="D68" s="104">
        <v>2016</v>
      </c>
      <c r="E68" s="105">
        <v>149448</v>
      </c>
      <c r="F68" s="106" t="s">
        <v>528</v>
      </c>
      <c r="G68" s="104">
        <v>3</v>
      </c>
      <c r="H68" s="104">
        <v>2017</v>
      </c>
      <c r="I68" s="105">
        <v>89303.31</v>
      </c>
      <c r="J68" s="106" t="s">
        <v>528</v>
      </c>
      <c r="K68" s="104">
        <v>3</v>
      </c>
      <c r="L68" s="104">
        <v>2020</v>
      </c>
      <c r="M68" s="105">
        <v>89664</v>
      </c>
      <c r="N68" s="106" t="s">
        <v>528</v>
      </c>
      <c r="O68" s="104"/>
      <c r="P68" s="104"/>
      <c r="Q68" s="105"/>
      <c r="R68" s="106" t="s">
        <v>528</v>
      </c>
      <c r="S68" s="104"/>
      <c r="T68" s="104"/>
      <c r="U68" s="105"/>
      <c r="V68" s="106" t="s">
        <v>528</v>
      </c>
      <c r="W68" s="104"/>
      <c r="X68" s="104"/>
      <c r="Y68" s="105"/>
    </row>
    <row r="69" spans="1:25" x14ac:dyDescent="0.25">
      <c r="A69" s="107" t="s">
        <v>199</v>
      </c>
      <c r="B69" s="103">
        <f>_xlfn.XLOOKUP(A69,'[2]FRV Output'!$B:$B,'[2]FRV Output'!$F:$F)</f>
        <v>1245350289</v>
      </c>
      <c r="C69" s="104">
        <v>3</v>
      </c>
      <c r="D69" s="104">
        <v>2016</v>
      </c>
      <c r="E69" s="105">
        <v>101737</v>
      </c>
      <c r="F69" s="106" t="s">
        <v>528</v>
      </c>
      <c r="G69" s="104">
        <v>3</v>
      </c>
      <c r="H69" s="104">
        <v>2019</v>
      </c>
      <c r="I69" s="105">
        <v>284541</v>
      </c>
      <c r="J69" s="106" t="s">
        <v>528</v>
      </c>
      <c r="K69" s="104">
        <v>3</v>
      </c>
      <c r="L69" s="104">
        <v>2021</v>
      </c>
      <c r="M69" s="105">
        <v>62203</v>
      </c>
      <c r="N69" s="106" t="s">
        <v>528</v>
      </c>
      <c r="O69" s="104"/>
      <c r="P69" s="104"/>
      <c r="Q69" s="105"/>
      <c r="R69" s="106" t="s">
        <v>528</v>
      </c>
      <c r="S69" s="104"/>
      <c r="T69" s="104"/>
      <c r="U69" s="105"/>
      <c r="V69" s="106" t="s">
        <v>528</v>
      </c>
      <c r="W69" s="104"/>
      <c r="X69" s="104"/>
      <c r="Y69" s="105"/>
    </row>
    <row r="70" spans="1:25" x14ac:dyDescent="0.25">
      <c r="A70" s="107" t="s">
        <v>200</v>
      </c>
      <c r="B70" s="103">
        <f>_xlfn.XLOOKUP(A70,'[2]FRV Output'!$B:$B,'[2]FRV Output'!$F:$F)</f>
        <v>1346360328</v>
      </c>
      <c r="C70" s="104">
        <v>3</v>
      </c>
      <c r="D70" s="104">
        <v>2016</v>
      </c>
      <c r="E70" s="105">
        <v>321617</v>
      </c>
      <c r="F70" s="106" t="s">
        <v>528</v>
      </c>
      <c r="G70" s="104">
        <v>3</v>
      </c>
      <c r="H70" s="104">
        <v>2019</v>
      </c>
      <c r="I70" s="105">
        <v>90451</v>
      </c>
      <c r="J70" s="106" t="s">
        <v>528</v>
      </c>
      <c r="K70" s="104">
        <v>3</v>
      </c>
      <c r="L70" s="104">
        <v>2020</v>
      </c>
      <c r="M70" s="105">
        <v>122288</v>
      </c>
      <c r="N70" s="106" t="s">
        <v>528</v>
      </c>
      <c r="O70" s="104"/>
      <c r="P70" s="104"/>
      <c r="Q70" s="105"/>
      <c r="R70" s="106" t="s">
        <v>528</v>
      </c>
      <c r="S70" s="104"/>
      <c r="T70" s="104"/>
      <c r="U70" s="105"/>
      <c r="V70" s="106" t="s">
        <v>528</v>
      </c>
      <c r="W70" s="104"/>
      <c r="X70" s="104"/>
      <c r="Y70" s="105"/>
    </row>
    <row r="71" spans="1:25" x14ac:dyDescent="0.25">
      <c r="A71" s="107" t="s">
        <v>201</v>
      </c>
      <c r="B71" s="103">
        <f>_xlfn.XLOOKUP(A71,'[2]FRV Output'!$B:$B,'[2]FRV Output'!$F:$F)</f>
        <v>1104946060</v>
      </c>
      <c r="C71" s="104">
        <v>3</v>
      </c>
      <c r="D71" s="104">
        <v>2016</v>
      </c>
      <c r="E71" s="105">
        <v>229322</v>
      </c>
      <c r="F71" s="106" t="s">
        <v>528</v>
      </c>
      <c r="G71" s="104">
        <v>3</v>
      </c>
      <c r="H71" s="104">
        <v>2017</v>
      </c>
      <c r="I71" s="105">
        <v>349104.65</v>
      </c>
      <c r="J71" s="106" t="s">
        <v>528</v>
      </c>
      <c r="K71" s="104">
        <v>3</v>
      </c>
      <c r="L71" s="104">
        <v>2019</v>
      </c>
      <c r="M71" s="105">
        <v>69841</v>
      </c>
      <c r="N71" s="106" t="s">
        <v>528</v>
      </c>
      <c r="O71" s="104">
        <v>3</v>
      </c>
      <c r="P71" s="104">
        <v>2021</v>
      </c>
      <c r="Q71" s="105">
        <v>279068</v>
      </c>
      <c r="R71" s="106" t="s">
        <v>528</v>
      </c>
      <c r="S71" s="104"/>
      <c r="T71" s="104"/>
      <c r="U71" s="105"/>
      <c r="V71" s="106" t="s">
        <v>528</v>
      </c>
      <c r="W71" s="104"/>
      <c r="X71" s="104"/>
      <c r="Y71" s="105"/>
    </row>
    <row r="72" spans="1:25" x14ac:dyDescent="0.25">
      <c r="A72" s="107" t="s">
        <v>202</v>
      </c>
      <c r="B72" s="103">
        <f>_xlfn.XLOOKUP(A72,'[2]FRV Output'!$B:$B,'[2]FRV Output'!$F:$F)</f>
        <v>1861513715</v>
      </c>
      <c r="C72" s="104">
        <v>3</v>
      </c>
      <c r="D72" s="104">
        <v>2016</v>
      </c>
      <c r="E72" s="105">
        <v>62568</v>
      </c>
      <c r="F72" s="106" t="s">
        <v>528</v>
      </c>
      <c r="G72" s="104">
        <v>3</v>
      </c>
      <c r="H72" s="104">
        <v>2019</v>
      </c>
      <c r="I72" s="105">
        <v>45941</v>
      </c>
      <c r="J72" s="106" t="s">
        <v>528</v>
      </c>
      <c r="K72" s="104">
        <v>3</v>
      </c>
      <c r="L72" s="104">
        <v>2020</v>
      </c>
      <c r="M72" s="105">
        <v>74488</v>
      </c>
      <c r="N72" s="106" t="s">
        <v>528</v>
      </c>
      <c r="O72" s="104">
        <v>3</v>
      </c>
      <c r="P72" s="104">
        <v>2021</v>
      </c>
      <c r="Q72" s="105">
        <v>491398</v>
      </c>
      <c r="R72" s="106" t="s">
        <v>528</v>
      </c>
      <c r="S72" s="104"/>
      <c r="T72" s="104"/>
      <c r="U72" s="105"/>
      <c r="V72" s="106" t="s">
        <v>528</v>
      </c>
      <c r="W72" s="104"/>
      <c r="X72" s="104"/>
      <c r="Y72" s="105"/>
    </row>
    <row r="73" spans="1:25" x14ac:dyDescent="0.25">
      <c r="A73" s="103" t="s">
        <v>203</v>
      </c>
      <c r="B73" s="103">
        <f>_xlfn.XLOOKUP(A73,'[2]FRV Output'!$B:$B,'[2]FRV Output'!$F:$F)</f>
        <v>1730209677</v>
      </c>
      <c r="C73" s="104">
        <v>3</v>
      </c>
      <c r="D73" s="104">
        <v>2016</v>
      </c>
      <c r="E73" s="105">
        <v>192571</v>
      </c>
      <c r="F73" s="106" t="s">
        <v>528</v>
      </c>
      <c r="G73" s="108">
        <v>3</v>
      </c>
      <c r="H73" s="108">
        <v>2020</v>
      </c>
      <c r="I73" s="109">
        <v>316695</v>
      </c>
      <c r="J73" s="106" t="s">
        <v>528</v>
      </c>
      <c r="K73" s="104"/>
      <c r="L73" s="104"/>
      <c r="M73" s="105"/>
      <c r="N73" s="106" t="s">
        <v>528</v>
      </c>
      <c r="O73" s="104"/>
      <c r="P73" s="104"/>
      <c r="Q73" s="105"/>
      <c r="R73" s="106" t="s">
        <v>528</v>
      </c>
      <c r="S73" s="104"/>
      <c r="T73" s="104"/>
      <c r="U73" s="105"/>
      <c r="V73" s="106" t="s">
        <v>528</v>
      </c>
      <c r="W73" s="104"/>
      <c r="X73" s="104"/>
      <c r="Y73" s="105"/>
    </row>
    <row r="74" spans="1:25" x14ac:dyDescent="0.25">
      <c r="A74" s="103" t="s">
        <v>204</v>
      </c>
      <c r="B74" s="103">
        <f>_xlfn.XLOOKUP(A74,'[2]FRV Output'!$B:$B,'[2]FRV Output'!$F:$F)</f>
        <v>1710008669</v>
      </c>
      <c r="C74" s="104">
        <v>3</v>
      </c>
      <c r="D74" s="104">
        <v>2016</v>
      </c>
      <c r="E74" s="105">
        <v>111991</v>
      </c>
      <c r="F74" s="106" t="s">
        <v>528</v>
      </c>
      <c r="G74" s="104"/>
      <c r="H74" s="104"/>
      <c r="I74" s="105"/>
      <c r="J74" s="106" t="s">
        <v>528</v>
      </c>
      <c r="K74" s="104"/>
      <c r="L74" s="104"/>
      <c r="M74" s="105"/>
      <c r="N74" s="106" t="s">
        <v>528</v>
      </c>
      <c r="O74" s="104"/>
      <c r="P74" s="104"/>
      <c r="Q74" s="105"/>
      <c r="R74" s="106" t="s">
        <v>528</v>
      </c>
      <c r="S74" s="104"/>
      <c r="T74" s="104"/>
      <c r="U74" s="105"/>
      <c r="V74" s="106" t="s">
        <v>528</v>
      </c>
      <c r="W74" s="104"/>
      <c r="X74" s="104"/>
      <c r="Y74" s="105"/>
    </row>
    <row r="75" spans="1:25" x14ac:dyDescent="0.25">
      <c r="A75" s="107" t="s">
        <v>205</v>
      </c>
      <c r="B75" s="103">
        <f>_xlfn.XLOOKUP(A75,'[2]FRV Output'!$B:$B,'[2]FRV Output'!$F:$F)</f>
        <v>1609996552</v>
      </c>
      <c r="C75" s="104">
        <v>3</v>
      </c>
      <c r="D75" s="104">
        <v>2016</v>
      </c>
      <c r="E75" s="105">
        <v>87523</v>
      </c>
      <c r="F75" s="106" t="s">
        <v>528</v>
      </c>
      <c r="G75" s="104">
        <v>3</v>
      </c>
      <c r="H75" s="104">
        <v>2019</v>
      </c>
      <c r="I75" s="105">
        <v>2097573.21</v>
      </c>
      <c r="J75" s="106" t="s">
        <v>528</v>
      </c>
      <c r="K75" s="104">
        <v>3</v>
      </c>
      <c r="L75" s="104">
        <v>2020</v>
      </c>
      <c r="M75" s="105">
        <v>1076206</v>
      </c>
      <c r="N75" s="106" t="s">
        <v>528</v>
      </c>
      <c r="O75" s="104"/>
      <c r="P75" s="104"/>
      <c r="Q75" s="105"/>
      <c r="R75" s="106" t="s">
        <v>528</v>
      </c>
      <c r="S75" s="104"/>
      <c r="T75" s="104"/>
      <c r="U75" s="105"/>
      <c r="V75" s="106" t="s">
        <v>528</v>
      </c>
      <c r="W75" s="104"/>
      <c r="X75" s="104"/>
      <c r="Y75" s="105"/>
    </row>
    <row r="76" spans="1:25" x14ac:dyDescent="0.25">
      <c r="A76" s="103" t="s">
        <v>206</v>
      </c>
      <c r="B76" s="103">
        <f>_xlfn.XLOOKUP(A76,'[2]FRV Output'!$B:$B,'[2]FRV Output'!$F:$F)</f>
        <v>1629198577</v>
      </c>
      <c r="C76" s="104">
        <v>3</v>
      </c>
      <c r="D76" s="104">
        <v>2016</v>
      </c>
      <c r="E76" s="105">
        <v>184624</v>
      </c>
      <c r="F76" s="106" t="s">
        <v>528</v>
      </c>
      <c r="G76" s="104">
        <v>3</v>
      </c>
      <c r="H76" s="104">
        <v>2017</v>
      </c>
      <c r="I76" s="105">
        <v>184147.05</v>
      </c>
      <c r="J76" s="106" t="s">
        <v>528</v>
      </c>
      <c r="K76" s="104">
        <v>3</v>
      </c>
      <c r="L76" s="104">
        <v>2020</v>
      </c>
      <c r="M76" s="105">
        <v>392684</v>
      </c>
      <c r="N76" s="106" t="s">
        <v>528</v>
      </c>
      <c r="O76" s="104">
        <v>3</v>
      </c>
      <c r="P76" s="104">
        <v>2021</v>
      </c>
      <c r="Q76" s="105">
        <v>83380</v>
      </c>
      <c r="R76" s="106" t="s">
        <v>528</v>
      </c>
      <c r="S76" s="104"/>
      <c r="T76" s="104"/>
      <c r="U76" s="105"/>
      <c r="V76" s="106" t="s">
        <v>528</v>
      </c>
      <c r="W76" s="104"/>
      <c r="X76" s="104"/>
      <c r="Y76" s="105"/>
    </row>
    <row r="77" spans="1:25" x14ac:dyDescent="0.25">
      <c r="A77" s="103" t="s">
        <v>207</v>
      </c>
      <c r="B77" s="103">
        <f>_xlfn.XLOOKUP(A77,'[2]FRV Output'!$B:$B,'[2]FRV Output'!$F:$F)</f>
        <v>1639299571</v>
      </c>
      <c r="C77" s="104">
        <v>3</v>
      </c>
      <c r="D77" s="104">
        <v>2016</v>
      </c>
      <c r="E77" s="105">
        <v>146870</v>
      </c>
      <c r="F77" s="106" t="s">
        <v>528</v>
      </c>
      <c r="G77" s="104">
        <v>3</v>
      </c>
      <c r="H77" s="104">
        <v>2017</v>
      </c>
      <c r="I77" s="105">
        <v>82593.22</v>
      </c>
      <c r="J77" s="106" t="s">
        <v>528</v>
      </c>
      <c r="K77" s="104">
        <v>3</v>
      </c>
      <c r="L77" s="104">
        <v>2020</v>
      </c>
      <c r="M77" s="105">
        <v>227234</v>
      </c>
      <c r="N77" s="106" t="s">
        <v>528</v>
      </c>
      <c r="O77" s="104">
        <v>3</v>
      </c>
      <c r="P77" s="104">
        <v>2021</v>
      </c>
      <c r="Q77" s="105">
        <v>228983</v>
      </c>
      <c r="R77" s="106" t="s">
        <v>528</v>
      </c>
      <c r="S77" s="104"/>
      <c r="T77" s="104"/>
      <c r="U77" s="105"/>
      <c r="V77" s="106" t="s">
        <v>528</v>
      </c>
      <c r="W77" s="104"/>
      <c r="X77" s="104"/>
      <c r="Y77" s="105"/>
    </row>
    <row r="78" spans="1:25" x14ac:dyDescent="0.25">
      <c r="A78" s="103" t="s">
        <v>208</v>
      </c>
      <c r="B78" s="103">
        <f>_xlfn.XLOOKUP(A78,'[2]FRV Output'!$B:$B,'[2]FRV Output'!$F:$F)</f>
        <v>1831219781</v>
      </c>
      <c r="C78" s="104">
        <v>3</v>
      </c>
      <c r="D78" s="104">
        <v>2016</v>
      </c>
      <c r="E78" s="105">
        <v>67121</v>
      </c>
      <c r="F78" s="106" t="s">
        <v>528</v>
      </c>
      <c r="G78" s="104">
        <v>3</v>
      </c>
      <c r="H78" s="104">
        <v>2017</v>
      </c>
      <c r="I78" s="105">
        <v>60392.480000000003</v>
      </c>
      <c r="J78" s="106" t="s">
        <v>528</v>
      </c>
      <c r="K78" s="104">
        <v>3</v>
      </c>
      <c r="L78" s="104">
        <v>2020</v>
      </c>
      <c r="M78" s="105">
        <v>50472</v>
      </c>
      <c r="N78" s="106" t="s">
        <v>528</v>
      </c>
      <c r="O78" s="104">
        <v>3</v>
      </c>
      <c r="P78" s="104">
        <v>2021</v>
      </c>
      <c r="Q78" s="105">
        <v>213346</v>
      </c>
      <c r="R78" s="106" t="s">
        <v>528</v>
      </c>
      <c r="S78" s="104"/>
      <c r="T78" s="104"/>
      <c r="U78" s="105"/>
      <c r="V78" s="106" t="s">
        <v>528</v>
      </c>
      <c r="W78" s="104"/>
      <c r="X78" s="104"/>
      <c r="Y78" s="105"/>
    </row>
    <row r="79" spans="1:25" x14ac:dyDescent="0.25">
      <c r="A79" s="103" t="s">
        <v>209</v>
      </c>
      <c r="B79" s="103">
        <f>_xlfn.XLOOKUP(A79,'[2]FRV Output'!$B:$B,'[2]FRV Output'!$F:$F)</f>
        <v>1518088830</v>
      </c>
      <c r="C79" s="104">
        <v>3</v>
      </c>
      <c r="D79" s="104">
        <v>2016</v>
      </c>
      <c r="E79" s="105">
        <v>195605</v>
      </c>
      <c r="F79" s="106" t="s">
        <v>528</v>
      </c>
      <c r="G79" s="104">
        <v>3</v>
      </c>
      <c r="H79" s="104">
        <v>2017</v>
      </c>
      <c r="I79" s="105">
        <v>174886.68</v>
      </c>
      <c r="J79" s="106" t="s">
        <v>528</v>
      </c>
      <c r="K79" s="104">
        <v>3</v>
      </c>
      <c r="L79" s="104">
        <v>2020</v>
      </c>
      <c r="M79" s="105">
        <v>81413</v>
      </c>
      <c r="N79" s="106" t="s">
        <v>528</v>
      </c>
      <c r="O79" s="104"/>
      <c r="P79" s="104"/>
      <c r="Q79" s="105"/>
      <c r="R79" s="106" t="s">
        <v>528</v>
      </c>
      <c r="S79" s="104"/>
      <c r="T79" s="104"/>
      <c r="U79" s="105"/>
      <c r="V79" s="106" t="s">
        <v>528</v>
      </c>
      <c r="W79" s="104"/>
      <c r="X79" s="104"/>
      <c r="Y79" s="105"/>
    </row>
    <row r="80" spans="1:25" x14ac:dyDescent="0.25">
      <c r="A80" s="103" t="s">
        <v>210</v>
      </c>
      <c r="B80" s="103">
        <f>_xlfn.XLOOKUP(A80,'[2]FRV Output'!$B:$B,'[2]FRV Output'!$F:$F)</f>
        <v>1740300607</v>
      </c>
      <c r="C80" s="104">
        <v>3</v>
      </c>
      <c r="D80" s="104">
        <v>2016</v>
      </c>
      <c r="E80" s="105">
        <v>358183</v>
      </c>
      <c r="F80" s="106" t="s">
        <v>528</v>
      </c>
      <c r="G80" s="104">
        <v>3</v>
      </c>
      <c r="H80" s="104">
        <v>2017</v>
      </c>
      <c r="I80" s="105">
        <v>186325.56</v>
      </c>
      <c r="J80" s="106" t="s">
        <v>528</v>
      </c>
      <c r="K80" s="104">
        <v>3</v>
      </c>
      <c r="L80" s="104">
        <v>2021</v>
      </c>
      <c r="M80" s="105">
        <v>57968</v>
      </c>
      <c r="N80" s="106" t="s">
        <v>528</v>
      </c>
      <c r="O80" s="104"/>
      <c r="P80" s="104"/>
      <c r="Q80" s="105"/>
      <c r="R80" s="106" t="s">
        <v>528</v>
      </c>
      <c r="S80" s="104"/>
      <c r="T80" s="104"/>
      <c r="U80" s="105"/>
      <c r="V80" s="106" t="s">
        <v>528</v>
      </c>
      <c r="W80" s="104"/>
      <c r="X80" s="104"/>
      <c r="Y80" s="105"/>
    </row>
    <row r="81" spans="1:25" x14ac:dyDescent="0.25">
      <c r="A81" s="103" t="s">
        <v>211</v>
      </c>
      <c r="B81" s="103">
        <f>_xlfn.XLOOKUP(A81,'[2]FRV Output'!$B:$B,'[2]FRV Output'!$F:$F)</f>
        <v>1134249006</v>
      </c>
      <c r="C81" s="104">
        <v>3</v>
      </c>
      <c r="D81" s="104">
        <v>2016</v>
      </c>
      <c r="E81" s="105">
        <v>81712</v>
      </c>
      <c r="F81" s="106" t="s">
        <v>528</v>
      </c>
      <c r="G81" s="104">
        <v>3</v>
      </c>
      <c r="H81" s="104">
        <v>2017</v>
      </c>
      <c r="I81" s="105">
        <v>56256.41</v>
      </c>
      <c r="J81" s="106" t="s">
        <v>528</v>
      </c>
      <c r="K81" s="104">
        <v>3</v>
      </c>
      <c r="L81" s="104">
        <v>2020</v>
      </c>
      <c r="M81" s="105">
        <v>95507</v>
      </c>
      <c r="N81" s="106" t="s">
        <v>528</v>
      </c>
      <c r="O81" s="104">
        <v>3</v>
      </c>
      <c r="P81" s="104">
        <v>2021</v>
      </c>
      <c r="Q81" s="105">
        <v>511980</v>
      </c>
      <c r="R81" s="106" t="s">
        <v>528</v>
      </c>
      <c r="S81" s="104"/>
      <c r="T81" s="104"/>
      <c r="U81" s="105"/>
      <c r="V81" s="106" t="s">
        <v>528</v>
      </c>
      <c r="W81" s="104"/>
      <c r="X81" s="104"/>
      <c r="Y81" s="105"/>
    </row>
    <row r="82" spans="1:25" x14ac:dyDescent="0.25">
      <c r="A82" s="103" t="s">
        <v>212</v>
      </c>
      <c r="B82" s="103">
        <f>_xlfn.XLOOKUP(A82,'[2]FRV Output'!$B:$B,'[2]FRV Output'!$F:$F)</f>
        <v>1740301050</v>
      </c>
      <c r="C82" s="104">
        <v>3</v>
      </c>
      <c r="D82" s="104">
        <v>2016</v>
      </c>
      <c r="E82" s="105">
        <v>59968</v>
      </c>
      <c r="F82" s="106" t="s">
        <v>528</v>
      </c>
      <c r="G82" s="104">
        <v>3</v>
      </c>
      <c r="H82" s="104">
        <v>2017</v>
      </c>
      <c r="I82" s="105">
        <v>73256.72</v>
      </c>
      <c r="J82" s="106" t="s">
        <v>528</v>
      </c>
      <c r="K82" s="104">
        <v>3</v>
      </c>
      <c r="L82" s="104">
        <v>2020</v>
      </c>
      <c r="M82" s="105">
        <v>143433</v>
      </c>
      <c r="N82" s="106" t="s">
        <v>528</v>
      </c>
      <c r="O82" s="104">
        <v>3</v>
      </c>
      <c r="P82" s="104">
        <v>2021</v>
      </c>
      <c r="Q82" s="105">
        <v>75381</v>
      </c>
      <c r="R82" s="106" t="s">
        <v>528</v>
      </c>
      <c r="S82" s="104"/>
      <c r="T82" s="104"/>
      <c r="U82" s="105"/>
      <c r="V82" s="106" t="s">
        <v>528</v>
      </c>
      <c r="W82" s="104"/>
      <c r="X82" s="104"/>
      <c r="Y82" s="105"/>
    </row>
    <row r="83" spans="1:25" x14ac:dyDescent="0.25">
      <c r="A83" s="103" t="s">
        <v>213</v>
      </c>
      <c r="B83" s="103">
        <f>_xlfn.XLOOKUP(A83,'[2]FRV Output'!$B:$B,'[2]FRV Output'!$F:$F)</f>
        <v>1326169285</v>
      </c>
      <c r="C83" s="104">
        <v>3</v>
      </c>
      <c r="D83" s="104">
        <v>2016</v>
      </c>
      <c r="E83" s="105">
        <v>102495</v>
      </c>
      <c r="F83" s="106" t="s">
        <v>528</v>
      </c>
      <c r="G83" s="104"/>
      <c r="H83" s="104"/>
      <c r="I83" s="105"/>
      <c r="J83" s="106" t="s">
        <v>528</v>
      </c>
      <c r="K83" s="104"/>
      <c r="L83" s="104"/>
      <c r="M83" s="105"/>
      <c r="N83" s="106" t="s">
        <v>528</v>
      </c>
      <c r="O83" s="104"/>
      <c r="P83" s="104"/>
      <c r="Q83" s="105"/>
      <c r="R83" s="106" t="s">
        <v>528</v>
      </c>
      <c r="S83" s="104"/>
      <c r="T83" s="104"/>
      <c r="U83" s="105"/>
      <c r="V83" s="106" t="s">
        <v>528</v>
      </c>
      <c r="W83" s="104"/>
      <c r="X83" s="104"/>
      <c r="Y83" s="105"/>
    </row>
    <row r="84" spans="1:25" x14ac:dyDescent="0.25">
      <c r="A84" s="107" t="s">
        <v>214</v>
      </c>
      <c r="B84" s="103">
        <f>_xlfn.XLOOKUP(A84,'[2]FRV Output'!$B:$B,'[2]FRV Output'!$F:$F)</f>
        <v>1578683439</v>
      </c>
      <c r="C84" s="104">
        <v>3</v>
      </c>
      <c r="D84" s="104">
        <v>2016</v>
      </c>
      <c r="E84" s="105">
        <v>98658</v>
      </c>
      <c r="F84" s="106" t="s">
        <v>528</v>
      </c>
      <c r="G84" s="104">
        <v>3</v>
      </c>
      <c r="H84" s="104">
        <v>2017</v>
      </c>
      <c r="I84" s="105">
        <v>83773.03</v>
      </c>
      <c r="J84" s="106" t="s">
        <v>528</v>
      </c>
      <c r="K84" s="104">
        <v>3</v>
      </c>
      <c r="L84" s="104">
        <v>2019</v>
      </c>
      <c r="M84" s="105">
        <v>113005</v>
      </c>
      <c r="N84" s="106" t="s">
        <v>528</v>
      </c>
      <c r="O84" s="104">
        <v>3</v>
      </c>
      <c r="P84" s="104">
        <v>2020</v>
      </c>
      <c r="Q84" s="105">
        <v>172971</v>
      </c>
      <c r="R84" s="106" t="s">
        <v>528</v>
      </c>
      <c r="S84" s="104">
        <v>3</v>
      </c>
      <c r="T84" s="104">
        <v>2021</v>
      </c>
      <c r="U84" s="105">
        <v>103049</v>
      </c>
      <c r="V84" s="106" t="s">
        <v>528</v>
      </c>
      <c r="W84" s="104"/>
      <c r="X84" s="104"/>
      <c r="Y84" s="105"/>
    </row>
    <row r="85" spans="1:25" x14ac:dyDescent="0.25">
      <c r="A85" s="103" t="s">
        <v>215</v>
      </c>
      <c r="B85" s="103">
        <f>_xlfn.XLOOKUP(A85,'[2]FRV Output'!$B:$B,'[2]FRV Output'!$F:$F)</f>
        <v>1235236878</v>
      </c>
      <c r="C85" s="104">
        <v>3</v>
      </c>
      <c r="D85" s="104">
        <v>2016</v>
      </c>
      <c r="E85" s="105">
        <v>60216</v>
      </c>
      <c r="F85" s="106" t="s">
        <v>528</v>
      </c>
      <c r="G85" s="104"/>
      <c r="H85" s="104"/>
      <c r="I85" s="105"/>
      <c r="J85" s="106" t="s">
        <v>528</v>
      </c>
      <c r="K85" s="104"/>
      <c r="L85" s="104"/>
      <c r="M85" s="105"/>
      <c r="N85" s="106" t="s">
        <v>528</v>
      </c>
      <c r="O85" s="104"/>
      <c r="P85" s="104"/>
      <c r="Q85" s="105"/>
      <c r="R85" s="106" t="s">
        <v>528</v>
      </c>
      <c r="S85" s="104"/>
      <c r="T85" s="104"/>
      <c r="U85" s="105"/>
      <c r="V85" s="106" t="s">
        <v>528</v>
      </c>
      <c r="W85" s="104"/>
      <c r="X85" s="104"/>
      <c r="Y85" s="105"/>
    </row>
    <row r="86" spans="1:25" x14ac:dyDescent="0.25">
      <c r="A86" s="103" t="s">
        <v>216</v>
      </c>
      <c r="B86" s="103">
        <f>_xlfn.XLOOKUP(A86,'[2]FRV Output'!$B:$B,'[2]FRV Output'!$F:$F)</f>
        <v>1295723377</v>
      </c>
      <c r="C86" s="104"/>
      <c r="D86" s="104"/>
      <c r="E86" s="105"/>
      <c r="F86" s="106" t="s">
        <v>528</v>
      </c>
      <c r="G86" s="104"/>
      <c r="H86" s="104"/>
      <c r="I86" s="105"/>
      <c r="J86" s="106" t="s">
        <v>528</v>
      </c>
      <c r="K86" s="104"/>
      <c r="L86" s="104"/>
      <c r="M86" s="105"/>
      <c r="N86" s="106" t="s">
        <v>528</v>
      </c>
      <c r="O86" s="104"/>
      <c r="P86" s="104"/>
      <c r="Q86" s="105"/>
      <c r="R86" s="106" t="s">
        <v>528</v>
      </c>
      <c r="S86" s="104"/>
      <c r="T86" s="104"/>
      <c r="U86" s="105"/>
      <c r="V86" s="106" t="s">
        <v>528</v>
      </c>
      <c r="W86" s="104"/>
      <c r="X86" s="104"/>
      <c r="Y86" s="105"/>
    </row>
    <row r="87" spans="1:25" x14ac:dyDescent="0.25">
      <c r="A87" s="103" t="s">
        <v>217</v>
      </c>
      <c r="B87" s="103">
        <f>_xlfn.XLOOKUP(A87,'[2]FRV Output'!$B:$B,'[2]FRV Output'!$F:$F)</f>
        <v>1952446510</v>
      </c>
      <c r="C87" s="104">
        <v>3</v>
      </c>
      <c r="D87" s="104">
        <v>2020</v>
      </c>
      <c r="E87" s="105">
        <v>595264</v>
      </c>
      <c r="F87" s="106" t="s">
        <v>528</v>
      </c>
      <c r="G87" s="104"/>
      <c r="H87" s="104"/>
      <c r="I87" s="105"/>
      <c r="J87" s="106" t="s">
        <v>528</v>
      </c>
      <c r="K87" s="104"/>
      <c r="L87" s="104"/>
      <c r="M87" s="105"/>
      <c r="N87" s="106" t="s">
        <v>528</v>
      </c>
      <c r="O87" s="104"/>
      <c r="P87" s="104"/>
      <c r="Q87" s="105"/>
      <c r="R87" s="106" t="s">
        <v>528</v>
      </c>
      <c r="S87" s="104"/>
      <c r="T87" s="104"/>
      <c r="U87" s="105"/>
      <c r="V87" s="106" t="s">
        <v>528</v>
      </c>
      <c r="W87" s="104"/>
      <c r="X87" s="104"/>
      <c r="Y87" s="105"/>
    </row>
    <row r="88" spans="1:25" x14ac:dyDescent="0.25">
      <c r="A88" s="107" t="s">
        <v>583</v>
      </c>
      <c r="B88" s="103">
        <f>_xlfn.XLOOKUP(A88,'[2]FRV Output'!$B:$B,'[2]FRV Output'!$F:$F)</f>
        <v>1558872333</v>
      </c>
      <c r="C88" s="104">
        <v>3</v>
      </c>
      <c r="D88" s="104">
        <v>2019</v>
      </c>
      <c r="E88" s="105">
        <v>63998</v>
      </c>
      <c r="F88" s="113" t="s">
        <v>528</v>
      </c>
      <c r="G88" s="104">
        <v>3</v>
      </c>
      <c r="H88" s="104">
        <v>2021</v>
      </c>
      <c r="I88" s="105">
        <v>64660</v>
      </c>
      <c r="J88" s="113" t="s">
        <v>528</v>
      </c>
      <c r="K88" s="104"/>
      <c r="L88" s="104"/>
      <c r="M88" s="105"/>
      <c r="N88" s="113" t="s">
        <v>528</v>
      </c>
      <c r="O88" s="104"/>
      <c r="P88" s="104"/>
      <c r="Q88" s="105"/>
      <c r="R88" s="113" t="s">
        <v>528</v>
      </c>
      <c r="S88" s="104"/>
      <c r="T88" s="104"/>
      <c r="U88" s="105"/>
      <c r="V88" s="106" t="s">
        <v>528</v>
      </c>
      <c r="W88" s="104"/>
      <c r="X88" s="104"/>
      <c r="Y88" s="105"/>
    </row>
    <row r="89" spans="1:25" x14ac:dyDescent="0.25">
      <c r="A89" s="107" t="s">
        <v>584</v>
      </c>
      <c r="B89" s="103">
        <f>_xlfn.XLOOKUP(A89,'[2]FRV Output'!$B:$B,'[2]FRV Output'!$F:$F)</f>
        <v>1306372230</v>
      </c>
      <c r="C89" s="104"/>
      <c r="D89" s="104"/>
      <c r="E89" s="105"/>
      <c r="F89" s="106" t="s">
        <v>528</v>
      </c>
      <c r="G89" s="104"/>
      <c r="H89" s="104"/>
      <c r="I89" s="105"/>
      <c r="J89" s="106" t="s">
        <v>528</v>
      </c>
      <c r="K89" s="104"/>
      <c r="L89" s="104"/>
      <c r="M89" s="105"/>
      <c r="N89" s="106" t="s">
        <v>528</v>
      </c>
      <c r="O89" s="104"/>
      <c r="P89" s="104"/>
      <c r="Q89" s="105"/>
      <c r="R89" s="106" t="s">
        <v>528</v>
      </c>
      <c r="S89" s="104"/>
      <c r="T89" s="104"/>
      <c r="U89" s="105"/>
      <c r="V89" s="106" t="s">
        <v>528</v>
      </c>
      <c r="W89" s="104"/>
      <c r="X89" s="104"/>
      <c r="Y89" s="105"/>
    </row>
    <row r="90" spans="1:25" x14ac:dyDescent="0.25">
      <c r="A90" s="107" t="s">
        <v>585</v>
      </c>
      <c r="B90" s="103">
        <f>_xlfn.XLOOKUP(A90,'[2]FRV Output'!$B:$B,'[2]FRV Output'!$F:$F)</f>
        <v>1255385720</v>
      </c>
      <c r="C90" s="104">
        <v>3</v>
      </c>
      <c r="D90" s="104">
        <v>2016</v>
      </c>
      <c r="E90" s="105">
        <v>459359</v>
      </c>
      <c r="F90" s="106" t="s">
        <v>528</v>
      </c>
      <c r="G90" s="104">
        <v>3</v>
      </c>
      <c r="H90" s="104">
        <v>2019</v>
      </c>
      <c r="I90" s="105">
        <v>148877</v>
      </c>
      <c r="J90" s="106" t="s">
        <v>528</v>
      </c>
      <c r="K90" s="104">
        <v>3</v>
      </c>
      <c r="L90" s="104">
        <v>2020</v>
      </c>
      <c r="M90" s="105">
        <v>72944</v>
      </c>
      <c r="N90" s="106" t="s">
        <v>528</v>
      </c>
      <c r="O90" s="104">
        <v>3</v>
      </c>
      <c r="P90" s="104">
        <v>2021</v>
      </c>
      <c r="Q90" s="105">
        <v>390310</v>
      </c>
      <c r="R90" s="106" t="s">
        <v>528</v>
      </c>
      <c r="S90" s="104"/>
      <c r="T90" s="104"/>
      <c r="U90" s="105"/>
      <c r="V90" s="106" t="s">
        <v>528</v>
      </c>
      <c r="W90" s="104"/>
      <c r="X90" s="104"/>
      <c r="Y90" s="105"/>
    </row>
    <row r="91" spans="1:25" x14ac:dyDescent="0.25">
      <c r="A91" s="103" t="s">
        <v>221</v>
      </c>
      <c r="B91" s="103">
        <f>_xlfn.XLOOKUP(A91,'[2]FRV Output'!$B:$B,'[2]FRV Output'!$F:$F)</f>
        <v>1336196526</v>
      </c>
      <c r="C91" s="104">
        <v>3</v>
      </c>
      <c r="D91" s="104">
        <v>2016</v>
      </c>
      <c r="E91" s="105">
        <v>34270</v>
      </c>
      <c r="F91" s="106" t="s">
        <v>528</v>
      </c>
      <c r="G91" s="104">
        <v>3</v>
      </c>
      <c r="H91" s="104">
        <v>2017</v>
      </c>
      <c r="I91" s="105">
        <v>134169</v>
      </c>
      <c r="J91" s="106" t="s">
        <v>528</v>
      </c>
      <c r="K91" s="104">
        <v>3</v>
      </c>
      <c r="L91" s="104">
        <v>2018</v>
      </c>
      <c r="M91" s="105">
        <v>36294</v>
      </c>
      <c r="N91" s="106" t="s">
        <v>528</v>
      </c>
      <c r="O91" s="104">
        <v>3</v>
      </c>
      <c r="P91" s="104">
        <v>2021</v>
      </c>
      <c r="Q91" s="105">
        <v>62022</v>
      </c>
      <c r="R91" s="106" t="s">
        <v>528</v>
      </c>
      <c r="S91" s="104"/>
      <c r="T91" s="104"/>
      <c r="U91" s="105"/>
      <c r="V91" s="106" t="s">
        <v>528</v>
      </c>
      <c r="W91" s="104"/>
      <c r="X91" s="104"/>
      <c r="Y91" s="105"/>
    </row>
    <row r="92" spans="1:25" x14ac:dyDescent="0.25">
      <c r="A92" s="107" t="s">
        <v>586</v>
      </c>
      <c r="B92" s="103">
        <f>_xlfn.XLOOKUP(A92,'[2]FRV Output'!$B:$B,'[2]FRV Output'!$F:$F)</f>
        <v>1295279594</v>
      </c>
      <c r="C92" s="104">
        <v>3</v>
      </c>
      <c r="D92" s="104">
        <v>2017</v>
      </c>
      <c r="E92" s="105">
        <v>1011097</v>
      </c>
      <c r="F92" s="106" t="s">
        <v>528</v>
      </c>
      <c r="G92" s="104">
        <v>3</v>
      </c>
      <c r="H92" s="104">
        <v>2019</v>
      </c>
      <c r="I92" s="105">
        <v>639225</v>
      </c>
      <c r="J92" s="106" t="s">
        <v>528</v>
      </c>
      <c r="K92" s="104"/>
      <c r="L92" s="104"/>
      <c r="M92" s="105"/>
      <c r="N92" s="106" t="s">
        <v>528</v>
      </c>
      <c r="O92" s="104"/>
      <c r="P92" s="104"/>
      <c r="Q92" s="105"/>
      <c r="R92" s="106" t="s">
        <v>528</v>
      </c>
      <c r="S92" s="104"/>
      <c r="T92" s="104"/>
      <c r="U92" s="105"/>
      <c r="V92" s="106" t="s">
        <v>528</v>
      </c>
      <c r="W92" s="104"/>
      <c r="X92" s="104"/>
      <c r="Y92" s="105"/>
    </row>
    <row r="93" spans="1:25" x14ac:dyDescent="0.25">
      <c r="A93" s="107" t="s">
        <v>587</v>
      </c>
      <c r="B93" s="103">
        <f>_xlfn.XLOOKUP(A93,'[2]FRV Output'!$B:$B,'[2]FRV Output'!$F:$F)</f>
        <v>1225524747</v>
      </c>
      <c r="C93" s="104">
        <v>3</v>
      </c>
      <c r="D93" s="104">
        <v>2018</v>
      </c>
      <c r="E93" s="105">
        <v>61789</v>
      </c>
      <c r="F93" s="106" t="s">
        <v>528</v>
      </c>
      <c r="G93" s="104">
        <v>3</v>
      </c>
      <c r="H93" s="104">
        <v>2019</v>
      </c>
      <c r="I93" s="105">
        <v>257502</v>
      </c>
      <c r="J93" s="106" t="s">
        <v>528</v>
      </c>
      <c r="K93" s="104">
        <v>3</v>
      </c>
      <c r="L93" s="104">
        <v>2020</v>
      </c>
      <c r="M93" s="105">
        <v>418967</v>
      </c>
      <c r="N93" s="106" t="s">
        <v>528</v>
      </c>
      <c r="O93" s="104">
        <v>3</v>
      </c>
      <c r="P93" s="104">
        <v>2021</v>
      </c>
      <c r="Q93" s="105">
        <v>1065483</v>
      </c>
      <c r="R93" s="106" t="s">
        <v>528</v>
      </c>
      <c r="S93" s="104"/>
      <c r="T93" s="104"/>
      <c r="U93" s="105"/>
      <c r="V93" s="106" t="s">
        <v>528</v>
      </c>
      <c r="W93" s="104"/>
      <c r="X93" s="104"/>
      <c r="Y93" s="105"/>
    </row>
    <row r="94" spans="1:25" x14ac:dyDescent="0.25">
      <c r="A94" s="107" t="s">
        <v>224</v>
      </c>
      <c r="B94" s="103">
        <f>_xlfn.XLOOKUP(A94,'[2]FRV Output'!$B:$B,'[2]FRV Output'!$F:$F)</f>
        <v>1215400668</v>
      </c>
      <c r="C94" s="104">
        <v>3</v>
      </c>
      <c r="D94" s="104">
        <v>2017</v>
      </c>
      <c r="E94" s="105">
        <v>81483.56</v>
      </c>
      <c r="F94" s="106" t="s">
        <v>528</v>
      </c>
      <c r="G94" s="104">
        <v>3</v>
      </c>
      <c r="H94" s="104">
        <v>2019</v>
      </c>
      <c r="I94" s="105">
        <v>167841</v>
      </c>
      <c r="J94" s="106" t="s">
        <v>528</v>
      </c>
      <c r="K94" s="104">
        <v>3</v>
      </c>
      <c r="L94" s="104">
        <v>2020</v>
      </c>
      <c r="M94" s="105">
        <v>1056046</v>
      </c>
      <c r="N94" s="106" t="s">
        <v>528</v>
      </c>
      <c r="O94" s="104">
        <v>3</v>
      </c>
      <c r="P94" s="104">
        <v>2021</v>
      </c>
      <c r="Q94" s="105">
        <v>930246</v>
      </c>
      <c r="R94" s="106" t="s">
        <v>528</v>
      </c>
      <c r="S94" s="104"/>
      <c r="T94" s="104"/>
      <c r="U94" s="105"/>
      <c r="V94" s="106" t="s">
        <v>528</v>
      </c>
      <c r="W94" s="104"/>
      <c r="X94" s="104"/>
      <c r="Y94" s="105"/>
    </row>
    <row r="95" spans="1:25" x14ac:dyDescent="0.25">
      <c r="A95" s="107" t="s">
        <v>225</v>
      </c>
      <c r="B95" s="103">
        <f>_xlfn.XLOOKUP(A95,'[2]FRV Output'!$B:$B,'[2]FRV Output'!$F:$F)</f>
        <v>1144804485</v>
      </c>
      <c r="C95" s="104">
        <v>3</v>
      </c>
      <c r="D95" s="104">
        <v>2016</v>
      </c>
      <c r="E95" s="105">
        <v>555672</v>
      </c>
      <c r="F95" s="106" t="s">
        <v>528</v>
      </c>
      <c r="G95" s="104">
        <v>3</v>
      </c>
      <c r="H95" s="104">
        <v>2017</v>
      </c>
      <c r="I95" s="105">
        <v>48081</v>
      </c>
      <c r="J95" s="106" t="s">
        <v>528</v>
      </c>
      <c r="K95" s="104">
        <v>3</v>
      </c>
      <c r="L95" s="104">
        <v>2018</v>
      </c>
      <c r="M95" s="105">
        <v>205071</v>
      </c>
      <c r="N95" s="106" t="s">
        <v>528</v>
      </c>
      <c r="O95" s="104">
        <v>3</v>
      </c>
      <c r="P95" s="104">
        <v>2019</v>
      </c>
      <c r="Q95" s="105">
        <v>154675</v>
      </c>
      <c r="R95" s="106" t="s">
        <v>528</v>
      </c>
      <c r="S95" s="104">
        <v>3</v>
      </c>
      <c r="T95" s="104">
        <v>2020</v>
      </c>
      <c r="U95" s="105">
        <v>148297</v>
      </c>
      <c r="V95" s="106" t="s">
        <v>528</v>
      </c>
      <c r="W95" s="104"/>
      <c r="X95" s="104"/>
      <c r="Y95" s="105"/>
    </row>
    <row r="96" spans="1:25" x14ac:dyDescent="0.25">
      <c r="A96" s="107" t="s">
        <v>588</v>
      </c>
      <c r="B96" s="103">
        <f>_xlfn.XLOOKUP(A96,'[2]FRV Output'!$B:$B,'[2]FRV Output'!$F:$F)</f>
        <v>1114501459</v>
      </c>
      <c r="C96" s="104">
        <v>3</v>
      </c>
      <c r="D96" s="104">
        <v>2016</v>
      </c>
      <c r="E96" s="105">
        <v>154485</v>
      </c>
      <c r="F96" s="106" t="s">
        <v>528</v>
      </c>
      <c r="G96" s="104">
        <v>3</v>
      </c>
      <c r="H96" s="104">
        <v>2017</v>
      </c>
      <c r="I96" s="105">
        <v>90443</v>
      </c>
      <c r="J96" s="106" t="s">
        <v>528</v>
      </c>
      <c r="K96" s="104">
        <v>3</v>
      </c>
      <c r="L96" s="104">
        <v>2018</v>
      </c>
      <c r="M96" s="105">
        <v>205155</v>
      </c>
      <c r="N96" s="106" t="s">
        <v>528</v>
      </c>
      <c r="O96" s="104">
        <v>3</v>
      </c>
      <c r="P96" s="104">
        <v>2019</v>
      </c>
      <c r="Q96" s="105">
        <v>313608</v>
      </c>
      <c r="R96" s="106" t="s">
        <v>528</v>
      </c>
      <c r="S96" s="104">
        <v>3</v>
      </c>
      <c r="T96" s="104">
        <v>2020</v>
      </c>
      <c r="U96" s="105">
        <v>230327</v>
      </c>
      <c r="V96" s="106" t="s">
        <v>528</v>
      </c>
      <c r="W96" s="104">
        <v>3</v>
      </c>
      <c r="X96" s="104">
        <v>2021</v>
      </c>
      <c r="Y96" s="105">
        <v>579779</v>
      </c>
    </row>
    <row r="97" spans="1:25" x14ac:dyDescent="0.25">
      <c r="A97" s="107" t="s">
        <v>589</v>
      </c>
      <c r="B97" s="103">
        <f>_xlfn.XLOOKUP(A97,'[2]FRV Output'!$B:$B,'[2]FRV Output'!$F:$F)</f>
        <v>1558393835</v>
      </c>
      <c r="C97" s="104">
        <v>3</v>
      </c>
      <c r="D97" s="104">
        <v>2019</v>
      </c>
      <c r="E97" s="105">
        <v>108829</v>
      </c>
      <c r="F97" s="106" t="s">
        <v>528</v>
      </c>
      <c r="G97" s="104">
        <v>3</v>
      </c>
      <c r="H97" s="104">
        <v>2020</v>
      </c>
      <c r="I97" s="105">
        <v>310408</v>
      </c>
      <c r="J97" s="106" t="s">
        <v>528</v>
      </c>
      <c r="K97" s="104">
        <v>3</v>
      </c>
      <c r="L97" s="104">
        <v>2021</v>
      </c>
      <c r="M97" s="105">
        <v>496517</v>
      </c>
      <c r="N97" s="106" t="s">
        <v>528</v>
      </c>
      <c r="O97" s="104"/>
      <c r="P97" s="104"/>
      <c r="Q97" s="105"/>
      <c r="R97" s="106" t="s">
        <v>528</v>
      </c>
      <c r="S97" s="104"/>
      <c r="T97" s="104"/>
      <c r="U97" s="105"/>
      <c r="V97" s="106" t="s">
        <v>528</v>
      </c>
      <c r="W97" s="104"/>
      <c r="X97" s="104"/>
      <c r="Y97" s="105"/>
    </row>
    <row r="98" spans="1:25" x14ac:dyDescent="0.25">
      <c r="A98" s="103" t="s">
        <v>227</v>
      </c>
      <c r="B98" s="103">
        <f>_xlfn.XLOOKUP(A98,'[2]FRV Output'!$B:$B,'[2]FRV Output'!$F:$F)</f>
        <v>1083711626</v>
      </c>
      <c r="C98" s="104">
        <v>3</v>
      </c>
      <c r="D98" s="104">
        <v>2016</v>
      </c>
      <c r="E98" s="105">
        <v>717449</v>
      </c>
      <c r="F98" s="106" t="s">
        <v>528</v>
      </c>
      <c r="G98" s="104"/>
      <c r="H98" s="104"/>
      <c r="I98" s="105"/>
      <c r="J98" s="106" t="s">
        <v>528</v>
      </c>
      <c r="K98" s="104"/>
      <c r="L98" s="104"/>
      <c r="M98" s="105"/>
      <c r="N98" s="106" t="s">
        <v>528</v>
      </c>
      <c r="O98" s="104"/>
      <c r="P98" s="104"/>
      <c r="Q98" s="105"/>
      <c r="R98" s="106" t="s">
        <v>528</v>
      </c>
      <c r="S98" s="104"/>
      <c r="T98" s="104"/>
      <c r="U98" s="105"/>
      <c r="V98" s="106" t="s">
        <v>528</v>
      </c>
      <c r="W98" s="104"/>
      <c r="X98" s="104"/>
      <c r="Y98" s="105"/>
    </row>
    <row r="99" spans="1:25" x14ac:dyDescent="0.25">
      <c r="A99" s="103" t="s">
        <v>228</v>
      </c>
      <c r="B99" s="103">
        <f>_xlfn.XLOOKUP(A99,'[2]FRV Output'!$B:$B,'[2]FRV Output'!$F:$F)</f>
        <v>1669821336</v>
      </c>
      <c r="C99" s="104"/>
      <c r="D99" s="104"/>
      <c r="E99" s="105"/>
      <c r="F99" s="106" t="s">
        <v>528</v>
      </c>
      <c r="G99" s="104"/>
      <c r="H99" s="104"/>
      <c r="I99" s="105"/>
      <c r="J99" s="106" t="s">
        <v>528</v>
      </c>
      <c r="K99" s="104"/>
      <c r="L99" s="104"/>
      <c r="M99" s="105"/>
      <c r="N99" s="106" t="s">
        <v>528</v>
      </c>
      <c r="O99" s="104"/>
      <c r="P99" s="104"/>
      <c r="Q99" s="105"/>
      <c r="R99" s="106" t="s">
        <v>528</v>
      </c>
      <c r="S99" s="104"/>
      <c r="T99" s="104"/>
      <c r="U99" s="105"/>
      <c r="V99" s="106" t="s">
        <v>528</v>
      </c>
      <c r="W99" s="104"/>
      <c r="X99" s="104"/>
      <c r="Y99" s="105"/>
    </row>
    <row r="100" spans="1:25" x14ac:dyDescent="0.25">
      <c r="A100" s="103" t="s">
        <v>229</v>
      </c>
      <c r="B100" s="103">
        <f>_xlfn.XLOOKUP(A100,'[2]FRV Output'!$B:$B,'[2]FRV Output'!$F:$F)</f>
        <v>1083661193</v>
      </c>
      <c r="C100" s="104">
        <v>3</v>
      </c>
      <c r="D100" s="104">
        <v>2016</v>
      </c>
      <c r="E100" s="105">
        <v>677774</v>
      </c>
      <c r="F100" s="106" t="s">
        <v>528</v>
      </c>
      <c r="G100" s="104">
        <v>3</v>
      </c>
      <c r="H100" s="104">
        <v>2017</v>
      </c>
      <c r="I100" s="105">
        <v>112928</v>
      </c>
      <c r="J100" s="106" t="s">
        <v>528</v>
      </c>
      <c r="K100" s="104">
        <v>3</v>
      </c>
      <c r="L100" s="104">
        <v>2020</v>
      </c>
      <c r="M100" s="105">
        <v>65666</v>
      </c>
      <c r="N100" s="106" t="s">
        <v>528</v>
      </c>
      <c r="O100" s="104">
        <v>3</v>
      </c>
      <c r="P100" s="104">
        <v>2021</v>
      </c>
      <c r="Q100" s="105">
        <v>78781</v>
      </c>
      <c r="R100" s="106" t="s">
        <v>528</v>
      </c>
      <c r="S100" s="104"/>
      <c r="T100" s="104"/>
      <c r="U100" s="105"/>
      <c r="V100" s="106" t="s">
        <v>528</v>
      </c>
      <c r="W100" s="104"/>
      <c r="X100" s="104"/>
      <c r="Y100" s="105"/>
    </row>
    <row r="101" spans="1:25" x14ac:dyDescent="0.25">
      <c r="A101" s="107" t="s">
        <v>230</v>
      </c>
      <c r="B101" s="103">
        <f>_xlfn.XLOOKUP(A101,'[2]FRV Output'!$B:$B,'[2]FRV Output'!$F:$F)</f>
        <v>1336118298</v>
      </c>
      <c r="C101" s="104">
        <v>3</v>
      </c>
      <c r="D101" s="104">
        <v>2018</v>
      </c>
      <c r="E101" s="105">
        <v>61519</v>
      </c>
      <c r="F101" s="106" t="s">
        <v>528</v>
      </c>
      <c r="G101" s="104">
        <v>3</v>
      </c>
      <c r="H101" s="104">
        <v>2019</v>
      </c>
      <c r="I101" s="105">
        <v>70638</v>
      </c>
      <c r="J101" s="106" t="s">
        <v>528</v>
      </c>
      <c r="K101" s="104">
        <v>3</v>
      </c>
      <c r="L101" s="104">
        <v>2020</v>
      </c>
      <c r="M101" s="105">
        <v>79602</v>
      </c>
      <c r="N101" s="106" t="s">
        <v>528</v>
      </c>
      <c r="O101" s="104">
        <v>3</v>
      </c>
      <c r="P101" s="104">
        <v>2021</v>
      </c>
      <c r="Q101" s="105">
        <v>83508</v>
      </c>
      <c r="R101" s="106" t="s">
        <v>528</v>
      </c>
      <c r="S101" s="104"/>
      <c r="T101" s="104"/>
      <c r="U101" s="105"/>
      <c r="V101" s="106" t="s">
        <v>528</v>
      </c>
      <c r="W101" s="104"/>
      <c r="X101" s="104"/>
      <c r="Y101" s="105"/>
    </row>
    <row r="102" spans="1:25" x14ac:dyDescent="0.25">
      <c r="A102" s="107" t="s">
        <v>231</v>
      </c>
      <c r="B102" s="103">
        <f>_xlfn.XLOOKUP(A102,'[2]FRV Output'!$B:$B,'[2]FRV Output'!$F:$F)</f>
        <v>1194309336</v>
      </c>
      <c r="C102" s="104">
        <v>3</v>
      </c>
      <c r="D102" s="104">
        <v>2016</v>
      </c>
      <c r="E102" s="105">
        <v>76124</v>
      </c>
      <c r="F102" s="106" t="s">
        <v>528</v>
      </c>
      <c r="G102" s="104">
        <v>1</v>
      </c>
      <c r="H102" s="104">
        <v>2016</v>
      </c>
      <c r="I102" s="105">
        <v>-30</v>
      </c>
      <c r="J102" s="106" t="s">
        <v>528</v>
      </c>
      <c r="K102" s="104">
        <v>3</v>
      </c>
      <c r="L102" s="104">
        <v>2017</v>
      </c>
      <c r="M102" s="105">
        <v>579710</v>
      </c>
      <c r="N102" s="106" t="s">
        <v>528</v>
      </c>
      <c r="O102" s="104">
        <v>3</v>
      </c>
      <c r="P102" s="104">
        <v>2018</v>
      </c>
      <c r="Q102" s="105">
        <v>64517</v>
      </c>
      <c r="R102" s="106" t="s">
        <v>528</v>
      </c>
      <c r="S102" s="104">
        <v>3</v>
      </c>
      <c r="T102" s="104">
        <v>2019</v>
      </c>
      <c r="U102" s="105">
        <v>135887</v>
      </c>
      <c r="V102" s="106" t="s">
        <v>528</v>
      </c>
      <c r="W102" s="104">
        <v>3</v>
      </c>
      <c r="X102" s="104">
        <v>2020</v>
      </c>
      <c r="Y102" s="105">
        <v>73013</v>
      </c>
    </row>
    <row r="103" spans="1:25" x14ac:dyDescent="0.25">
      <c r="A103" s="107" t="s">
        <v>590</v>
      </c>
      <c r="B103" s="103">
        <f>_xlfn.XLOOKUP(A103,'[2]FRV Output'!$B:$B,'[2]FRV Output'!$F:$F)</f>
        <v>1699710293</v>
      </c>
      <c r="C103" s="104">
        <v>3</v>
      </c>
      <c r="D103" s="104">
        <v>2016</v>
      </c>
      <c r="E103" s="105">
        <v>61350</v>
      </c>
      <c r="F103" s="106" t="s">
        <v>528</v>
      </c>
      <c r="G103" s="104">
        <v>3</v>
      </c>
      <c r="H103" s="104">
        <v>2019</v>
      </c>
      <c r="I103" s="105">
        <v>62912</v>
      </c>
      <c r="J103" s="106" t="s">
        <v>528</v>
      </c>
      <c r="K103" s="104">
        <v>3</v>
      </c>
      <c r="L103" s="104">
        <v>2020</v>
      </c>
      <c r="M103" s="105">
        <v>370277</v>
      </c>
      <c r="N103" s="106" t="s">
        <v>528</v>
      </c>
      <c r="O103" s="104">
        <v>3</v>
      </c>
      <c r="P103" s="104">
        <v>2021</v>
      </c>
      <c r="Q103" s="105">
        <v>140784</v>
      </c>
      <c r="R103" s="106" t="s">
        <v>528</v>
      </c>
      <c r="S103" s="104"/>
      <c r="T103" s="104"/>
      <c r="U103" s="105"/>
      <c r="V103" s="106" t="s">
        <v>528</v>
      </c>
      <c r="W103" s="104"/>
      <c r="X103" s="104"/>
      <c r="Y103" s="105"/>
    </row>
    <row r="104" spans="1:25" x14ac:dyDescent="0.25">
      <c r="A104" s="103" t="s">
        <v>591</v>
      </c>
      <c r="B104" s="103">
        <f>_xlfn.XLOOKUP(A104,'[2]FRV Output'!$B:$B,'[2]FRV Output'!$F:$F)</f>
        <v>1083659692</v>
      </c>
      <c r="C104" s="104">
        <v>3</v>
      </c>
      <c r="D104" s="104">
        <v>2021</v>
      </c>
      <c r="E104" s="105">
        <v>186223</v>
      </c>
      <c r="F104" s="106" t="s">
        <v>528</v>
      </c>
      <c r="G104" s="104"/>
      <c r="H104" s="104"/>
      <c r="I104" s="105"/>
      <c r="J104" s="106" t="s">
        <v>528</v>
      </c>
      <c r="K104" s="104"/>
      <c r="L104" s="104"/>
      <c r="M104" s="105"/>
      <c r="N104" s="106" t="s">
        <v>528</v>
      </c>
      <c r="O104" s="104"/>
      <c r="P104" s="104"/>
      <c r="Q104" s="105"/>
      <c r="R104" s="106" t="s">
        <v>528</v>
      </c>
      <c r="S104" s="104"/>
      <c r="T104" s="104"/>
      <c r="U104" s="105"/>
      <c r="V104" s="106" t="s">
        <v>528</v>
      </c>
      <c r="W104" s="104"/>
      <c r="X104" s="104"/>
      <c r="Y104" s="105"/>
    </row>
    <row r="105" spans="1:25" x14ac:dyDescent="0.25">
      <c r="A105" s="107" t="s">
        <v>592</v>
      </c>
      <c r="B105" s="103">
        <f>_xlfn.XLOOKUP(A105,'[2]FRV Output'!$B:$B,'[2]FRV Output'!$F:$F)</f>
        <v>1740249382</v>
      </c>
      <c r="C105" s="104">
        <v>3</v>
      </c>
      <c r="D105" s="104">
        <v>2017</v>
      </c>
      <c r="E105" s="105">
        <v>64982</v>
      </c>
      <c r="F105" s="106" t="s">
        <v>528</v>
      </c>
      <c r="G105" s="104">
        <v>3</v>
      </c>
      <c r="H105" s="104">
        <v>2018</v>
      </c>
      <c r="I105" s="105">
        <v>48484</v>
      </c>
      <c r="J105" s="106" t="s">
        <v>528</v>
      </c>
      <c r="K105" s="104">
        <v>3</v>
      </c>
      <c r="L105" s="104">
        <v>2019</v>
      </c>
      <c r="M105" s="105">
        <v>70105</v>
      </c>
      <c r="N105" s="106" t="s">
        <v>528</v>
      </c>
      <c r="O105" s="104">
        <v>3</v>
      </c>
      <c r="P105" s="104">
        <v>2020</v>
      </c>
      <c r="Q105" s="105">
        <v>59690</v>
      </c>
      <c r="R105" s="106" t="s">
        <v>528</v>
      </c>
      <c r="S105" s="104">
        <v>3</v>
      </c>
      <c r="T105" s="104">
        <v>2021</v>
      </c>
      <c r="U105" s="105">
        <v>160903</v>
      </c>
      <c r="V105" s="106" t="s">
        <v>528</v>
      </c>
      <c r="W105" s="104"/>
      <c r="X105" s="104"/>
      <c r="Y105" s="105"/>
    </row>
    <row r="106" spans="1:25" x14ac:dyDescent="0.25">
      <c r="A106" s="107" t="s">
        <v>593</v>
      </c>
      <c r="B106" s="103">
        <f>_xlfn.XLOOKUP(A106,'[2]FRV Output'!$B:$B,'[2]FRV Output'!$F:$F)</f>
        <v>1225000888</v>
      </c>
      <c r="C106" s="104">
        <v>3</v>
      </c>
      <c r="D106" s="104">
        <v>2018</v>
      </c>
      <c r="E106" s="105">
        <v>59652</v>
      </c>
      <c r="F106" s="106" t="s">
        <v>528</v>
      </c>
      <c r="G106" s="104">
        <v>3</v>
      </c>
      <c r="H106" s="104">
        <v>2019</v>
      </c>
      <c r="I106" s="105">
        <v>61794</v>
      </c>
      <c r="J106" s="106" t="s">
        <v>528</v>
      </c>
      <c r="K106" s="104">
        <v>3</v>
      </c>
      <c r="L106" s="104">
        <v>2020</v>
      </c>
      <c r="M106" s="105">
        <v>85469</v>
      </c>
      <c r="N106" s="106" t="s">
        <v>528</v>
      </c>
      <c r="O106" s="104">
        <v>3</v>
      </c>
      <c r="P106" s="104">
        <v>2021</v>
      </c>
      <c r="Q106" s="105">
        <v>97657</v>
      </c>
      <c r="R106" s="106" t="s">
        <v>528</v>
      </c>
      <c r="S106" s="104"/>
      <c r="T106" s="104"/>
      <c r="U106" s="105"/>
      <c r="V106" s="106" t="s">
        <v>528</v>
      </c>
      <c r="W106" s="104"/>
      <c r="X106" s="104"/>
      <c r="Y106" s="105"/>
    </row>
    <row r="107" spans="1:25" x14ac:dyDescent="0.25">
      <c r="A107" s="103" t="s">
        <v>236</v>
      </c>
      <c r="B107" s="103">
        <f>_xlfn.XLOOKUP(A107,'[2]FRV Output'!$B:$B,'[2]FRV Output'!$F:$F)</f>
        <v>1407803679</v>
      </c>
      <c r="C107" s="104">
        <v>3</v>
      </c>
      <c r="D107" s="104">
        <v>2017</v>
      </c>
      <c r="E107" s="105">
        <v>138750</v>
      </c>
      <c r="F107" s="106" t="s">
        <v>528</v>
      </c>
      <c r="G107" s="104">
        <v>3</v>
      </c>
      <c r="H107" s="104">
        <v>2020</v>
      </c>
      <c r="I107" s="105">
        <v>258451</v>
      </c>
      <c r="J107" s="106" t="s">
        <v>528</v>
      </c>
      <c r="K107" s="104">
        <v>3</v>
      </c>
      <c r="L107" s="104">
        <v>2021</v>
      </c>
      <c r="M107" s="105">
        <v>102708</v>
      </c>
      <c r="N107" s="106" t="s">
        <v>528</v>
      </c>
      <c r="O107" s="104"/>
      <c r="P107" s="104"/>
      <c r="Q107" s="105"/>
      <c r="R107" s="106" t="s">
        <v>528</v>
      </c>
      <c r="S107" s="104"/>
      <c r="T107" s="104"/>
      <c r="U107" s="105"/>
      <c r="V107" s="106" t="s">
        <v>528</v>
      </c>
      <c r="W107" s="104"/>
      <c r="X107" s="104"/>
      <c r="Y107" s="105"/>
    </row>
    <row r="108" spans="1:25" x14ac:dyDescent="0.25">
      <c r="A108" s="107" t="s">
        <v>237</v>
      </c>
      <c r="B108" s="103">
        <f>_xlfn.XLOOKUP(A108,'[2]FRV Output'!$B:$B,'[2]FRV Output'!$F:$F)</f>
        <v>1710312079</v>
      </c>
      <c r="C108" s="104"/>
      <c r="D108" s="104"/>
      <c r="E108" s="105"/>
      <c r="F108" s="106"/>
      <c r="G108" s="104"/>
      <c r="H108" s="104"/>
      <c r="I108" s="105"/>
      <c r="J108" s="106"/>
      <c r="K108" s="104"/>
      <c r="L108" s="104"/>
      <c r="M108" s="105"/>
      <c r="N108" s="106"/>
      <c r="O108" s="104"/>
      <c r="P108" s="104"/>
      <c r="Q108" s="105"/>
      <c r="R108" s="106"/>
      <c r="S108" s="104"/>
      <c r="T108" s="104"/>
      <c r="U108" s="105"/>
      <c r="V108" s="106"/>
      <c r="W108" s="104"/>
      <c r="X108" s="104"/>
      <c r="Y108" s="105"/>
    </row>
    <row r="109" spans="1:25" x14ac:dyDescent="0.25">
      <c r="A109" s="107" t="s">
        <v>238</v>
      </c>
      <c r="B109" s="103">
        <f>_xlfn.XLOOKUP(A109,'[2]FRV Output'!$B:$B,'[2]FRV Output'!$F:$F)</f>
        <v>1710537998</v>
      </c>
      <c r="C109" s="104">
        <v>3</v>
      </c>
      <c r="D109" s="104">
        <v>2016</v>
      </c>
      <c r="E109" s="105">
        <v>193672</v>
      </c>
      <c r="F109" s="106" t="s">
        <v>528</v>
      </c>
      <c r="G109" s="104">
        <v>3</v>
      </c>
      <c r="H109" s="104">
        <v>2017</v>
      </c>
      <c r="I109" s="105">
        <v>129899</v>
      </c>
      <c r="J109" s="106" t="s">
        <v>528</v>
      </c>
      <c r="K109" s="104">
        <v>3</v>
      </c>
      <c r="L109" s="104">
        <v>2018</v>
      </c>
      <c r="M109" s="105">
        <v>3207654</v>
      </c>
      <c r="N109" s="106" t="s">
        <v>528</v>
      </c>
      <c r="O109" s="104">
        <v>3</v>
      </c>
      <c r="P109" s="104">
        <v>2019</v>
      </c>
      <c r="Q109" s="105">
        <v>179524</v>
      </c>
      <c r="R109" s="106" t="s">
        <v>528</v>
      </c>
      <c r="S109" s="104">
        <v>3</v>
      </c>
      <c r="T109" s="104">
        <v>2020</v>
      </c>
      <c r="U109" s="105">
        <v>195565</v>
      </c>
      <c r="V109" s="106" t="s">
        <v>528</v>
      </c>
      <c r="W109" s="104"/>
      <c r="X109" s="104"/>
      <c r="Y109" s="105"/>
    </row>
    <row r="110" spans="1:25" x14ac:dyDescent="0.25">
      <c r="A110" s="107" t="s">
        <v>239</v>
      </c>
      <c r="B110" s="103">
        <f>_xlfn.XLOOKUP(A110,'[2]FRV Output'!$B:$B,'[2]FRV Output'!$F:$F)</f>
        <v>1841854361</v>
      </c>
      <c r="C110" s="104">
        <v>3</v>
      </c>
      <c r="D110" s="104">
        <v>2019</v>
      </c>
      <c r="E110" s="105">
        <v>118259</v>
      </c>
      <c r="F110" s="106" t="s">
        <v>528</v>
      </c>
      <c r="G110" s="104">
        <v>3</v>
      </c>
      <c r="H110" s="104">
        <v>2021</v>
      </c>
      <c r="I110" s="105">
        <v>210976</v>
      </c>
      <c r="J110" s="106" t="s">
        <v>528</v>
      </c>
      <c r="K110" s="104"/>
      <c r="L110" s="104"/>
      <c r="M110" s="105"/>
      <c r="N110" s="106" t="s">
        <v>528</v>
      </c>
      <c r="O110" s="104"/>
      <c r="P110" s="104"/>
      <c r="Q110" s="105"/>
      <c r="R110" s="106" t="s">
        <v>528</v>
      </c>
      <c r="S110" s="104"/>
      <c r="T110" s="104"/>
      <c r="U110" s="105"/>
      <c r="V110" s="106" t="s">
        <v>528</v>
      </c>
      <c r="W110" s="104"/>
      <c r="X110" s="104"/>
      <c r="Y110" s="105"/>
    </row>
    <row r="111" spans="1:25" x14ac:dyDescent="0.25">
      <c r="A111" s="103" t="s">
        <v>240</v>
      </c>
      <c r="B111" s="103">
        <f>_xlfn.XLOOKUP(A111,'[2]FRV Output'!$B:$B,'[2]FRV Output'!$F:$F)</f>
        <v>1346806015</v>
      </c>
      <c r="C111" s="104">
        <v>3</v>
      </c>
      <c r="D111" s="104">
        <v>2016</v>
      </c>
      <c r="E111" s="105">
        <v>57412</v>
      </c>
      <c r="F111" s="106" t="s">
        <v>528</v>
      </c>
      <c r="G111" s="104">
        <v>3</v>
      </c>
      <c r="H111" s="104">
        <v>2017</v>
      </c>
      <c r="I111" s="105">
        <v>34547</v>
      </c>
      <c r="J111" s="106" t="s">
        <v>528</v>
      </c>
      <c r="K111" s="104"/>
      <c r="L111" s="104"/>
      <c r="M111" s="105"/>
      <c r="N111" s="106" t="s">
        <v>528</v>
      </c>
      <c r="O111" s="104"/>
      <c r="P111" s="104"/>
      <c r="Q111" s="105"/>
      <c r="R111" s="106" t="s">
        <v>528</v>
      </c>
      <c r="S111" s="104"/>
      <c r="T111" s="104"/>
      <c r="U111" s="105"/>
      <c r="V111" s="106" t="s">
        <v>528</v>
      </c>
      <c r="W111" s="104"/>
      <c r="X111" s="104"/>
      <c r="Y111" s="105"/>
    </row>
    <row r="112" spans="1:25" x14ac:dyDescent="0.25">
      <c r="A112" s="103" t="s">
        <v>241</v>
      </c>
      <c r="B112" s="103">
        <f>_xlfn.XLOOKUP(A112,'[2]FRV Output'!$B:$B,'[2]FRV Output'!$F:$F)</f>
        <v>1801428768</v>
      </c>
      <c r="C112" s="104">
        <v>3</v>
      </c>
      <c r="D112" s="104">
        <v>2021</v>
      </c>
      <c r="E112" s="105">
        <v>500565</v>
      </c>
      <c r="F112" s="106" t="s">
        <v>528</v>
      </c>
      <c r="G112" s="104"/>
      <c r="H112" s="104"/>
      <c r="I112" s="105"/>
      <c r="J112" s="106" t="s">
        <v>528</v>
      </c>
      <c r="K112" s="104"/>
      <c r="L112" s="104"/>
      <c r="M112" s="105"/>
      <c r="N112" s="106" t="s">
        <v>528</v>
      </c>
      <c r="O112" s="104"/>
      <c r="P112" s="104"/>
      <c r="Q112" s="105"/>
      <c r="R112" s="106" t="s">
        <v>528</v>
      </c>
      <c r="S112" s="104"/>
      <c r="T112" s="104"/>
      <c r="U112" s="105"/>
      <c r="V112" s="106" t="s">
        <v>528</v>
      </c>
      <c r="W112" s="104"/>
      <c r="X112" s="104"/>
      <c r="Y112" s="105"/>
    </row>
    <row r="113" spans="1:25" x14ac:dyDescent="0.25">
      <c r="A113" s="103" t="s">
        <v>242</v>
      </c>
      <c r="B113" s="103">
        <f>_xlfn.XLOOKUP(A113,'[2]FRV Output'!$B:$B,'[2]FRV Output'!$F:$F)</f>
        <v>1407325103</v>
      </c>
      <c r="C113" s="104"/>
      <c r="D113" s="104"/>
      <c r="E113" s="105"/>
      <c r="F113" s="106" t="s">
        <v>528</v>
      </c>
      <c r="G113" s="104"/>
      <c r="H113" s="104"/>
      <c r="I113" s="105"/>
      <c r="J113" s="106" t="s">
        <v>528</v>
      </c>
      <c r="K113" s="104"/>
      <c r="L113" s="104"/>
      <c r="M113" s="105"/>
      <c r="N113" s="106" t="s">
        <v>528</v>
      </c>
      <c r="O113" s="104"/>
      <c r="P113" s="104"/>
      <c r="Q113" s="105"/>
      <c r="R113" s="106" t="s">
        <v>528</v>
      </c>
      <c r="S113" s="104"/>
      <c r="T113" s="104"/>
      <c r="U113" s="105"/>
      <c r="V113" s="106" t="s">
        <v>528</v>
      </c>
      <c r="W113" s="104"/>
      <c r="X113" s="104"/>
      <c r="Y113" s="105"/>
    </row>
    <row r="114" spans="1:25" x14ac:dyDescent="0.25">
      <c r="A114" s="107" t="s">
        <v>243</v>
      </c>
      <c r="B114" s="103">
        <f>_xlfn.XLOOKUP(A114,'[2]FRV Output'!$B:$B,'[2]FRV Output'!$F:$F)</f>
        <v>1891722187</v>
      </c>
      <c r="C114" s="104">
        <v>3</v>
      </c>
      <c r="D114" s="104">
        <v>2016</v>
      </c>
      <c r="E114" s="105">
        <v>59142</v>
      </c>
      <c r="F114" s="106" t="s">
        <v>528</v>
      </c>
      <c r="G114" s="104">
        <v>3</v>
      </c>
      <c r="H114" s="104">
        <v>2017</v>
      </c>
      <c r="I114" s="105">
        <v>57314</v>
      </c>
      <c r="J114" s="106" t="s">
        <v>528</v>
      </c>
      <c r="K114" s="104">
        <v>3</v>
      </c>
      <c r="L114" s="104">
        <v>2018</v>
      </c>
      <c r="M114" s="105">
        <v>70077</v>
      </c>
      <c r="N114" s="106" t="s">
        <v>528</v>
      </c>
      <c r="O114" s="104">
        <v>3</v>
      </c>
      <c r="P114" s="104">
        <v>2019</v>
      </c>
      <c r="Q114" s="105">
        <v>55470</v>
      </c>
      <c r="R114" s="106" t="s">
        <v>528</v>
      </c>
      <c r="S114" s="104">
        <v>3</v>
      </c>
      <c r="T114" s="104">
        <v>2020</v>
      </c>
      <c r="U114" s="105">
        <v>72870</v>
      </c>
      <c r="V114" s="106" t="s">
        <v>528</v>
      </c>
      <c r="W114" s="104">
        <v>3</v>
      </c>
      <c r="X114" s="104">
        <v>2021</v>
      </c>
      <c r="Y114" s="105">
        <v>66019</v>
      </c>
    </row>
    <row r="115" spans="1:25" x14ac:dyDescent="0.25">
      <c r="A115" s="103" t="s">
        <v>594</v>
      </c>
      <c r="B115" s="103">
        <f>_xlfn.XLOOKUP(A115,'[2]FRV Output'!$B:$B,'[2]FRV Output'!$F:$F)</f>
        <v>1346851052</v>
      </c>
      <c r="C115" s="104">
        <v>3</v>
      </c>
      <c r="D115" s="104">
        <v>2021</v>
      </c>
      <c r="E115" s="105">
        <v>137925</v>
      </c>
      <c r="F115" s="106" t="s">
        <v>528</v>
      </c>
      <c r="G115" s="104"/>
      <c r="H115" s="104"/>
      <c r="I115" s="105"/>
      <c r="J115" s="106" t="s">
        <v>528</v>
      </c>
      <c r="K115" s="104"/>
      <c r="L115" s="104"/>
      <c r="M115" s="105"/>
      <c r="N115" s="106" t="s">
        <v>528</v>
      </c>
      <c r="O115" s="104"/>
      <c r="P115" s="104"/>
      <c r="Q115" s="105"/>
      <c r="R115" s="106" t="s">
        <v>528</v>
      </c>
      <c r="S115" s="104"/>
      <c r="T115" s="104"/>
      <c r="U115" s="105"/>
      <c r="V115" s="106" t="s">
        <v>528</v>
      </c>
      <c r="W115" s="104"/>
      <c r="X115" s="104"/>
      <c r="Y115" s="105"/>
    </row>
    <row r="116" spans="1:25" x14ac:dyDescent="0.25">
      <c r="A116" s="103" t="s">
        <v>244</v>
      </c>
      <c r="B116" s="103">
        <f>_xlfn.XLOOKUP(A116,'[2]FRV Output'!$B:$B,'[2]FRV Output'!$F:$F)</f>
        <v>1073599510</v>
      </c>
      <c r="C116" s="104"/>
      <c r="D116" s="104"/>
      <c r="E116" s="105"/>
      <c r="F116" s="106" t="s">
        <v>528</v>
      </c>
      <c r="G116" s="104"/>
      <c r="H116" s="104"/>
      <c r="I116" s="105"/>
      <c r="J116" s="106" t="s">
        <v>528</v>
      </c>
      <c r="K116" s="104"/>
      <c r="L116" s="104"/>
      <c r="M116" s="105"/>
      <c r="N116" s="106" t="s">
        <v>528</v>
      </c>
      <c r="O116" s="104"/>
      <c r="P116" s="104"/>
      <c r="Q116" s="105"/>
      <c r="R116" s="106" t="s">
        <v>528</v>
      </c>
      <c r="S116" s="104"/>
      <c r="T116" s="104"/>
      <c r="U116" s="105"/>
      <c r="V116" s="106" t="s">
        <v>528</v>
      </c>
      <c r="W116" s="104"/>
      <c r="X116" s="104"/>
      <c r="Y116" s="105"/>
    </row>
    <row r="117" spans="1:25" x14ac:dyDescent="0.25">
      <c r="A117" s="107" t="s">
        <v>245</v>
      </c>
      <c r="B117" s="103">
        <f>_xlfn.XLOOKUP(A117,'[2]FRV Output'!$B:$B,'[2]FRV Output'!$F:$F)</f>
        <v>1972587376</v>
      </c>
      <c r="C117" s="104">
        <v>3</v>
      </c>
      <c r="D117" s="104">
        <v>2016</v>
      </c>
      <c r="E117" s="105">
        <v>183781</v>
      </c>
      <c r="F117" s="106" t="s">
        <v>528</v>
      </c>
      <c r="G117" s="104">
        <v>3</v>
      </c>
      <c r="H117" s="104">
        <v>2017</v>
      </c>
      <c r="I117" s="105">
        <v>643284</v>
      </c>
      <c r="J117" s="106" t="s">
        <v>528</v>
      </c>
      <c r="K117" s="104">
        <v>3</v>
      </c>
      <c r="L117" s="104">
        <v>2018</v>
      </c>
      <c r="M117" s="105">
        <v>280245</v>
      </c>
      <c r="N117" s="106" t="s">
        <v>528</v>
      </c>
      <c r="O117" s="104">
        <v>3</v>
      </c>
      <c r="P117" s="104">
        <v>2019</v>
      </c>
      <c r="Q117" s="105">
        <v>471375</v>
      </c>
      <c r="R117" s="106" t="s">
        <v>528</v>
      </c>
      <c r="S117" s="104">
        <v>3</v>
      </c>
      <c r="T117" s="104">
        <v>2020</v>
      </c>
      <c r="U117" s="105">
        <v>400937</v>
      </c>
      <c r="V117" s="106" t="s">
        <v>528</v>
      </c>
      <c r="W117" s="104">
        <v>3</v>
      </c>
      <c r="X117" s="104">
        <v>2021</v>
      </c>
      <c r="Y117" s="105">
        <v>511918</v>
      </c>
    </row>
    <row r="118" spans="1:25" x14ac:dyDescent="0.25">
      <c r="A118" s="107" t="s">
        <v>595</v>
      </c>
      <c r="B118" s="103">
        <f>_xlfn.XLOOKUP(A118,'[2]FRV Output'!$B:$B,'[2]FRV Output'!$F:$F)</f>
        <v>1942236161</v>
      </c>
      <c r="C118" s="104">
        <v>3</v>
      </c>
      <c r="D118" s="104">
        <v>2019</v>
      </c>
      <c r="E118" s="105">
        <v>191926</v>
      </c>
      <c r="F118" s="106" t="s">
        <v>528</v>
      </c>
      <c r="G118" s="104">
        <v>3</v>
      </c>
      <c r="H118" s="104">
        <v>2021</v>
      </c>
      <c r="I118" s="105">
        <v>56153</v>
      </c>
      <c r="J118" s="106" t="s">
        <v>528</v>
      </c>
      <c r="K118" s="104"/>
      <c r="L118" s="104"/>
      <c r="M118" s="105"/>
      <c r="N118" s="106" t="s">
        <v>528</v>
      </c>
      <c r="O118" s="104"/>
      <c r="P118" s="104"/>
      <c r="Q118" s="105"/>
      <c r="R118" s="106" t="s">
        <v>528</v>
      </c>
      <c r="S118" s="104"/>
      <c r="T118" s="104"/>
      <c r="U118" s="105"/>
      <c r="V118" s="106" t="s">
        <v>528</v>
      </c>
      <c r="W118" s="104"/>
      <c r="X118" s="104"/>
      <c r="Y118" s="105"/>
    </row>
    <row r="119" spans="1:25" x14ac:dyDescent="0.25">
      <c r="A119" s="107" t="s">
        <v>247</v>
      </c>
      <c r="B119" s="103">
        <f>_xlfn.XLOOKUP(A119,'[2]FRV Output'!$B:$B,'[2]FRV Output'!$F:$F)</f>
        <v>1437103850</v>
      </c>
      <c r="C119" s="104">
        <v>3</v>
      </c>
      <c r="D119" s="104">
        <v>2019</v>
      </c>
      <c r="E119" s="105">
        <v>198738</v>
      </c>
      <c r="F119" s="106" t="s">
        <v>528</v>
      </c>
      <c r="G119" s="104">
        <v>3</v>
      </c>
      <c r="H119" s="104">
        <v>2020</v>
      </c>
      <c r="I119" s="105">
        <v>34179</v>
      </c>
      <c r="J119" s="106" t="s">
        <v>528</v>
      </c>
      <c r="K119" s="104"/>
      <c r="L119" s="104"/>
      <c r="M119" s="105"/>
      <c r="N119" s="106" t="s">
        <v>528</v>
      </c>
      <c r="O119" s="104"/>
      <c r="P119" s="104"/>
      <c r="Q119" s="105"/>
      <c r="R119" s="106" t="s">
        <v>528</v>
      </c>
      <c r="S119" s="104"/>
      <c r="T119" s="104"/>
      <c r="U119" s="105"/>
      <c r="V119" s="106" t="s">
        <v>528</v>
      </c>
      <c r="W119" s="104"/>
      <c r="X119" s="104"/>
      <c r="Y119" s="105"/>
    </row>
    <row r="120" spans="1:25" x14ac:dyDescent="0.25">
      <c r="A120" s="103" t="s">
        <v>248</v>
      </c>
      <c r="B120" s="103">
        <f>_xlfn.XLOOKUP(A120,'[2]FRV Output'!$B:$B,'[2]FRV Output'!$F:$F)</f>
        <v>1851375703</v>
      </c>
      <c r="C120" s="104">
        <v>3</v>
      </c>
      <c r="D120" s="104">
        <v>2017</v>
      </c>
      <c r="E120" s="105">
        <v>49917</v>
      </c>
      <c r="F120" s="106" t="s">
        <v>528</v>
      </c>
      <c r="G120" s="104">
        <v>3</v>
      </c>
      <c r="H120" s="104">
        <v>2021</v>
      </c>
      <c r="I120" s="105">
        <v>121159</v>
      </c>
      <c r="J120" s="106" t="s">
        <v>528</v>
      </c>
      <c r="K120" s="104"/>
      <c r="L120" s="104"/>
      <c r="M120" s="105"/>
      <c r="N120" s="106" t="s">
        <v>528</v>
      </c>
      <c r="O120" s="104"/>
      <c r="P120" s="104"/>
      <c r="Q120" s="105"/>
      <c r="R120" s="106" t="s">
        <v>528</v>
      </c>
      <c r="S120" s="104"/>
      <c r="T120" s="104"/>
      <c r="U120" s="105"/>
      <c r="V120" s="106" t="s">
        <v>528</v>
      </c>
      <c r="W120" s="104"/>
      <c r="X120" s="104"/>
      <c r="Y120" s="105"/>
    </row>
    <row r="121" spans="1:25" x14ac:dyDescent="0.25">
      <c r="A121" s="103" t="s">
        <v>596</v>
      </c>
      <c r="B121" s="103">
        <f>_xlfn.XLOOKUP(A121,'[2]FRV Output'!$B:$B,'[2]FRV Output'!$F:$F)</f>
        <v>1225654098</v>
      </c>
      <c r="C121" s="104">
        <v>3</v>
      </c>
      <c r="D121" s="104">
        <v>2021</v>
      </c>
      <c r="E121" s="105">
        <v>196698</v>
      </c>
      <c r="F121" s="106" t="s">
        <v>528</v>
      </c>
      <c r="G121" s="104"/>
      <c r="H121" s="104"/>
      <c r="I121" s="105"/>
      <c r="J121" s="106" t="s">
        <v>528</v>
      </c>
      <c r="K121" s="104"/>
      <c r="L121" s="104"/>
      <c r="M121" s="105"/>
      <c r="N121" s="106" t="s">
        <v>528</v>
      </c>
      <c r="O121" s="104"/>
      <c r="P121" s="104"/>
      <c r="Q121" s="105"/>
      <c r="R121" s="106" t="s">
        <v>528</v>
      </c>
      <c r="S121" s="104"/>
      <c r="T121" s="104"/>
      <c r="U121" s="105"/>
      <c r="V121" s="106" t="s">
        <v>528</v>
      </c>
      <c r="W121" s="104"/>
      <c r="X121" s="104"/>
      <c r="Y121" s="105"/>
    </row>
    <row r="122" spans="1:25" x14ac:dyDescent="0.25">
      <c r="A122" s="107" t="s">
        <v>250</v>
      </c>
      <c r="B122" s="103">
        <f>_xlfn.XLOOKUP(A122,'[2]FRV Output'!$B:$B,'[2]FRV Output'!$F:$F)</f>
        <v>1639630452</v>
      </c>
      <c r="C122" s="104">
        <v>3</v>
      </c>
      <c r="D122" s="104">
        <v>2016</v>
      </c>
      <c r="E122" s="105">
        <v>984332</v>
      </c>
      <c r="F122" s="106" t="s">
        <v>528</v>
      </c>
      <c r="G122" s="104">
        <v>3</v>
      </c>
      <c r="H122" s="104">
        <v>2017</v>
      </c>
      <c r="I122" s="105">
        <v>303342</v>
      </c>
      <c r="J122" s="106" t="s">
        <v>528</v>
      </c>
      <c r="K122" s="104">
        <v>3</v>
      </c>
      <c r="L122" s="104">
        <v>2018</v>
      </c>
      <c r="M122" s="105">
        <v>289490</v>
      </c>
      <c r="N122" s="106" t="s">
        <v>528</v>
      </c>
      <c r="O122" s="104">
        <v>3</v>
      </c>
      <c r="P122" s="104">
        <v>2019</v>
      </c>
      <c r="Q122" s="105">
        <v>73177</v>
      </c>
      <c r="R122" s="106" t="s">
        <v>528</v>
      </c>
      <c r="S122" s="104">
        <v>3</v>
      </c>
      <c r="T122" s="104">
        <v>2019</v>
      </c>
      <c r="U122" s="105">
        <v>757142</v>
      </c>
      <c r="V122" s="106" t="s">
        <v>528</v>
      </c>
      <c r="W122" s="104">
        <v>3</v>
      </c>
      <c r="X122" s="104">
        <v>2021</v>
      </c>
      <c r="Y122" s="105">
        <v>601522</v>
      </c>
    </row>
    <row r="123" spans="1:25" x14ac:dyDescent="0.25">
      <c r="A123" s="107" t="s">
        <v>251</v>
      </c>
      <c r="B123" s="103">
        <f>_xlfn.XLOOKUP(A123,'[2]FRV Output'!$B:$B,'[2]FRV Output'!$F:$F)</f>
        <v>1093131310</v>
      </c>
      <c r="C123" s="104">
        <v>3</v>
      </c>
      <c r="D123" s="104">
        <v>2016</v>
      </c>
      <c r="E123" s="105">
        <v>50895</v>
      </c>
      <c r="F123" s="106" t="s">
        <v>528</v>
      </c>
      <c r="G123" s="104">
        <v>3</v>
      </c>
      <c r="H123" s="104">
        <v>2019</v>
      </c>
      <c r="I123" s="105">
        <v>100660</v>
      </c>
      <c r="J123" s="106" t="s">
        <v>528</v>
      </c>
      <c r="K123" s="104">
        <v>3</v>
      </c>
      <c r="L123" s="104">
        <v>2020</v>
      </c>
      <c r="M123" s="105">
        <v>90025</v>
      </c>
      <c r="N123" s="106" t="s">
        <v>528</v>
      </c>
      <c r="O123" s="104"/>
      <c r="P123" s="104"/>
      <c r="Q123" s="105"/>
      <c r="R123" s="106" t="s">
        <v>528</v>
      </c>
      <c r="S123" s="104"/>
      <c r="T123" s="104"/>
      <c r="U123" s="105"/>
      <c r="V123" s="106" t="s">
        <v>528</v>
      </c>
      <c r="W123" s="104"/>
      <c r="X123" s="104"/>
      <c r="Y123" s="105"/>
    </row>
    <row r="124" spans="1:25" x14ac:dyDescent="0.25">
      <c r="A124" s="107" t="s">
        <v>252</v>
      </c>
      <c r="B124" s="103">
        <f>_xlfn.XLOOKUP(A124,'[2]FRV Output'!$B:$B,'[2]FRV Output'!$F:$F)</f>
        <v>1912485517</v>
      </c>
      <c r="C124" s="104">
        <v>3</v>
      </c>
      <c r="D124" s="104">
        <v>2018</v>
      </c>
      <c r="E124" s="105">
        <v>64197</v>
      </c>
      <c r="F124" s="106" t="s">
        <v>528</v>
      </c>
      <c r="G124" s="104">
        <v>2</v>
      </c>
      <c r="H124" s="104">
        <v>2019</v>
      </c>
      <c r="I124" s="105">
        <v>96</v>
      </c>
      <c r="J124" s="106" t="s">
        <v>528</v>
      </c>
      <c r="K124" s="104"/>
      <c r="L124" s="104"/>
      <c r="M124" s="105"/>
      <c r="N124" s="106" t="s">
        <v>528</v>
      </c>
      <c r="O124" s="104"/>
      <c r="P124" s="104"/>
      <c r="Q124" s="105"/>
      <c r="R124" s="106" t="s">
        <v>528</v>
      </c>
      <c r="S124" s="104"/>
      <c r="T124" s="104"/>
      <c r="U124" s="105"/>
      <c r="V124" s="106" t="s">
        <v>528</v>
      </c>
      <c r="W124" s="104"/>
      <c r="X124" s="104"/>
      <c r="Y124" s="105"/>
    </row>
    <row r="125" spans="1:25" x14ac:dyDescent="0.25">
      <c r="A125" s="107" t="s">
        <v>597</v>
      </c>
      <c r="B125" s="103">
        <f>_xlfn.XLOOKUP(A125,'[2]FRV Output'!$B:$B,'[2]FRV Output'!$F:$F)</f>
        <v>1841697422</v>
      </c>
      <c r="C125" s="104"/>
      <c r="D125" s="104"/>
      <c r="E125" s="105"/>
      <c r="F125" s="113" t="s">
        <v>528</v>
      </c>
      <c r="G125" s="104"/>
      <c r="H125" s="104"/>
      <c r="I125" s="105"/>
      <c r="J125" s="113" t="s">
        <v>528</v>
      </c>
      <c r="K125" s="104"/>
      <c r="L125" s="104"/>
      <c r="M125" s="105"/>
      <c r="N125" s="113" t="s">
        <v>528</v>
      </c>
      <c r="O125" s="104"/>
      <c r="P125" s="104"/>
      <c r="Q125" s="105"/>
      <c r="R125" s="113" t="s">
        <v>528</v>
      </c>
      <c r="S125" s="104"/>
      <c r="T125" s="104"/>
      <c r="U125" s="105"/>
      <c r="V125" s="106" t="s">
        <v>528</v>
      </c>
      <c r="W125" s="104"/>
      <c r="X125" s="104"/>
      <c r="Y125" s="105"/>
    </row>
    <row r="126" spans="1:25" x14ac:dyDescent="0.25">
      <c r="A126" s="103" t="s">
        <v>254</v>
      </c>
      <c r="B126" s="103">
        <f>_xlfn.XLOOKUP(A126,'[2]FRV Output'!$B:$B,'[2]FRV Output'!$F:$F)</f>
        <v>1356346191</v>
      </c>
      <c r="C126" s="104">
        <v>3</v>
      </c>
      <c r="D126" s="104">
        <v>2017</v>
      </c>
      <c r="E126" s="105">
        <v>159916</v>
      </c>
      <c r="F126" s="106" t="s">
        <v>528</v>
      </c>
      <c r="G126" s="104">
        <v>3</v>
      </c>
      <c r="H126" s="104">
        <v>2018</v>
      </c>
      <c r="I126" s="105">
        <v>162801</v>
      </c>
      <c r="J126" s="106" t="s">
        <v>528</v>
      </c>
      <c r="K126" s="104">
        <v>3</v>
      </c>
      <c r="L126" s="104">
        <v>2020</v>
      </c>
      <c r="M126" s="105">
        <v>135935</v>
      </c>
      <c r="N126" s="106" t="s">
        <v>528</v>
      </c>
      <c r="O126" s="104">
        <v>3</v>
      </c>
      <c r="P126" s="104">
        <v>2021</v>
      </c>
      <c r="Q126" s="105">
        <v>950195</v>
      </c>
      <c r="R126" s="106" t="s">
        <v>528</v>
      </c>
      <c r="S126" s="104"/>
      <c r="T126" s="104"/>
      <c r="U126" s="105"/>
      <c r="V126" s="106" t="s">
        <v>528</v>
      </c>
      <c r="W126" s="104"/>
      <c r="X126" s="104"/>
      <c r="Y126" s="105"/>
    </row>
    <row r="127" spans="1:25" x14ac:dyDescent="0.25">
      <c r="A127" s="103" t="s">
        <v>255</v>
      </c>
      <c r="B127" s="103">
        <f>_xlfn.XLOOKUP(A127,'[2]FRV Output'!$B:$B,'[2]FRV Output'!$F:$F)</f>
        <v>1477537199</v>
      </c>
      <c r="C127" s="104"/>
      <c r="D127" s="104"/>
      <c r="E127" s="105"/>
      <c r="F127" s="106" t="s">
        <v>528</v>
      </c>
      <c r="G127" s="104"/>
      <c r="H127" s="104"/>
      <c r="I127" s="105"/>
      <c r="J127" s="106" t="s">
        <v>528</v>
      </c>
      <c r="K127" s="104"/>
      <c r="L127" s="104"/>
      <c r="M127" s="105"/>
      <c r="N127" s="106" t="s">
        <v>528</v>
      </c>
      <c r="O127" s="104"/>
      <c r="P127" s="104"/>
      <c r="Q127" s="105"/>
      <c r="R127" s="106" t="s">
        <v>528</v>
      </c>
      <c r="S127" s="104"/>
      <c r="T127" s="104"/>
      <c r="U127" s="105"/>
      <c r="V127" s="106" t="s">
        <v>528</v>
      </c>
      <c r="W127" s="104"/>
      <c r="X127" s="104"/>
      <c r="Y127" s="105"/>
    </row>
    <row r="128" spans="1:25" x14ac:dyDescent="0.25">
      <c r="A128" s="107" t="s">
        <v>598</v>
      </c>
      <c r="B128" s="103">
        <f>_xlfn.XLOOKUP(A128,'[2]FRV Output'!$B:$B,'[2]FRV Output'!$F:$F)</f>
        <v>1831551514</v>
      </c>
      <c r="C128" s="104">
        <v>3</v>
      </c>
      <c r="D128" s="104">
        <v>2018</v>
      </c>
      <c r="E128" s="105">
        <v>189321</v>
      </c>
      <c r="F128" s="106" t="s">
        <v>528</v>
      </c>
      <c r="G128" s="104">
        <v>3</v>
      </c>
      <c r="H128" s="104">
        <v>2019</v>
      </c>
      <c r="I128" s="105">
        <v>110487</v>
      </c>
      <c r="J128" s="106" t="s">
        <v>528</v>
      </c>
      <c r="K128" s="104"/>
      <c r="L128" s="104"/>
      <c r="M128" s="105"/>
      <c r="N128" s="106" t="s">
        <v>528</v>
      </c>
      <c r="O128" s="104"/>
      <c r="P128" s="104"/>
      <c r="Q128" s="105"/>
      <c r="R128" s="106" t="s">
        <v>528</v>
      </c>
      <c r="S128" s="104"/>
      <c r="T128" s="104"/>
      <c r="U128" s="105"/>
      <c r="V128" s="106" t="s">
        <v>528</v>
      </c>
      <c r="W128" s="104"/>
      <c r="X128" s="104"/>
      <c r="Y128" s="105"/>
    </row>
    <row r="129" spans="1:25" x14ac:dyDescent="0.25">
      <c r="A129" s="103" t="s">
        <v>599</v>
      </c>
      <c r="B129" s="103">
        <f>_xlfn.XLOOKUP(A129,'[2]FRV Output'!$B:$B,'[2]FRV Output'!$F:$F)</f>
        <v>1154792000</v>
      </c>
      <c r="C129" s="104"/>
      <c r="D129" s="104"/>
      <c r="E129" s="105"/>
      <c r="F129" s="106" t="s">
        <v>528</v>
      </c>
      <c r="G129" s="104"/>
      <c r="H129" s="104"/>
      <c r="I129" s="105"/>
      <c r="J129" s="106" t="s">
        <v>528</v>
      </c>
      <c r="K129" s="104"/>
      <c r="L129" s="104"/>
      <c r="M129" s="105"/>
      <c r="N129" s="106" t="s">
        <v>528</v>
      </c>
      <c r="O129" s="104"/>
      <c r="P129" s="104"/>
      <c r="Q129" s="105"/>
      <c r="R129" s="106" t="s">
        <v>528</v>
      </c>
      <c r="S129" s="104"/>
      <c r="T129" s="104"/>
      <c r="U129" s="105"/>
      <c r="V129" s="106" t="s">
        <v>528</v>
      </c>
      <c r="W129" s="104"/>
      <c r="X129" s="104"/>
      <c r="Y129" s="105"/>
    </row>
    <row r="130" spans="1:25" x14ac:dyDescent="0.25">
      <c r="A130" s="103" t="s">
        <v>257</v>
      </c>
      <c r="B130" s="103">
        <f>_xlfn.XLOOKUP(A130,'[2]FRV Output'!$B:$B,'[2]FRV Output'!$F:$F)</f>
        <v>1184196206</v>
      </c>
      <c r="C130" s="104"/>
      <c r="D130" s="104"/>
      <c r="E130" s="105"/>
      <c r="F130" s="106" t="s">
        <v>528</v>
      </c>
      <c r="G130" s="104"/>
      <c r="H130" s="104"/>
      <c r="I130" s="105"/>
      <c r="J130" s="106" t="s">
        <v>528</v>
      </c>
      <c r="K130" s="104"/>
      <c r="L130" s="104"/>
      <c r="M130" s="105"/>
      <c r="N130" s="106" t="s">
        <v>528</v>
      </c>
      <c r="O130" s="104"/>
      <c r="P130" s="104"/>
      <c r="Q130" s="105"/>
      <c r="R130" s="106" t="s">
        <v>528</v>
      </c>
      <c r="S130" s="104"/>
      <c r="T130" s="104"/>
      <c r="U130" s="105"/>
      <c r="V130" s="106" t="s">
        <v>528</v>
      </c>
      <c r="W130" s="104"/>
      <c r="X130" s="104"/>
      <c r="Y130" s="105"/>
    </row>
    <row r="131" spans="1:25" x14ac:dyDescent="0.25">
      <c r="A131" s="107" t="s">
        <v>600</v>
      </c>
      <c r="B131" s="103">
        <f>_xlfn.XLOOKUP(A131,'[2]FRV Output'!$B:$B,'[2]FRV Output'!$F:$F)</f>
        <v>1003366311</v>
      </c>
      <c r="C131" s="104">
        <v>3</v>
      </c>
      <c r="D131" s="104">
        <v>2019</v>
      </c>
      <c r="E131" s="105">
        <v>126904</v>
      </c>
      <c r="F131" s="106" t="s">
        <v>528</v>
      </c>
      <c r="G131" s="104">
        <v>3</v>
      </c>
      <c r="H131" s="104">
        <v>2020</v>
      </c>
      <c r="I131" s="105">
        <v>136134</v>
      </c>
      <c r="J131" s="106" t="s">
        <v>528</v>
      </c>
      <c r="K131" s="104"/>
      <c r="L131" s="104"/>
      <c r="M131" s="105"/>
      <c r="N131" s="106" t="s">
        <v>528</v>
      </c>
      <c r="O131" s="104"/>
      <c r="P131" s="104"/>
      <c r="Q131" s="105"/>
      <c r="R131" s="106" t="s">
        <v>528</v>
      </c>
      <c r="S131" s="104"/>
      <c r="T131" s="104"/>
      <c r="U131" s="105"/>
      <c r="V131" s="106" t="s">
        <v>528</v>
      </c>
      <c r="W131" s="104"/>
      <c r="X131" s="104"/>
      <c r="Y131" s="105"/>
    </row>
    <row r="132" spans="1:25" x14ac:dyDescent="0.25">
      <c r="A132" s="103" t="s">
        <v>258</v>
      </c>
      <c r="B132" s="103">
        <f>_xlfn.XLOOKUP(A132,'[2]FRV Output'!$B:$B,'[2]FRV Output'!$F:$F)</f>
        <v>1750418802</v>
      </c>
      <c r="C132" s="104"/>
      <c r="D132" s="104"/>
      <c r="E132" s="105"/>
      <c r="F132" s="106" t="s">
        <v>528</v>
      </c>
      <c r="G132" s="104"/>
      <c r="H132" s="104"/>
      <c r="I132" s="105"/>
      <c r="J132" s="106" t="s">
        <v>528</v>
      </c>
      <c r="K132" s="104"/>
      <c r="L132" s="104"/>
      <c r="M132" s="105"/>
      <c r="N132" s="106" t="s">
        <v>528</v>
      </c>
      <c r="O132" s="104"/>
      <c r="P132" s="104"/>
      <c r="Q132" s="105"/>
      <c r="R132" s="106" t="s">
        <v>528</v>
      </c>
      <c r="S132" s="104"/>
      <c r="T132" s="104"/>
      <c r="U132" s="105"/>
      <c r="V132" s="106" t="s">
        <v>528</v>
      </c>
      <c r="W132" s="104"/>
      <c r="X132" s="104"/>
      <c r="Y132" s="105"/>
    </row>
    <row r="133" spans="1:25" x14ac:dyDescent="0.25">
      <c r="A133" s="103" t="s">
        <v>601</v>
      </c>
      <c r="B133" s="103">
        <f>_xlfn.XLOOKUP(A133,'[2]FRV Output'!$B:$B,'[2]FRV Output'!$F:$F)</f>
        <v>1659365666</v>
      </c>
      <c r="C133" s="104"/>
      <c r="D133" s="104"/>
      <c r="E133" s="105"/>
      <c r="F133" s="106" t="s">
        <v>528</v>
      </c>
      <c r="G133" s="104"/>
      <c r="H133" s="104"/>
      <c r="I133" s="105"/>
      <c r="J133" s="106" t="s">
        <v>528</v>
      </c>
      <c r="K133" s="104"/>
      <c r="L133" s="104"/>
      <c r="M133" s="105"/>
      <c r="N133" s="106" t="s">
        <v>528</v>
      </c>
      <c r="O133" s="104"/>
      <c r="P133" s="104"/>
      <c r="Q133" s="105"/>
      <c r="R133" s="106" t="s">
        <v>528</v>
      </c>
      <c r="S133" s="104"/>
      <c r="T133" s="104"/>
      <c r="U133" s="105"/>
      <c r="V133" s="106" t="s">
        <v>528</v>
      </c>
      <c r="W133" s="104"/>
      <c r="X133" s="104"/>
      <c r="Y133" s="105"/>
    </row>
    <row r="134" spans="1:25" x14ac:dyDescent="0.25">
      <c r="A134" s="103" t="s">
        <v>259</v>
      </c>
      <c r="B134" s="103">
        <f>_xlfn.XLOOKUP(A134,'[2]FRV Output'!$B:$B,'[2]FRV Output'!$F:$F)</f>
        <v>1265556294</v>
      </c>
      <c r="C134" s="104">
        <v>3</v>
      </c>
      <c r="D134" s="104">
        <v>2018</v>
      </c>
      <c r="E134" s="105">
        <v>90857</v>
      </c>
      <c r="F134" s="106" t="s">
        <v>528</v>
      </c>
      <c r="G134" s="104">
        <v>3</v>
      </c>
      <c r="H134" s="104">
        <v>2020</v>
      </c>
      <c r="I134" s="105">
        <v>143728</v>
      </c>
      <c r="J134" s="106" t="s">
        <v>528</v>
      </c>
      <c r="K134" s="104"/>
      <c r="L134" s="104"/>
      <c r="M134" s="105"/>
      <c r="N134" s="106" t="s">
        <v>528</v>
      </c>
      <c r="O134" s="104"/>
      <c r="P134" s="104"/>
      <c r="Q134" s="105"/>
      <c r="R134" s="106" t="s">
        <v>528</v>
      </c>
      <c r="S134" s="104"/>
      <c r="T134" s="104"/>
      <c r="U134" s="105"/>
      <c r="V134" s="106" t="s">
        <v>528</v>
      </c>
      <c r="W134" s="104"/>
      <c r="X134" s="104"/>
      <c r="Y134" s="105"/>
    </row>
    <row r="135" spans="1:25" x14ac:dyDescent="0.25">
      <c r="A135" s="103" t="s">
        <v>602</v>
      </c>
      <c r="B135" s="103">
        <f>_xlfn.XLOOKUP(A135,'[2]FRV Output'!$B:$B,'[2]FRV Output'!$F:$F)</f>
        <v>1952766271</v>
      </c>
      <c r="C135" s="104">
        <v>3</v>
      </c>
      <c r="D135" s="104">
        <v>2016</v>
      </c>
      <c r="E135" s="105">
        <v>183846</v>
      </c>
      <c r="F135" s="106" t="s">
        <v>528</v>
      </c>
      <c r="G135" s="104">
        <v>3</v>
      </c>
      <c r="H135" s="104">
        <v>2018</v>
      </c>
      <c r="I135" s="105">
        <v>188852</v>
      </c>
      <c r="J135" s="106" t="s">
        <v>528</v>
      </c>
      <c r="K135" s="104">
        <v>1</v>
      </c>
      <c r="L135" s="104">
        <v>2021</v>
      </c>
      <c r="M135" s="105">
        <v>24</v>
      </c>
      <c r="N135" s="106" t="s">
        <v>603</v>
      </c>
      <c r="O135" s="104"/>
      <c r="P135" s="104"/>
      <c r="Q135" s="105"/>
      <c r="R135" s="106" t="s">
        <v>528</v>
      </c>
      <c r="S135" s="104"/>
      <c r="T135" s="104"/>
      <c r="U135" s="105"/>
      <c r="V135" s="106" t="s">
        <v>528</v>
      </c>
      <c r="W135" s="104"/>
      <c r="X135" s="104"/>
      <c r="Y135" s="105"/>
    </row>
    <row r="136" spans="1:25" x14ac:dyDescent="0.25">
      <c r="A136" s="107" t="s">
        <v>261</v>
      </c>
      <c r="B136" s="103">
        <f>_xlfn.XLOOKUP(A136,'[2]FRV Output'!$B:$B,'[2]FRV Output'!$F:$F)</f>
        <v>1609124155</v>
      </c>
      <c r="C136" s="104">
        <v>3</v>
      </c>
      <c r="D136" s="104">
        <v>2018</v>
      </c>
      <c r="E136" s="105">
        <v>77247</v>
      </c>
      <c r="F136" s="106" t="s">
        <v>528</v>
      </c>
      <c r="G136" s="104">
        <v>3</v>
      </c>
      <c r="H136" s="104">
        <v>2019</v>
      </c>
      <c r="I136" s="105">
        <v>50413</v>
      </c>
      <c r="J136" s="106" t="s">
        <v>528</v>
      </c>
      <c r="K136" s="104">
        <v>3</v>
      </c>
      <c r="L136" s="104">
        <v>2021</v>
      </c>
      <c r="M136" s="105">
        <v>55455</v>
      </c>
      <c r="N136" s="106" t="s">
        <v>528</v>
      </c>
      <c r="O136" s="104"/>
      <c r="P136" s="104"/>
      <c r="Q136" s="105"/>
      <c r="R136" s="106" t="s">
        <v>528</v>
      </c>
      <c r="S136" s="104"/>
      <c r="T136" s="104"/>
      <c r="U136" s="105"/>
      <c r="V136" s="106" t="s">
        <v>528</v>
      </c>
      <c r="W136" s="104"/>
      <c r="X136" s="104"/>
      <c r="Y136" s="105"/>
    </row>
    <row r="137" spans="1:25" x14ac:dyDescent="0.25">
      <c r="A137" s="103" t="s">
        <v>262</v>
      </c>
      <c r="B137" s="103">
        <f>_xlfn.XLOOKUP(A137,'[2]FRV Output'!$B:$B,'[2]FRV Output'!$F:$F)</f>
        <v>1407803828</v>
      </c>
      <c r="C137" s="104">
        <v>3</v>
      </c>
      <c r="D137" s="104">
        <v>2018</v>
      </c>
      <c r="E137" s="105">
        <v>52129</v>
      </c>
      <c r="F137" s="106" t="s">
        <v>528</v>
      </c>
      <c r="G137" s="104">
        <v>3</v>
      </c>
      <c r="H137" s="104">
        <v>2021</v>
      </c>
      <c r="I137" s="105">
        <v>105383</v>
      </c>
      <c r="J137" s="106" t="s">
        <v>528</v>
      </c>
      <c r="K137" s="104"/>
      <c r="L137" s="104"/>
      <c r="M137" s="105"/>
      <c r="N137" s="106" t="s">
        <v>528</v>
      </c>
      <c r="O137" s="104"/>
      <c r="P137" s="104"/>
      <c r="Q137" s="105"/>
      <c r="R137" s="106" t="s">
        <v>528</v>
      </c>
      <c r="S137" s="104"/>
      <c r="T137" s="104"/>
      <c r="U137" s="105"/>
      <c r="V137" s="106" t="s">
        <v>528</v>
      </c>
      <c r="W137" s="104"/>
      <c r="X137" s="104"/>
      <c r="Y137" s="105"/>
    </row>
    <row r="138" spans="1:25" x14ac:dyDescent="0.25">
      <c r="A138" s="103" t="s">
        <v>604</v>
      </c>
      <c r="B138" s="103">
        <f>_xlfn.XLOOKUP(A138,'[2]FRV Output'!$B:$B,'[2]FRV Output'!$F:$F)</f>
        <v>1821024274</v>
      </c>
      <c r="C138" s="104"/>
      <c r="D138" s="104"/>
      <c r="E138" s="105"/>
      <c r="F138" s="106" t="s">
        <v>528</v>
      </c>
      <c r="G138" s="104"/>
      <c r="H138" s="104"/>
      <c r="I138" s="105"/>
      <c r="J138" s="106" t="s">
        <v>528</v>
      </c>
      <c r="K138" s="104"/>
      <c r="L138" s="104"/>
      <c r="M138" s="105"/>
      <c r="N138" s="106" t="s">
        <v>528</v>
      </c>
      <c r="O138" s="104"/>
      <c r="P138" s="104"/>
      <c r="Q138" s="105"/>
      <c r="R138" s="106" t="s">
        <v>528</v>
      </c>
      <c r="S138" s="104"/>
      <c r="T138" s="104"/>
      <c r="U138" s="105"/>
      <c r="V138" s="106" t="s">
        <v>528</v>
      </c>
      <c r="W138" s="104"/>
      <c r="X138" s="104"/>
      <c r="Y138" s="105"/>
    </row>
    <row r="139" spans="1:25" x14ac:dyDescent="0.25">
      <c r="A139" s="103" t="s">
        <v>605</v>
      </c>
      <c r="B139" s="103">
        <f>_xlfn.XLOOKUP(A139,'[2]FRV Output'!$B:$B,'[2]FRV Output'!$F:$F)</f>
        <v>1770995094</v>
      </c>
      <c r="C139" s="104">
        <v>3</v>
      </c>
      <c r="D139" s="104">
        <v>2016</v>
      </c>
      <c r="E139" s="105">
        <v>92613</v>
      </c>
      <c r="F139" s="106" t="s">
        <v>528</v>
      </c>
      <c r="G139" s="104">
        <v>3</v>
      </c>
      <c r="H139" s="104">
        <v>2021</v>
      </c>
      <c r="I139" s="105">
        <v>107658</v>
      </c>
      <c r="J139" s="106" t="s">
        <v>528</v>
      </c>
      <c r="K139" s="104"/>
      <c r="L139" s="104"/>
      <c r="M139" s="105"/>
      <c r="N139" s="106" t="s">
        <v>528</v>
      </c>
      <c r="O139" s="104"/>
      <c r="P139" s="104"/>
      <c r="Q139" s="105"/>
      <c r="R139" s="106" t="s">
        <v>528</v>
      </c>
      <c r="S139" s="104"/>
      <c r="T139" s="104"/>
      <c r="U139" s="105"/>
      <c r="V139" s="106" t="s">
        <v>528</v>
      </c>
      <c r="W139" s="104"/>
      <c r="X139" s="104"/>
      <c r="Y139" s="105"/>
    </row>
    <row r="140" spans="1:25" x14ac:dyDescent="0.25">
      <c r="A140" s="107" t="s">
        <v>265</v>
      </c>
      <c r="B140" s="103">
        <f>_xlfn.XLOOKUP(A140,'[2]FRV Output'!$B:$B,'[2]FRV Output'!$F:$F)</f>
        <v>1275508970</v>
      </c>
      <c r="C140" s="104">
        <v>3</v>
      </c>
      <c r="D140" s="104">
        <v>2016</v>
      </c>
      <c r="E140" s="105">
        <v>17283</v>
      </c>
      <c r="F140" s="106" t="s">
        <v>528</v>
      </c>
      <c r="G140" s="104">
        <v>3</v>
      </c>
      <c r="H140" s="104">
        <v>2018</v>
      </c>
      <c r="I140" s="105">
        <v>26036</v>
      </c>
      <c r="J140" s="106" t="s">
        <v>528</v>
      </c>
      <c r="K140" s="104">
        <v>3</v>
      </c>
      <c r="L140" s="104">
        <v>2019</v>
      </c>
      <c r="M140" s="105">
        <v>17404</v>
      </c>
      <c r="N140" s="106" t="s">
        <v>528</v>
      </c>
      <c r="O140" s="104">
        <v>3</v>
      </c>
      <c r="P140" s="104">
        <v>2020</v>
      </c>
      <c r="Q140" s="105">
        <v>16926</v>
      </c>
      <c r="R140" s="106" t="s">
        <v>528</v>
      </c>
      <c r="S140" s="104">
        <v>3</v>
      </c>
      <c r="T140" s="104">
        <v>2021</v>
      </c>
      <c r="U140" s="105">
        <v>36164</v>
      </c>
      <c r="V140" s="106" t="s">
        <v>528</v>
      </c>
      <c r="W140" s="104"/>
      <c r="X140" s="104"/>
      <c r="Y140" s="105"/>
    </row>
    <row r="141" spans="1:25" x14ac:dyDescent="0.25">
      <c r="A141" s="103" t="s">
        <v>266</v>
      </c>
      <c r="B141" s="103">
        <f>_xlfn.XLOOKUP(A141,'[2]FRV Output'!$B:$B,'[2]FRV Output'!$F:$F)</f>
        <v>1417944752</v>
      </c>
      <c r="C141" s="104">
        <v>3</v>
      </c>
      <c r="D141" s="104">
        <v>2020</v>
      </c>
      <c r="E141" s="105">
        <v>321912</v>
      </c>
      <c r="F141" s="106" t="s">
        <v>528</v>
      </c>
      <c r="G141" s="104">
        <v>3</v>
      </c>
      <c r="H141" s="104">
        <v>2021</v>
      </c>
      <c r="I141" s="105">
        <v>227215</v>
      </c>
      <c r="J141" s="106" t="s">
        <v>528</v>
      </c>
      <c r="K141" s="104"/>
      <c r="L141" s="104"/>
      <c r="M141" s="105"/>
      <c r="N141" s="106" t="s">
        <v>528</v>
      </c>
      <c r="O141" s="104"/>
      <c r="P141" s="104"/>
      <c r="Q141" s="105"/>
      <c r="R141" s="106" t="s">
        <v>528</v>
      </c>
      <c r="S141" s="104"/>
      <c r="T141" s="104"/>
      <c r="U141" s="105"/>
      <c r="V141" s="106" t="s">
        <v>528</v>
      </c>
      <c r="W141" s="104"/>
      <c r="X141" s="104"/>
      <c r="Y141" s="105"/>
    </row>
    <row r="142" spans="1:25" x14ac:dyDescent="0.25">
      <c r="A142" s="103" t="s">
        <v>267</v>
      </c>
      <c r="B142" s="103">
        <f>_xlfn.XLOOKUP(A142,'[2]FRV Output'!$B:$B,'[2]FRV Output'!$F:$F)</f>
        <v>1396747689</v>
      </c>
      <c r="C142" s="104">
        <v>3</v>
      </c>
      <c r="D142" s="104">
        <v>2016</v>
      </c>
      <c r="E142" s="105">
        <v>376856</v>
      </c>
      <c r="F142" s="106" t="s">
        <v>528</v>
      </c>
      <c r="G142" s="104">
        <v>3</v>
      </c>
      <c r="H142" s="104">
        <v>2020</v>
      </c>
      <c r="I142" s="105">
        <v>61588</v>
      </c>
      <c r="J142" s="106" t="s">
        <v>528</v>
      </c>
      <c r="K142" s="104">
        <v>3</v>
      </c>
      <c r="L142" s="104">
        <v>2021</v>
      </c>
      <c r="M142" s="105">
        <v>84360</v>
      </c>
      <c r="N142" s="106" t="s">
        <v>528</v>
      </c>
      <c r="O142" s="104"/>
      <c r="P142" s="104"/>
      <c r="Q142" s="105"/>
      <c r="R142" s="106" t="s">
        <v>528</v>
      </c>
      <c r="S142" s="104"/>
      <c r="T142" s="104"/>
      <c r="U142" s="105"/>
      <c r="V142" s="106" t="s">
        <v>528</v>
      </c>
      <c r="W142" s="104"/>
      <c r="X142" s="104"/>
      <c r="Y142" s="105"/>
    </row>
    <row r="143" spans="1:25" x14ac:dyDescent="0.25">
      <c r="A143" s="103" t="s">
        <v>268</v>
      </c>
      <c r="B143" s="103">
        <f>_xlfn.XLOOKUP(A143,'[2]FRV Output'!$B:$B,'[2]FRV Output'!$F:$F)</f>
        <v>1932135381</v>
      </c>
      <c r="C143" s="104">
        <v>3</v>
      </c>
      <c r="D143" s="104">
        <v>2018</v>
      </c>
      <c r="E143" s="105">
        <v>34555</v>
      </c>
      <c r="F143" s="106" t="s">
        <v>528</v>
      </c>
      <c r="G143" s="104">
        <v>3</v>
      </c>
      <c r="H143" s="104">
        <v>2020</v>
      </c>
      <c r="I143" s="105">
        <v>51578</v>
      </c>
      <c r="J143" s="106" t="s">
        <v>528</v>
      </c>
      <c r="K143" s="104">
        <v>3</v>
      </c>
      <c r="L143" s="104">
        <v>2021</v>
      </c>
      <c r="M143" s="105">
        <v>55332</v>
      </c>
      <c r="N143" s="106" t="s">
        <v>528</v>
      </c>
      <c r="O143" s="104"/>
      <c r="P143" s="104"/>
      <c r="Q143" s="105"/>
      <c r="R143" s="106" t="s">
        <v>528</v>
      </c>
      <c r="S143" s="104"/>
      <c r="T143" s="104"/>
      <c r="U143" s="105"/>
      <c r="V143" s="106" t="s">
        <v>528</v>
      </c>
      <c r="W143" s="104"/>
      <c r="X143" s="104"/>
      <c r="Y143" s="105"/>
    </row>
    <row r="144" spans="1:25" x14ac:dyDescent="0.25">
      <c r="A144" s="107" t="s">
        <v>269</v>
      </c>
      <c r="B144" s="103">
        <f>_xlfn.XLOOKUP(A144,'[2]FRV Output'!$B:$B,'[2]FRV Output'!$F:$F)</f>
        <v>1710932355</v>
      </c>
      <c r="C144" s="104">
        <v>3</v>
      </c>
      <c r="D144" s="104">
        <v>2016</v>
      </c>
      <c r="E144" s="105">
        <v>30750</v>
      </c>
      <c r="F144" s="106" t="s">
        <v>528</v>
      </c>
      <c r="G144" s="104">
        <v>3</v>
      </c>
      <c r="H144" s="104">
        <v>2017</v>
      </c>
      <c r="I144" s="105">
        <v>67319</v>
      </c>
      <c r="J144" s="106" t="s">
        <v>528</v>
      </c>
      <c r="K144" s="104">
        <v>3</v>
      </c>
      <c r="L144" s="104">
        <v>2018</v>
      </c>
      <c r="M144" s="105">
        <v>38687</v>
      </c>
      <c r="N144" s="106" t="s">
        <v>528</v>
      </c>
      <c r="O144" s="104">
        <v>3</v>
      </c>
      <c r="P144" s="104">
        <v>2019</v>
      </c>
      <c r="Q144" s="105">
        <v>154884</v>
      </c>
      <c r="R144" s="106" t="s">
        <v>528</v>
      </c>
      <c r="S144" s="104">
        <v>3</v>
      </c>
      <c r="T144" s="104">
        <v>2020</v>
      </c>
      <c r="U144" s="105">
        <v>131321</v>
      </c>
      <c r="V144" s="106" t="s">
        <v>528</v>
      </c>
      <c r="W144" s="104"/>
      <c r="X144" s="104"/>
      <c r="Y144" s="105"/>
    </row>
    <row r="145" spans="1:25" x14ac:dyDescent="0.25">
      <c r="A145" s="103" t="s">
        <v>606</v>
      </c>
      <c r="B145" s="103">
        <f>_xlfn.XLOOKUP(A145,'[2]FRV Output'!$B:$B,'[2]FRV Output'!$F:$F)</f>
        <v>1376570275</v>
      </c>
      <c r="C145" s="104">
        <v>3</v>
      </c>
      <c r="D145" s="104">
        <v>2021</v>
      </c>
      <c r="E145" s="105">
        <v>165263</v>
      </c>
      <c r="F145" s="106" t="s">
        <v>528</v>
      </c>
      <c r="G145" s="104"/>
      <c r="H145" s="104"/>
      <c r="I145" s="105"/>
      <c r="J145" s="106" t="s">
        <v>528</v>
      </c>
      <c r="K145" s="104"/>
      <c r="L145" s="104"/>
      <c r="M145" s="105"/>
      <c r="N145" s="106" t="s">
        <v>528</v>
      </c>
      <c r="O145" s="104"/>
      <c r="P145" s="104"/>
      <c r="Q145" s="105"/>
      <c r="R145" s="106" t="s">
        <v>528</v>
      </c>
      <c r="S145" s="104"/>
      <c r="T145" s="104"/>
      <c r="U145" s="105"/>
      <c r="V145" s="106" t="s">
        <v>528</v>
      </c>
      <c r="W145" s="104"/>
      <c r="X145" s="104"/>
      <c r="Y145" s="105"/>
    </row>
    <row r="146" spans="1:25" x14ac:dyDescent="0.25">
      <c r="A146" s="103" t="s">
        <v>271</v>
      </c>
      <c r="B146" s="103">
        <f>_xlfn.XLOOKUP(A146,'[2]FRV Output'!$B:$B,'[2]FRV Output'!$F:$F)</f>
        <v>1417951492</v>
      </c>
      <c r="C146" s="104"/>
      <c r="D146" s="104"/>
      <c r="E146" s="105"/>
      <c r="F146" s="106" t="s">
        <v>528</v>
      </c>
      <c r="G146" s="104"/>
      <c r="H146" s="104"/>
      <c r="I146" s="105"/>
      <c r="J146" s="106" t="s">
        <v>528</v>
      </c>
      <c r="K146" s="104"/>
      <c r="L146" s="104"/>
      <c r="M146" s="105"/>
      <c r="N146" s="106" t="s">
        <v>528</v>
      </c>
      <c r="O146" s="104"/>
      <c r="P146" s="104"/>
      <c r="Q146" s="105"/>
      <c r="R146" s="106" t="s">
        <v>528</v>
      </c>
      <c r="S146" s="104"/>
      <c r="T146" s="104"/>
      <c r="U146" s="105"/>
      <c r="V146" s="106" t="s">
        <v>528</v>
      </c>
      <c r="W146" s="104"/>
      <c r="X146" s="104"/>
      <c r="Y146" s="105"/>
    </row>
    <row r="147" spans="1:25" x14ac:dyDescent="0.25">
      <c r="A147" s="107" t="s">
        <v>272</v>
      </c>
      <c r="B147" s="103">
        <f>_xlfn.XLOOKUP(A147,'[2]FRV Output'!$B:$B,'[2]FRV Output'!$F:$F)</f>
        <v>1730183625</v>
      </c>
      <c r="C147" s="104"/>
      <c r="D147" s="104"/>
      <c r="E147" s="105"/>
      <c r="F147" s="113" t="s">
        <v>528</v>
      </c>
      <c r="G147" s="104"/>
      <c r="H147" s="104"/>
      <c r="I147" s="105"/>
      <c r="J147" s="113" t="s">
        <v>528</v>
      </c>
      <c r="K147" s="104"/>
      <c r="L147" s="104"/>
      <c r="M147" s="105"/>
      <c r="N147" s="113" t="s">
        <v>528</v>
      </c>
      <c r="O147" s="104"/>
      <c r="P147" s="104"/>
      <c r="Q147" s="105"/>
      <c r="R147" s="113" t="s">
        <v>528</v>
      </c>
      <c r="S147" s="104"/>
      <c r="T147" s="104"/>
      <c r="U147" s="105"/>
      <c r="V147" s="106" t="s">
        <v>528</v>
      </c>
      <c r="W147" s="104"/>
      <c r="X147" s="104"/>
      <c r="Y147" s="105"/>
    </row>
    <row r="148" spans="1:25" x14ac:dyDescent="0.25">
      <c r="A148" s="103" t="s">
        <v>607</v>
      </c>
      <c r="B148" s="103">
        <f>_xlfn.XLOOKUP(A148,'[2]FRV Output'!$B:$B,'[2]FRV Output'!$F:$F)</f>
        <v>1730136128</v>
      </c>
      <c r="C148" s="104">
        <v>3</v>
      </c>
      <c r="D148" s="104">
        <v>2017</v>
      </c>
      <c r="E148" s="105">
        <v>65406</v>
      </c>
      <c r="F148" s="106" t="s">
        <v>528</v>
      </c>
      <c r="G148" s="104">
        <v>3</v>
      </c>
      <c r="H148" s="104">
        <v>2018</v>
      </c>
      <c r="I148" s="105">
        <v>148431</v>
      </c>
      <c r="J148" s="106" t="s">
        <v>528</v>
      </c>
      <c r="K148" s="104"/>
      <c r="L148" s="104"/>
      <c r="M148" s="105"/>
      <c r="N148" s="106" t="s">
        <v>528</v>
      </c>
      <c r="O148" s="104"/>
      <c r="P148" s="104"/>
      <c r="Q148" s="105"/>
      <c r="R148" s="106" t="s">
        <v>528</v>
      </c>
      <c r="S148" s="104"/>
      <c r="T148" s="104"/>
      <c r="U148" s="105"/>
      <c r="V148" s="106" t="s">
        <v>528</v>
      </c>
      <c r="W148" s="104"/>
      <c r="X148" s="104"/>
      <c r="Y148" s="105"/>
    </row>
    <row r="149" spans="1:25" x14ac:dyDescent="0.25">
      <c r="A149" s="107" t="s">
        <v>274</v>
      </c>
      <c r="B149" s="103">
        <f>_xlfn.XLOOKUP(A149,'[2]FRV Output'!$B:$B,'[2]FRV Output'!$F:$F)</f>
        <v>1679555403</v>
      </c>
      <c r="C149" s="104">
        <v>3</v>
      </c>
      <c r="D149" s="104">
        <v>2016</v>
      </c>
      <c r="E149" s="105">
        <v>146564</v>
      </c>
      <c r="F149" s="106" t="s">
        <v>528</v>
      </c>
      <c r="G149" s="104">
        <v>3</v>
      </c>
      <c r="H149" s="104">
        <v>2017</v>
      </c>
      <c r="I149" s="105">
        <v>124810</v>
      </c>
      <c r="J149" s="106" t="s">
        <v>528</v>
      </c>
      <c r="K149" s="104">
        <v>3</v>
      </c>
      <c r="L149" s="104">
        <v>2018</v>
      </c>
      <c r="M149" s="105">
        <v>115738</v>
      </c>
      <c r="N149" s="106" t="s">
        <v>528</v>
      </c>
      <c r="O149" s="104">
        <v>3</v>
      </c>
      <c r="P149" s="104">
        <v>2019</v>
      </c>
      <c r="Q149" s="105">
        <v>241225</v>
      </c>
      <c r="R149" s="106" t="s">
        <v>528</v>
      </c>
      <c r="S149" s="104">
        <v>3</v>
      </c>
      <c r="T149" s="104">
        <v>2020</v>
      </c>
      <c r="U149" s="105">
        <v>87808</v>
      </c>
      <c r="V149" s="106" t="s">
        <v>528</v>
      </c>
      <c r="W149" s="104">
        <v>3</v>
      </c>
      <c r="X149" s="104">
        <v>2021</v>
      </c>
      <c r="Y149" s="105">
        <v>71750</v>
      </c>
    </row>
    <row r="150" spans="1:25" x14ac:dyDescent="0.25">
      <c r="A150" s="103" t="s">
        <v>275</v>
      </c>
      <c r="B150" s="103">
        <f>_xlfn.XLOOKUP(A150,'[2]FRV Output'!$B:$B,'[2]FRV Output'!$F:$F)</f>
        <v>1982948550</v>
      </c>
      <c r="C150" s="104">
        <v>3</v>
      </c>
      <c r="D150" s="104">
        <v>2016</v>
      </c>
      <c r="E150" s="105">
        <v>138198</v>
      </c>
      <c r="F150" s="106" t="s">
        <v>528</v>
      </c>
      <c r="G150" s="104">
        <v>3</v>
      </c>
      <c r="H150" s="104">
        <v>2017</v>
      </c>
      <c r="I150" s="105">
        <v>49303</v>
      </c>
      <c r="J150" s="106" t="s">
        <v>528</v>
      </c>
      <c r="K150" s="104">
        <v>3</v>
      </c>
      <c r="L150" s="104">
        <v>2018</v>
      </c>
      <c r="M150" s="105">
        <v>33635</v>
      </c>
      <c r="N150" s="106" t="s">
        <v>528</v>
      </c>
      <c r="O150" s="104">
        <v>3</v>
      </c>
      <c r="P150" s="104">
        <v>2020</v>
      </c>
      <c r="Q150" s="105">
        <v>38538</v>
      </c>
      <c r="R150" s="106" t="s">
        <v>528</v>
      </c>
      <c r="S150" s="104"/>
      <c r="T150" s="104"/>
      <c r="U150" s="105"/>
      <c r="V150" s="106" t="s">
        <v>528</v>
      </c>
      <c r="W150" s="104"/>
      <c r="X150" s="104"/>
      <c r="Y150" s="105"/>
    </row>
    <row r="151" spans="1:25" x14ac:dyDescent="0.25">
      <c r="A151" s="103" t="s">
        <v>276</v>
      </c>
      <c r="B151" s="103">
        <f>_xlfn.XLOOKUP(A151,'[2]FRV Output'!$B:$B,'[2]FRV Output'!$F:$F)</f>
        <v>1174524458</v>
      </c>
      <c r="C151" s="104">
        <v>3</v>
      </c>
      <c r="D151" s="104">
        <v>2017</v>
      </c>
      <c r="E151" s="105">
        <v>5568696</v>
      </c>
      <c r="F151" s="106" t="s">
        <v>528</v>
      </c>
      <c r="G151" s="104"/>
      <c r="H151" s="104"/>
      <c r="I151" s="105"/>
      <c r="J151" s="106" t="s">
        <v>528</v>
      </c>
      <c r="K151" s="104"/>
      <c r="L151" s="104"/>
      <c r="M151" s="105"/>
      <c r="N151" s="106" t="s">
        <v>528</v>
      </c>
      <c r="O151" s="104"/>
      <c r="P151" s="104"/>
      <c r="Q151" s="105"/>
      <c r="R151" s="106" t="s">
        <v>528</v>
      </c>
      <c r="S151" s="104"/>
      <c r="T151" s="104"/>
      <c r="U151" s="105"/>
      <c r="V151" s="106" t="s">
        <v>528</v>
      </c>
      <c r="W151" s="104"/>
      <c r="X151" s="104"/>
      <c r="Y151" s="105"/>
    </row>
    <row r="152" spans="1:25" x14ac:dyDescent="0.25">
      <c r="A152" s="103" t="s">
        <v>277</v>
      </c>
      <c r="B152" s="103">
        <f>_xlfn.XLOOKUP(A152,'[2]FRV Output'!$B:$B,'[2]FRV Output'!$F:$F)</f>
        <v>1477511079</v>
      </c>
      <c r="C152" s="104"/>
      <c r="D152" s="104"/>
      <c r="E152" s="105"/>
      <c r="F152" s="106" t="s">
        <v>528</v>
      </c>
      <c r="G152" s="104"/>
      <c r="H152" s="104"/>
      <c r="I152" s="105"/>
      <c r="J152" s="106" t="s">
        <v>528</v>
      </c>
      <c r="K152" s="104"/>
      <c r="L152" s="104"/>
      <c r="M152" s="105"/>
      <c r="N152" s="106" t="s">
        <v>528</v>
      </c>
      <c r="O152" s="104"/>
      <c r="P152" s="104"/>
      <c r="Q152" s="105"/>
      <c r="R152" s="106" t="s">
        <v>528</v>
      </c>
      <c r="S152" s="104"/>
      <c r="T152" s="104"/>
      <c r="U152" s="105"/>
      <c r="V152" s="106" t="s">
        <v>528</v>
      </c>
      <c r="W152" s="104"/>
      <c r="X152" s="104"/>
      <c r="Y152" s="105"/>
    </row>
    <row r="153" spans="1:25" x14ac:dyDescent="0.25">
      <c r="A153" s="103" t="s">
        <v>278</v>
      </c>
      <c r="B153" s="103">
        <f>_xlfn.XLOOKUP(A153,'[2]FRV Output'!$B:$B,'[2]FRV Output'!$F:$F)</f>
        <v>1396802260</v>
      </c>
      <c r="C153" s="104">
        <v>3</v>
      </c>
      <c r="D153" s="104">
        <v>2016</v>
      </c>
      <c r="E153" s="105">
        <v>40770</v>
      </c>
      <c r="F153" s="106" t="s">
        <v>528</v>
      </c>
      <c r="G153" s="104">
        <v>3</v>
      </c>
      <c r="H153" s="104">
        <v>2017</v>
      </c>
      <c r="I153" s="105">
        <v>101235</v>
      </c>
      <c r="J153" s="106" t="s">
        <v>528</v>
      </c>
      <c r="K153" s="104">
        <v>3</v>
      </c>
      <c r="L153" s="104">
        <v>2021</v>
      </c>
      <c r="M153" s="105">
        <v>28058</v>
      </c>
      <c r="N153" s="106" t="s">
        <v>528</v>
      </c>
      <c r="O153" s="104"/>
      <c r="P153" s="104"/>
      <c r="Q153" s="105"/>
      <c r="R153" s="106" t="s">
        <v>528</v>
      </c>
      <c r="S153" s="104"/>
      <c r="T153" s="104"/>
      <c r="U153" s="105"/>
      <c r="V153" s="106" t="s">
        <v>528</v>
      </c>
      <c r="W153" s="104"/>
      <c r="X153" s="104"/>
      <c r="Y153" s="105"/>
    </row>
    <row r="154" spans="1:25" x14ac:dyDescent="0.25">
      <c r="A154" s="103" t="s">
        <v>279</v>
      </c>
      <c r="B154" s="103">
        <f>_xlfn.XLOOKUP(A154,'[2]FRV Output'!$B:$B,'[2]FRV Output'!$F:$F)</f>
        <v>1588618045</v>
      </c>
      <c r="C154" s="104">
        <v>3</v>
      </c>
      <c r="D154" s="104">
        <v>2018</v>
      </c>
      <c r="E154" s="105">
        <v>71218</v>
      </c>
      <c r="F154" s="106" t="s">
        <v>528</v>
      </c>
      <c r="G154" s="104">
        <v>3</v>
      </c>
      <c r="H154" s="104">
        <v>2021</v>
      </c>
      <c r="I154" s="105">
        <v>60836</v>
      </c>
      <c r="J154" s="106" t="s">
        <v>528</v>
      </c>
      <c r="K154" s="104"/>
      <c r="L154" s="104"/>
      <c r="M154" s="105"/>
      <c r="N154" s="106" t="s">
        <v>528</v>
      </c>
      <c r="O154" s="104"/>
      <c r="P154" s="104"/>
      <c r="Q154" s="105"/>
      <c r="R154" s="106" t="s">
        <v>528</v>
      </c>
      <c r="S154" s="104"/>
      <c r="T154" s="104"/>
      <c r="U154" s="105"/>
      <c r="V154" s="106" t="s">
        <v>528</v>
      </c>
      <c r="W154" s="104"/>
      <c r="X154" s="104"/>
      <c r="Y154" s="105"/>
    </row>
    <row r="155" spans="1:25" x14ac:dyDescent="0.25">
      <c r="A155" s="107" t="s">
        <v>280</v>
      </c>
      <c r="B155" s="103">
        <f>_xlfn.XLOOKUP(A155,'[2]FRV Output'!$B:$B,'[2]FRV Output'!$F:$F)</f>
        <v>1962066480</v>
      </c>
      <c r="C155" s="104">
        <v>3</v>
      </c>
      <c r="D155" s="104">
        <v>2019</v>
      </c>
      <c r="E155" s="105">
        <v>71465</v>
      </c>
      <c r="F155" s="106" t="s">
        <v>528</v>
      </c>
      <c r="G155" s="104">
        <v>3</v>
      </c>
      <c r="H155" s="104">
        <v>2020</v>
      </c>
      <c r="I155" s="105">
        <v>169988</v>
      </c>
      <c r="J155" s="106" t="s">
        <v>528</v>
      </c>
      <c r="K155" s="104"/>
      <c r="L155" s="104"/>
      <c r="M155" s="105"/>
      <c r="N155" s="106" t="s">
        <v>528</v>
      </c>
      <c r="O155" s="104"/>
      <c r="P155" s="104"/>
      <c r="Q155" s="105"/>
      <c r="R155" s="106" t="s">
        <v>528</v>
      </c>
      <c r="S155" s="104"/>
      <c r="T155" s="104"/>
      <c r="U155" s="105"/>
      <c r="V155" s="106" t="s">
        <v>528</v>
      </c>
      <c r="W155" s="104"/>
      <c r="X155" s="104"/>
      <c r="Y155" s="105"/>
    </row>
    <row r="156" spans="1:25" x14ac:dyDescent="0.25">
      <c r="A156" s="103" t="s">
        <v>608</v>
      </c>
      <c r="B156" s="103">
        <f>_xlfn.XLOOKUP(A156,'[2]FRV Output'!$B:$B,'[2]FRV Output'!$F:$F)</f>
        <v>1366487464</v>
      </c>
      <c r="C156" s="104">
        <v>3</v>
      </c>
      <c r="D156" s="104">
        <v>2021</v>
      </c>
      <c r="E156" s="105">
        <v>43424</v>
      </c>
      <c r="F156" s="106" t="s">
        <v>528</v>
      </c>
      <c r="G156" s="104"/>
      <c r="H156" s="104"/>
      <c r="I156" s="105"/>
      <c r="J156" s="106" t="s">
        <v>528</v>
      </c>
      <c r="K156" s="104"/>
      <c r="L156" s="104"/>
      <c r="M156" s="105"/>
      <c r="N156" s="106" t="s">
        <v>528</v>
      </c>
      <c r="O156" s="104"/>
      <c r="P156" s="104"/>
      <c r="Q156" s="105"/>
      <c r="R156" s="106" t="s">
        <v>528</v>
      </c>
      <c r="S156" s="104"/>
      <c r="T156" s="104"/>
      <c r="U156" s="105"/>
      <c r="V156" s="106" t="s">
        <v>528</v>
      </c>
      <c r="W156" s="104"/>
      <c r="X156" s="104"/>
      <c r="Y156" s="105"/>
    </row>
    <row r="157" spans="1:25" x14ac:dyDescent="0.25">
      <c r="A157" s="103" t="s">
        <v>609</v>
      </c>
      <c r="B157" s="103">
        <f>_xlfn.XLOOKUP(A157,'[2]FRV Output'!$B:$B,'[2]FRV Output'!$F:$F)</f>
        <v>1407882830</v>
      </c>
      <c r="C157" s="104">
        <v>3</v>
      </c>
      <c r="D157" s="104">
        <v>2018</v>
      </c>
      <c r="E157" s="105">
        <v>128020</v>
      </c>
      <c r="F157" s="106" t="s">
        <v>528</v>
      </c>
      <c r="G157" s="104">
        <v>3</v>
      </c>
      <c r="H157" s="104">
        <v>2021</v>
      </c>
      <c r="I157" s="105">
        <v>57335</v>
      </c>
      <c r="J157" s="106" t="s">
        <v>528</v>
      </c>
      <c r="K157" s="104"/>
      <c r="L157" s="104"/>
      <c r="M157" s="105"/>
      <c r="N157" s="106" t="s">
        <v>528</v>
      </c>
      <c r="O157" s="104"/>
      <c r="P157" s="104"/>
      <c r="Q157" s="105"/>
      <c r="R157" s="106" t="s">
        <v>528</v>
      </c>
      <c r="S157" s="104"/>
      <c r="T157" s="104"/>
      <c r="U157" s="105"/>
      <c r="V157" s="106" t="s">
        <v>528</v>
      </c>
      <c r="W157" s="104"/>
      <c r="X157" s="104"/>
      <c r="Y157" s="105"/>
    </row>
    <row r="158" spans="1:25" x14ac:dyDescent="0.25">
      <c r="A158" s="103" t="s">
        <v>283</v>
      </c>
      <c r="B158" s="103">
        <f>_xlfn.XLOOKUP(A158,'[2]FRV Output'!$B:$B,'[2]FRV Output'!$F:$F)</f>
        <v>1588642102</v>
      </c>
      <c r="C158" s="104"/>
      <c r="D158" s="104"/>
      <c r="E158" s="105"/>
      <c r="F158" s="106" t="s">
        <v>528</v>
      </c>
      <c r="G158" s="104"/>
      <c r="H158" s="104"/>
      <c r="I158" s="105"/>
      <c r="J158" s="106" t="s">
        <v>528</v>
      </c>
      <c r="K158" s="104"/>
      <c r="L158" s="104"/>
      <c r="M158" s="105"/>
      <c r="N158" s="106" t="s">
        <v>528</v>
      </c>
      <c r="O158" s="104"/>
      <c r="P158" s="104"/>
      <c r="Q158" s="105"/>
      <c r="R158" s="106" t="s">
        <v>528</v>
      </c>
      <c r="S158" s="104"/>
      <c r="T158" s="104"/>
      <c r="U158" s="105"/>
      <c r="V158" s="106" t="s">
        <v>528</v>
      </c>
      <c r="W158" s="104"/>
      <c r="X158" s="104"/>
      <c r="Y158" s="105"/>
    </row>
    <row r="159" spans="1:25" x14ac:dyDescent="0.25">
      <c r="A159" s="103" t="s">
        <v>610</v>
      </c>
      <c r="B159" s="103">
        <f>_xlfn.XLOOKUP(A159,'[2]FRV Output'!$B:$B,'[2]FRV Output'!$F:$F)</f>
        <v>1063458958</v>
      </c>
      <c r="C159" s="104">
        <v>3</v>
      </c>
      <c r="D159" s="104">
        <v>2017</v>
      </c>
      <c r="E159" s="105">
        <v>60454</v>
      </c>
      <c r="F159" s="106" t="s">
        <v>528</v>
      </c>
      <c r="G159" s="104"/>
      <c r="H159" s="104"/>
      <c r="I159" s="105"/>
      <c r="J159" s="106" t="s">
        <v>528</v>
      </c>
      <c r="K159" s="104"/>
      <c r="L159" s="104"/>
      <c r="M159" s="105"/>
      <c r="N159" s="106" t="s">
        <v>528</v>
      </c>
      <c r="O159" s="104"/>
      <c r="P159" s="104"/>
      <c r="Q159" s="105"/>
      <c r="R159" s="106" t="s">
        <v>528</v>
      </c>
      <c r="S159" s="104"/>
      <c r="T159" s="104"/>
      <c r="U159" s="105"/>
      <c r="V159" s="106" t="s">
        <v>528</v>
      </c>
      <c r="W159" s="104"/>
      <c r="X159" s="104"/>
      <c r="Y159" s="105"/>
    </row>
    <row r="160" spans="1:25" x14ac:dyDescent="0.25">
      <c r="A160" s="103" t="s">
        <v>611</v>
      </c>
      <c r="B160" s="103">
        <f>_xlfn.XLOOKUP(A160,'[2]FRV Output'!$B:$B,'[2]FRV Output'!$F:$F)</f>
        <v>1619908977</v>
      </c>
      <c r="C160" s="104">
        <v>3</v>
      </c>
      <c r="D160" s="104">
        <v>2020</v>
      </c>
      <c r="E160" s="105">
        <v>95499</v>
      </c>
      <c r="F160" s="106" t="s">
        <v>528</v>
      </c>
      <c r="G160" s="104"/>
      <c r="H160" s="104"/>
      <c r="I160" s="105"/>
      <c r="J160" s="106" t="s">
        <v>528</v>
      </c>
      <c r="K160" s="104"/>
      <c r="L160" s="104"/>
      <c r="M160" s="105"/>
      <c r="N160" s="106" t="s">
        <v>528</v>
      </c>
      <c r="O160" s="104"/>
      <c r="P160" s="104"/>
      <c r="Q160" s="105"/>
      <c r="R160" s="106" t="s">
        <v>528</v>
      </c>
      <c r="S160" s="104"/>
      <c r="T160" s="104"/>
      <c r="U160" s="105"/>
      <c r="V160" s="106" t="s">
        <v>528</v>
      </c>
      <c r="W160" s="104"/>
      <c r="X160" s="104"/>
      <c r="Y160" s="105"/>
    </row>
    <row r="161" spans="1:25" x14ac:dyDescent="0.25">
      <c r="A161" s="107" t="s">
        <v>286</v>
      </c>
      <c r="B161" s="103">
        <f>_xlfn.XLOOKUP(A161,'[2]FRV Output'!$B:$B,'[2]FRV Output'!$F:$F)</f>
        <v>1033784970</v>
      </c>
      <c r="C161" s="104">
        <v>3</v>
      </c>
      <c r="D161" s="104">
        <v>2016</v>
      </c>
      <c r="E161" s="105">
        <v>107858</v>
      </c>
      <c r="F161" s="106" t="s">
        <v>528</v>
      </c>
      <c r="G161" s="104">
        <v>3</v>
      </c>
      <c r="H161" s="104">
        <v>2017</v>
      </c>
      <c r="I161" s="105">
        <v>55965</v>
      </c>
      <c r="J161" s="106" t="s">
        <v>528</v>
      </c>
      <c r="K161" s="104">
        <v>3</v>
      </c>
      <c r="L161" s="104">
        <v>2018</v>
      </c>
      <c r="M161" s="105">
        <v>193310</v>
      </c>
      <c r="N161" s="106" t="s">
        <v>528</v>
      </c>
      <c r="O161" s="104">
        <v>3</v>
      </c>
      <c r="P161" s="104">
        <v>2019</v>
      </c>
      <c r="Q161" s="105">
        <v>172761</v>
      </c>
      <c r="R161" s="106" t="s">
        <v>528</v>
      </c>
      <c r="S161" s="104">
        <v>3</v>
      </c>
      <c r="T161" s="104">
        <v>2020</v>
      </c>
      <c r="U161" s="105">
        <v>89187</v>
      </c>
      <c r="V161" s="106" t="s">
        <v>528</v>
      </c>
      <c r="W161" s="104">
        <v>3</v>
      </c>
      <c r="X161" s="104">
        <v>2021</v>
      </c>
      <c r="Y161" s="105">
        <v>59285</v>
      </c>
    </row>
    <row r="162" spans="1:25" x14ac:dyDescent="0.25">
      <c r="A162" s="103" t="s">
        <v>612</v>
      </c>
      <c r="B162" s="103">
        <f>_xlfn.XLOOKUP(A162,'[2]FRV Output'!$B:$B,'[2]FRV Output'!$F:$F)</f>
        <v>1437609732</v>
      </c>
      <c r="C162" s="104">
        <v>3</v>
      </c>
      <c r="D162" s="104">
        <v>2017</v>
      </c>
      <c r="E162" s="105">
        <v>85510.64</v>
      </c>
      <c r="F162" s="106" t="s">
        <v>528</v>
      </c>
      <c r="G162" s="104">
        <v>3</v>
      </c>
      <c r="H162" s="104">
        <v>2021</v>
      </c>
      <c r="I162" s="105">
        <v>80179</v>
      </c>
      <c r="J162" s="106" t="s">
        <v>528</v>
      </c>
      <c r="K162" s="104"/>
      <c r="L162" s="104"/>
      <c r="M162" s="105"/>
      <c r="N162" s="106" t="s">
        <v>528</v>
      </c>
      <c r="O162" s="104"/>
      <c r="P162" s="104"/>
      <c r="Q162" s="105"/>
      <c r="R162" s="106" t="s">
        <v>528</v>
      </c>
      <c r="S162" s="104"/>
      <c r="T162" s="104"/>
      <c r="U162" s="105"/>
      <c r="V162" s="106" t="s">
        <v>528</v>
      </c>
      <c r="W162" s="104"/>
      <c r="X162" s="104"/>
      <c r="Y162" s="105"/>
    </row>
    <row r="163" spans="1:25" x14ac:dyDescent="0.25">
      <c r="A163" s="103" t="s">
        <v>613</v>
      </c>
      <c r="B163" s="103">
        <f>_xlfn.XLOOKUP(A163,'[2]FRV Output'!$B:$B,'[2]FRV Output'!$F:$F)</f>
        <v>1649590498</v>
      </c>
      <c r="C163" s="104">
        <v>3</v>
      </c>
      <c r="D163" s="104">
        <v>2016</v>
      </c>
      <c r="E163" s="105">
        <v>140874</v>
      </c>
      <c r="F163" s="106" t="s">
        <v>528</v>
      </c>
      <c r="G163" s="104">
        <v>3</v>
      </c>
      <c r="H163" s="104">
        <v>2017</v>
      </c>
      <c r="I163" s="105">
        <v>159763</v>
      </c>
      <c r="J163" s="106" t="s">
        <v>528</v>
      </c>
      <c r="K163" s="104"/>
      <c r="L163" s="104"/>
      <c r="M163" s="105"/>
      <c r="N163" s="106" t="s">
        <v>528</v>
      </c>
      <c r="O163" s="104"/>
      <c r="P163" s="104"/>
      <c r="Q163" s="105"/>
      <c r="R163" s="106" t="s">
        <v>528</v>
      </c>
      <c r="S163" s="104"/>
      <c r="T163" s="104"/>
      <c r="U163" s="105"/>
      <c r="V163" s="106" t="s">
        <v>528</v>
      </c>
      <c r="W163" s="104"/>
      <c r="X163" s="104"/>
      <c r="Y163" s="105"/>
    </row>
    <row r="164" spans="1:25" x14ac:dyDescent="0.25">
      <c r="A164" s="107" t="s">
        <v>614</v>
      </c>
      <c r="B164" s="103">
        <f>_xlfn.XLOOKUP(A164,'[2]FRV Output'!$B:$B,'[2]FRV Output'!$F:$F)</f>
        <v>1932145836</v>
      </c>
      <c r="C164" s="104">
        <v>3</v>
      </c>
      <c r="D164" s="104">
        <v>2019</v>
      </c>
      <c r="E164" s="105">
        <v>296160</v>
      </c>
      <c r="F164" s="106" t="s">
        <v>528</v>
      </c>
      <c r="G164" s="104">
        <v>3</v>
      </c>
      <c r="H164" s="104">
        <v>2021</v>
      </c>
      <c r="I164" s="105">
        <v>127381</v>
      </c>
      <c r="J164" s="106" t="s">
        <v>528</v>
      </c>
      <c r="K164" s="104"/>
      <c r="L164" s="104"/>
      <c r="M164" s="105"/>
      <c r="N164" s="106" t="s">
        <v>528</v>
      </c>
      <c r="O164" s="104"/>
      <c r="P164" s="104"/>
      <c r="Q164" s="105"/>
      <c r="R164" s="106" t="s">
        <v>528</v>
      </c>
      <c r="S164" s="104"/>
      <c r="T164" s="104"/>
      <c r="U164" s="105"/>
      <c r="V164" s="106" t="s">
        <v>528</v>
      </c>
      <c r="W164" s="104"/>
      <c r="X164" s="104"/>
      <c r="Y164" s="105"/>
    </row>
    <row r="165" spans="1:25" x14ac:dyDescent="0.25">
      <c r="A165" s="103" t="s">
        <v>615</v>
      </c>
      <c r="B165" s="103">
        <f>_xlfn.XLOOKUP(A165,'[2]FRV Output'!$B:$B,'[2]FRV Output'!$F:$F)</f>
        <v>1285665539</v>
      </c>
      <c r="C165" s="104">
        <v>3</v>
      </c>
      <c r="D165" s="104">
        <v>2016</v>
      </c>
      <c r="E165" s="105">
        <v>300261</v>
      </c>
      <c r="F165" s="106" t="s">
        <v>528</v>
      </c>
      <c r="G165" s="104">
        <v>3</v>
      </c>
      <c r="H165" s="104">
        <v>2017</v>
      </c>
      <c r="I165" s="105">
        <v>107052</v>
      </c>
      <c r="J165" s="106" t="s">
        <v>528</v>
      </c>
      <c r="K165" s="104"/>
      <c r="L165" s="104"/>
      <c r="M165" s="105"/>
      <c r="N165" s="106" t="s">
        <v>528</v>
      </c>
      <c r="O165" s="104"/>
      <c r="P165" s="104"/>
      <c r="Q165" s="105"/>
      <c r="R165" s="106" t="s">
        <v>528</v>
      </c>
      <c r="S165" s="104"/>
      <c r="T165" s="104"/>
      <c r="U165" s="105"/>
      <c r="V165" s="106" t="s">
        <v>528</v>
      </c>
      <c r="W165" s="104"/>
      <c r="X165" s="104"/>
      <c r="Y165" s="105"/>
    </row>
    <row r="166" spans="1:25" x14ac:dyDescent="0.25">
      <c r="A166" s="107" t="s">
        <v>290</v>
      </c>
      <c r="B166" s="103">
        <f>_xlfn.XLOOKUP(A166,'[2]FRV Output'!$B:$B,'[2]FRV Output'!$F:$F)</f>
        <v>1104800069</v>
      </c>
      <c r="C166" s="104">
        <v>3</v>
      </c>
      <c r="D166" s="104">
        <v>2017</v>
      </c>
      <c r="E166" s="105">
        <v>60800</v>
      </c>
      <c r="F166" s="106" t="s">
        <v>528</v>
      </c>
      <c r="G166" s="104">
        <v>3</v>
      </c>
      <c r="H166" s="104">
        <v>2019</v>
      </c>
      <c r="I166" s="105">
        <v>65782</v>
      </c>
      <c r="J166" s="106" t="s">
        <v>528</v>
      </c>
      <c r="K166" s="104">
        <v>3</v>
      </c>
      <c r="L166" s="104">
        <v>2021</v>
      </c>
      <c r="M166" s="105">
        <v>70750</v>
      </c>
      <c r="N166" s="106" t="s">
        <v>528</v>
      </c>
      <c r="O166" s="104"/>
      <c r="P166" s="104"/>
      <c r="Q166" s="105"/>
      <c r="R166" s="106" t="s">
        <v>528</v>
      </c>
      <c r="S166" s="104"/>
      <c r="T166" s="104"/>
      <c r="U166" s="105"/>
      <c r="V166" s="106" t="s">
        <v>528</v>
      </c>
      <c r="W166" s="104"/>
      <c r="X166" s="104"/>
      <c r="Y166" s="105"/>
    </row>
    <row r="167" spans="1:25" x14ac:dyDescent="0.25">
      <c r="A167" s="103" t="s">
        <v>291</v>
      </c>
      <c r="B167" s="103">
        <f>_xlfn.XLOOKUP(A167,'[2]FRV Output'!$B:$B,'[2]FRV Output'!$F:$F)</f>
        <v>1912027871</v>
      </c>
      <c r="C167" s="104">
        <v>3</v>
      </c>
      <c r="D167" s="104">
        <v>2016</v>
      </c>
      <c r="E167" s="105">
        <v>105755</v>
      </c>
      <c r="F167" s="106" t="s">
        <v>528</v>
      </c>
      <c r="G167" s="104">
        <v>3</v>
      </c>
      <c r="H167" s="104">
        <v>2017</v>
      </c>
      <c r="I167" s="105">
        <v>261888.12</v>
      </c>
      <c r="J167" s="106" t="s">
        <v>528</v>
      </c>
      <c r="K167" s="104">
        <v>3</v>
      </c>
      <c r="L167" s="104">
        <v>2020</v>
      </c>
      <c r="M167" s="105">
        <v>60780</v>
      </c>
      <c r="N167" s="106" t="s">
        <v>528</v>
      </c>
      <c r="O167" s="104"/>
      <c r="P167" s="104"/>
      <c r="Q167" s="105"/>
      <c r="R167" s="106" t="s">
        <v>528</v>
      </c>
      <c r="S167" s="104"/>
      <c r="T167" s="104"/>
      <c r="U167" s="105"/>
      <c r="V167" s="106" t="s">
        <v>528</v>
      </c>
      <c r="W167" s="104"/>
      <c r="X167" s="104"/>
      <c r="Y167" s="105"/>
    </row>
    <row r="168" spans="1:25" x14ac:dyDescent="0.25">
      <c r="A168" s="103" t="s">
        <v>292</v>
      </c>
      <c r="B168" s="103">
        <f>_xlfn.XLOOKUP(A168,'[2]FRV Output'!$B:$B,'[2]FRV Output'!$F:$F)</f>
        <v>1326143504</v>
      </c>
      <c r="C168" s="104">
        <v>3</v>
      </c>
      <c r="D168" s="104">
        <v>2017</v>
      </c>
      <c r="E168" s="105">
        <v>190043</v>
      </c>
      <c r="F168" s="106" t="s">
        <v>528</v>
      </c>
      <c r="G168" s="104">
        <v>3</v>
      </c>
      <c r="H168" s="104">
        <v>2021</v>
      </c>
      <c r="I168" s="105">
        <v>67038</v>
      </c>
      <c r="J168" s="106" t="s">
        <v>528</v>
      </c>
      <c r="K168" s="104"/>
      <c r="L168" s="104"/>
      <c r="M168" s="105"/>
      <c r="N168" s="106" t="s">
        <v>528</v>
      </c>
      <c r="O168" s="104"/>
      <c r="P168" s="104"/>
      <c r="Q168" s="105"/>
      <c r="R168" s="106" t="s">
        <v>528</v>
      </c>
      <c r="S168" s="104"/>
      <c r="T168" s="104"/>
      <c r="U168" s="105"/>
      <c r="V168" s="106" t="s">
        <v>528</v>
      </c>
      <c r="W168" s="104"/>
      <c r="X168" s="104"/>
      <c r="Y168" s="105"/>
    </row>
    <row r="169" spans="1:25" x14ac:dyDescent="0.25">
      <c r="A169" s="107" t="s">
        <v>616</v>
      </c>
      <c r="B169" s="103">
        <f>_xlfn.XLOOKUP(A169,'[2]FRV Output'!$B:$B,'[2]FRV Output'!$F:$F)</f>
        <v>1578715504</v>
      </c>
      <c r="C169" s="104">
        <v>3</v>
      </c>
      <c r="D169" s="104">
        <v>2016</v>
      </c>
      <c r="E169" s="105">
        <v>199529</v>
      </c>
      <c r="F169" s="106" t="s">
        <v>528</v>
      </c>
      <c r="G169" s="104">
        <v>3</v>
      </c>
      <c r="H169" s="104">
        <v>2017</v>
      </c>
      <c r="I169" s="105">
        <v>138001</v>
      </c>
      <c r="J169" s="106" t="s">
        <v>528</v>
      </c>
      <c r="K169" s="104">
        <v>3</v>
      </c>
      <c r="L169" s="104">
        <v>2018</v>
      </c>
      <c r="M169" s="105">
        <v>501222</v>
      </c>
      <c r="N169" s="106" t="s">
        <v>528</v>
      </c>
      <c r="O169" s="104">
        <v>3</v>
      </c>
      <c r="P169" s="104">
        <v>2019</v>
      </c>
      <c r="Q169" s="105">
        <v>120618</v>
      </c>
      <c r="R169" s="106" t="s">
        <v>528</v>
      </c>
      <c r="S169" s="104">
        <v>3</v>
      </c>
      <c r="T169" s="104">
        <v>2021</v>
      </c>
      <c r="U169" s="105">
        <v>357305</v>
      </c>
      <c r="V169" s="106" t="s">
        <v>528</v>
      </c>
      <c r="W169" s="104"/>
      <c r="X169" s="104"/>
      <c r="Y169" s="105"/>
    </row>
    <row r="170" spans="1:25" x14ac:dyDescent="0.25">
      <c r="A170" s="103" t="s">
        <v>617</v>
      </c>
      <c r="B170" s="103">
        <f>_xlfn.XLOOKUP(A170,'[2]FRV Output'!$B:$B,'[2]FRV Output'!$F:$F)</f>
        <v>1376926519</v>
      </c>
      <c r="C170" s="104">
        <v>3</v>
      </c>
      <c r="D170" s="104">
        <v>2016</v>
      </c>
      <c r="E170" s="105">
        <v>763045</v>
      </c>
      <c r="F170" s="106" t="s">
        <v>528</v>
      </c>
      <c r="G170" s="104">
        <v>3</v>
      </c>
      <c r="H170" s="104">
        <v>2017</v>
      </c>
      <c r="I170" s="105">
        <v>281250</v>
      </c>
      <c r="J170" s="106" t="s">
        <v>528</v>
      </c>
      <c r="K170" s="104">
        <v>3</v>
      </c>
      <c r="L170" s="104">
        <v>2018</v>
      </c>
      <c r="M170" s="105">
        <v>77016</v>
      </c>
      <c r="N170" s="106" t="s">
        <v>528</v>
      </c>
      <c r="O170" s="104">
        <v>3</v>
      </c>
      <c r="P170" s="104">
        <v>2020</v>
      </c>
      <c r="Q170" s="105">
        <v>143517</v>
      </c>
      <c r="R170" s="106" t="s">
        <v>528</v>
      </c>
      <c r="S170" s="104"/>
      <c r="T170" s="104"/>
      <c r="U170" s="105"/>
      <c r="V170" s="106" t="s">
        <v>528</v>
      </c>
      <c r="W170" s="104"/>
      <c r="X170" s="104"/>
      <c r="Y170" s="105"/>
    </row>
    <row r="171" spans="1:25" x14ac:dyDescent="0.25">
      <c r="A171" s="103" t="s">
        <v>618</v>
      </c>
      <c r="B171" s="103">
        <f>_xlfn.XLOOKUP(A171,'[2]FRV Output'!$B:$B,'[2]FRV Output'!$F:$F)</f>
        <v>1174149934</v>
      </c>
      <c r="C171" s="104">
        <v>3</v>
      </c>
      <c r="D171" s="104">
        <v>2021</v>
      </c>
      <c r="E171" s="105">
        <v>151802</v>
      </c>
      <c r="F171" s="106" t="s">
        <v>528</v>
      </c>
      <c r="G171" s="104"/>
      <c r="H171" s="104"/>
      <c r="I171" s="105"/>
      <c r="J171" s="106" t="s">
        <v>528</v>
      </c>
      <c r="K171" s="104"/>
      <c r="L171" s="104"/>
      <c r="M171" s="105"/>
      <c r="N171" s="106" t="s">
        <v>528</v>
      </c>
      <c r="O171" s="104"/>
      <c r="P171" s="104"/>
      <c r="Q171" s="105"/>
      <c r="R171" s="106" t="s">
        <v>528</v>
      </c>
      <c r="S171" s="104"/>
      <c r="T171" s="104"/>
      <c r="U171" s="105"/>
      <c r="V171" s="106" t="s">
        <v>528</v>
      </c>
      <c r="W171" s="104"/>
      <c r="X171" s="104"/>
      <c r="Y171" s="105"/>
    </row>
    <row r="172" spans="1:25" x14ac:dyDescent="0.25">
      <c r="A172" s="107" t="s">
        <v>619</v>
      </c>
      <c r="B172" s="103">
        <f>_xlfn.XLOOKUP(A172,'[2]FRV Output'!$B:$B,'[2]FRV Output'!$F:$F)</f>
        <v>1699886085</v>
      </c>
      <c r="C172" s="104">
        <v>3</v>
      </c>
      <c r="D172" s="104">
        <v>2019</v>
      </c>
      <c r="E172" s="105">
        <v>126899</v>
      </c>
      <c r="F172" s="106" t="s">
        <v>528</v>
      </c>
      <c r="G172" s="104">
        <v>3</v>
      </c>
      <c r="H172" s="104">
        <v>2021</v>
      </c>
      <c r="I172" s="105">
        <v>112320</v>
      </c>
      <c r="J172" s="106" t="s">
        <v>528</v>
      </c>
      <c r="K172" s="104"/>
      <c r="L172" s="104"/>
      <c r="M172" s="105"/>
      <c r="N172" s="106" t="s">
        <v>528</v>
      </c>
      <c r="O172" s="104"/>
      <c r="P172" s="104"/>
      <c r="Q172" s="105"/>
      <c r="R172" s="106" t="s">
        <v>528</v>
      </c>
      <c r="S172" s="104"/>
      <c r="T172" s="104"/>
      <c r="U172" s="105"/>
      <c r="V172" s="106" t="s">
        <v>528</v>
      </c>
      <c r="W172" s="104"/>
      <c r="X172" s="104"/>
      <c r="Y172" s="105"/>
    </row>
    <row r="173" spans="1:25" x14ac:dyDescent="0.25">
      <c r="A173" s="103" t="s">
        <v>296</v>
      </c>
      <c r="B173" s="103">
        <f>_xlfn.XLOOKUP(A173,'[2]FRV Output'!$B:$B,'[2]FRV Output'!$F:$F)</f>
        <v>1336142470</v>
      </c>
      <c r="C173" s="104"/>
      <c r="D173" s="104"/>
      <c r="E173" s="105"/>
      <c r="F173" s="106" t="s">
        <v>528</v>
      </c>
      <c r="G173" s="104"/>
      <c r="H173" s="104"/>
      <c r="I173" s="105"/>
      <c r="J173" s="106" t="s">
        <v>528</v>
      </c>
      <c r="K173" s="104"/>
      <c r="L173" s="104"/>
      <c r="M173" s="105"/>
      <c r="N173" s="106" t="s">
        <v>528</v>
      </c>
      <c r="O173" s="104"/>
      <c r="P173" s="104"/>
      <c r="Q173" s="105"/>
      <c r="R173" s="106" t="s">
        <v>528</v>
      </c>
      <c r="S173" s="104"/>
      <c r="T173" s="104"/>
      <c r="U173" s="105"/>
      <c r="V173" s="106" t="s">
        <v>528</v>
      </c>
      <c r="W173" s="104"/>
      <c r="X173" s="104"/>
      <c r="Y173" s="105"/>
    </row>
    <row r="174" spans="1:25" x14ac:dyDescent="0.25">
      <c r="A174" s="114" t="s">
        <v>297</v>
      </c>
      <c r="B174" s="103">
        <f>_xlfn.XLOOKUP(A174,'[2]FRV Output'!$B:$B,'[2]FRV Output'!$F:$F)</f>
        <v>1639556806</v>
      </c>
      <c r="C174" s="104">
        <v>3</v>
      </c>
      <c r="D174" s="104">
        <v>2017</v>
      </c>
      <c r="E174" s="105">
        <v>238203</v>
      </c>
      <c r="F174" s="106" t="s">
        <v>528</v>
      </c>
      <c r="G174" s="104"/>
      <c r="H174" s="104"/>
      <c r="I174" s="105"/>
      <c r="J174" s="106" t="s">
        <v>528</v>
      </c>
      <c r="K174" s="104"/>
      <c r="L174" s="104"/>
      <c r="M174" s="105"/>
      <c r="N174" s="106" t="s">
        <v>528</v>
      </c>
      <c r="O174" s="104"/>
      <c r="P174" s="104"/>
      <c r="Q174" s="105"/>
      <c r="R174" s="106" t="s">
        <v>528</v>
      </c>
      <c r="S174" s="104"/>
      <c r="T174" s="104"/>
      <c r="U174" s="105"/>
      <c r="V174" s="106" t="s">
        <v>528</v>
      </c>
      <c r="W174" s="104"/>
      <c r="X174" s="104"/>
      <c r="Y174" s="105"/>
    </row>
    <row r="175" spans="1:25" x14ac:dyDescent="0.25">
      <c r="A175" s="103" t="s">
        <v>298</v>
      </c>
      <c r="B175" s="103">
        <f>_xlfn.XLOOKUP(A175,'[2]FRV Output'!$B:$B,'[2]FRV Output'!$F:$F)</f>
        <v>1811984925</v>
      </c>
      <c r="C175" s="104"/>
      <c r="D175" s="104"/>
      <c r="E175" s="105"/>
      <c r="F175" s="106" t="s">
        <v>528</v>
      </c>
      <c r="G175" s="104"/>
      <c r="H175" s="104"/>
      <c r="I175" s="105"/>
      <c r="J175" s="106" t="s">
        <v>528</v>
      </c>
      <c r="K175" s="104"/>
      <c r="L175" s="104"/>
      <c r="M175" s="105"/>
      <c r="N175" s="106" t="s">
        <v>528</v>
      </c>
      <c r="O175" s="104"/>
      <c r="P175" s="104"/>
      <c r="Q175" s="105"/>
      <c r="R175" s="106" t="s">
        <v>528</v>
      </c>
      <c r="S175" s="104"/>
      <c r="T175" s="104"/>
      <c r="U175" s="105"/>
      <c r="V175" s="106" t="s">
        <v>528</v>
      </c>
      <c r="W175" s="104"/>
      <c r="X175" s="104"/>
      <c r="Y175" s="105"/>
    </row>
    <row r="176" spans="1:25" x14ac:dyDescent="0.25">
      <c r="A176" s="107" t="s">
        <v>299</v>
      </c>
      <c r="B176" s="103">
        <f>_xlfn.XLOOKUP(A176,'[2]FRV Output'!$B:$B,'[2]FRV Output'!$F:$F)</f>
        <v>1104950765</v>
      </c>
      <c r="C176" s="104">
        <v>3</v>
      </c>
      <c r="D176" s="104">
        <v>2016</v>
      </c>
      <c r="E176" s="105">
        <v>83973</v>
      </c>
      <c r="F176" s="106" t="s">
        <v>528</v>
      </c>
      <c r="G176" s="104">
        <v>3</v>
      </c>
      <c r="H176" s="104">
        <v>2017</v>
      </c>
      <c r="I176" s="105">
        <v>119905</v>
      </c>
      <c r="J176" s="106" t="s">
        <v>528</v>
      </c>
      <c r="K176" s="104">
        <v>3</v>
      </c>
      <c r="L176" s="104">
        <v>2018</v>
      </c>
      <c r="M176" s="105">
        <v>138223</v>
      </c>
      <c r="N176" s="106" t="s">
        <v>528</v>
      </c>
      <c r="O176" s="104">
        <v>3</v>
      </c>
      <c r="P176" s="104">
        <v>2019</v>
      </c>
      <c r="Q176" s="105">
        <v>107112</v>
      </c>
      <c r="R176" s="106" t="s">
        <v>528</v>
      </c>
      <c r="S176" s="104">
        <v>3</v>
      </c>
      <c r="T176" s="104">
        <v>2020</v>
      </c>
      <c r="U176" s="105">
        <v>52876</v>
      </c>
      <c r="V176" s="106" t="s">
        <v>528</v>
      </c>
      <c r="W176" s="104">
        <v>3</v>
      </c>
      <c r="X176" s="104">
        <v>2021</v>
      </c>
      <c r="Y176" s="105">
        <v>73945</v>
      </c>
    </row>
    <row r="177" spans="1:25" x14ac:dyDescent="0.25">
      <c r="A177" s="103" t="s">
        <v>620</v>
      </c>
      <c r="B177" s="103">
        <f>_xlfn.XLOOKUP(A177,'[2]FRV Output'!$B:$B,'[2]FRV Output'!$F:$F)</f>
        <v>1922611102</v>
      </c>
      <c r="C177" s="104">
        <v>3</v>
      </c>
      <c r="D177" s="104">
        <v>2021</v>
      </c>
      <c r="E177" s="105">
        <v>198167</v>
      </c>
      <c r="F177" s="106" t="s">
        <v>528</v>
      </c>
      <c r="G177" s="104"/>
      <c r="H177" s="104"/>
      <c r="I177" s="105"/>
      <c r="J177" s="106" t="s">
        <v>528</v>
      </c>
      <c r="K177" s="104"/>
      <c r="L177" s="104"/>
      <c r="M177" s="105"/>
      <c r="N177" s="106" t="s">
        <v>528</v>
      </c>
      <c r="O177" s="104"/>
      <c r="P177" s="104"/>
      <c r="Q177" s="105"/>
      <c r="R177" s="106" t="s">
        <v>528</v>
      </c>
      <c r="S177" s="104"/>
      <c r="T177" s="104"/>
      <c r="U177" s="105"/>
      <c r="V177" s="106" t="s">
        <v>528</v>
      </c>
      <c r="W177" s="104"/>
      <c r="X177" s="104"/>
      <c r="Y177" s="105"/>
    </row>
    <row r="178" spans="1:25" x14ac:dyDescent="0.25">
      <c r="A178" s="103" t="s">
        <v>300</v>
      </c>
      <c r="B178" s="103">
        <f>_xlfn.XLOOKUP(A178,'[2]FRV Output'!$B:$B,'[2]FRV Output'!$F:$F)</f>
        <v>1689621880</v>
      </c>
      <c r="C178" s="104">
        <v>3</v>
      </c>
      <c r="D178" s="104">
        <v>2018</v>
      </c>
      <c r="E178" s="105">
        <v>159232</v>
      </c>
      <c r="F178" s="106" t="s">
        <v>528</v>
      </c>
      <c r="G178" s="104">
        <v>3</v>
      </c>
      <c r="H178" s="104">
        <v>2020</v>
      </c>
      <c r="I178" s="105">
        <v>65630</v>
      </c>
      <c r="J178" s="106" t="s">
        <v>528</v>
      </c>
      <c r="K178" s="104">
        <v>3</v>
      </c>
      <c r="L178" s="104">
        <v>2021</v>
      </c>
      <c r="M178" s="105">
        <v>99757</v>
      </c>
      <c r="N178" s="106" t="s">
        <v>528</v>
      </c>
      <c r="O178" s="104"/>
      <c r="P178" s="104"/>
      <c r="Q178" s="105"/>
      <c r="R178" s="106" t="s">
        <v>528</v>
      </c>
      <c r="S178" s="104"/>
      <c r="T178" s="104"/>
      <c r="U178" s="105"/>
      <c r="V178" s="106" t="s">
        <v>528</v>
      </c>
      <c r="W178" s="104"/>
      <c r="X178" s="104"/>
      <c r="Y178" s="105"/>
    </row>
    <row r="179" spans="1:25" x14ac:dyDescent="0.25">
      <c r="A179" s="115" t="s">
        <v>301</v>
      </c>
      <c r="B179" s="116" t="s">
        <v>621</v>
      </c>
      <c r="C179" s="104">
        <v>3</v>
      </c>
      <c r="D179" s="104">
        <v>2017</v>
      </c>
      <c r="E179" s="105">
        <v>92785</v>
      </c>
      <c r="F179" s="113" t="s">
        <v>528</v>
      </c>
      <c r="G179" s="104">
        <v>3</v>
      </c>
      <c r="H179" s="104">
        <v>2018</v>
      </c>
      <c r="I179" s="105">
        <v>106692</v>
      </c>
      <c r="J179" s="113" t="s">
        <v>528</v>
      </c>
      <c r="K179" s="104">
        <v>3</v>
      </c>
      <c r="L179" s="104">
        <v>2019</v>
      </c>
      <c r="M179" s="105">
        <v>91070</v>
      </c>
      <c r="N179" s="113" t="s">
        <v>528</v>
      </c>
      <c r="O179" s="104">
        <v>3</v>
      </c>
      <c r="P179" s="104">
        <v>2021</v>
      </c>
      <c r="Q179" s="105">
        <v>72953</v>
      </c>
      <c r="R179" s="113" t="s">
        <v>528</v>
      </c>
      <c r="S179" s="104"/>
      <c r="T179" s="104"/>
      <c r="U179" s="105"/>
      <c r="V179" s="106" t="s">
        <v>528</v>
      </c>
      <c r="W179" s="104"/>
      <c r="X179" s="104"/>
      <c r="Y179" s="105"/>
    </row>
    <row r="180" spans="1:25" x14ac:dyDescent="0.25">
      <c r="A180" s="107" t="s">
        <v>302</v>
      </c>
      <c r="B180" s="103">
        <f>_xlfn.XLOOKUP(A180,'[2]FRV Output'!$B:$B,'[2]FRV Output'!$F:$F)</f>
        <v>1932750841</v>
      </c>
      <c r="C180" s="104">
        <v>3</v>
      </c>
      <c r="D180" s="104">
        <v>2016</v>
      </c>
      <c r="E180" s="105">
        <v>554393</v>
      </c>
      <c r="F180" s="106" t="s">
        <v>528</v>
      </c>
      <c r="G180" s="104">
        <v>3</v>
      </c>
      <c r="H180" s="104">
        <v>2017</v>
      </c>
      <c r="I180" s="105">
        <v>573099</v>
      </c>
      <c r="J180" s="106" t="s">
        <v>528</v>
      </c>
      <c r="K180" s="104">
        <v>3</v>
      </c>
      <c r="L180" s="104">
        <v>2018</v>
      </c>
      <c r="M180" s="105">
        <v>1033310</v>
      </c>
      <c r="N180" s="106" t="s">
        <v>528</v>
      </c>
      <c r="O180" s="104">
        <v>3</v>
      </c>
      <c r="P180" s="104">
        <v>2019</v>
      </c>
      <c r="Q180" s="105">
        <v>716717</v>
      </c>
      <c r="R180" s="106" t="s">
        <v>528</v>
      </c>
      <c r="S180" s="104">
        <v>3</v>
      </c>
      <c r="T180" s="104">
        <v>2020</v>
      </c>
      <c r="U180" s="105">
        <v>272844</v>
      </c>
      <c r="V180" s="106" t="s">
        <v>528</v>
      </c>
      <c r="W180" s="104"/>
      <c r="X180" s="104"/>
      <c r="Y180" s="105"/>
    </row>
    <row r="181" spans="1:25" x14ac:dyDescent="0.25">
      <c r="A181" s="103" t="s">
        <v>303</v>
      </c>
      <c r="B181" s="103">
        <f>_xlfn.XLOOKUP(A181,'[2]FRV Output'!$B:$B,'[2]FRV Output'!$F:$F)</f>
        <v>1760462196</v>
      </c>
      <c r="C181" s="104"/>
      <c r="D181" s="104"/>
      <c r="E181" s="105"/>
      <c r="F181" s="106" t="s">
        <v>528</v>
      </c>
      <c r="G181" s="104"/>
      <c r="H181" s="104"/>
      <c r="I181" s="105"/>
      <c r="J181" s="106" t="s">
        <v>528</v>
      </c>
      <c r="K181" s="104"/>
      <c r="L181" s="104"/>
      <c r="M181" s="105"/>
      <c r="N181" s="106" t="s">
        <v>528</v>
      </c>
      <c r="O181" s="104"/>
      <c r="P181" s="104"/>
      <c r="Q181" s="105"/>
      <c r="R181" s="106" t="s">
        <v>528</v>
      </c>
      <c r="S181" s="104"/>
      <c r="T181" s="104"/>
      <c r="U181" s="105"/>
      <c r="V181" s="106" t="s">
        <v>528</v>
      </c>
      <c r="W181" s="104"/>
      <c r="X181" s="104"/>
      <c r="Y181" s="105"/>
    </row>
    <row r="182" spans="1:25" x14ac:dyDescent="0.25">
      <c r="A182" s="107" t="s">
        <v>622</v>
      </c>
      <c r="B182" s="103">
        <f>_xlfn.XLOOKUP(A182,'[2]FRV Output'!$B:$B,'[2]FRV Output'!$F:$F)</f>
        <v>1255367447</v>
      </c>
      <c r="C182" s="104">
        <v>3</v>
      </c>
      <c r="D182" s="104">
        <v>2016</v>
      </c>
      <c r="E182" s="105">
        <v>181076</v>
      </c>
      <c r="F182" s="106" t="s">
        <v>528</v>
      </c>
      <c r="G182" s="104">
        <v>3</v>
      </c>
      <c r="H182" s="104">
        <v>2017</v>
      </c>
      <c r="I182" s="105">
        <v>177219</v>
      </c>
      <c r="J182" s="106" t="s">
        <v>528</v>
      </c>
      <c r="K182" s="104">
        <v>3</v>
      </c>
      <c r="L182" s="104">
        <v>2019</v>
      </c>
      <c r="M182" s="105">
        <v>93820</v>
      </c>
      <c r="N182" s="106" t="s">
        <v>528</v>
      </c>
      <c r="O182" s="104">
        <v>3</v>
      </c>
      <c r="P182" s="104">
        <v>2021</v>
      </c>
      <c r="Q182" s="105">
        <v>95019</v>
      </c>
      <c r="R182" s="106" t="s">
        <v>528</v>
      </c>
      <c r="S182" s="104"/>
      <c r="T182" s="104"/>
      <c r="U182" s="105"/>
      <c r="V182" s="106" t="s">
        <v>528</v>
      </c>
      <c r="W182" s="104"/>
      <c r="X182" s="104"/>
      <c r="Y182" s="105"/>
    </row>
    <row r="183" spans="1:25" x14ac:dyDescent="0.25">
      <c r="A183" s="103" t="s">
        <v>305</v>
      </c>
      <c r="B183" s="103">
        <f>_xlfn.XLOOKUP(A183,'[2]FRV Output'!$B:$B,'[2]FRV Output'!$F:$F)</f>
        <v>1053953844</v>
      </c>
      <c r="C183" s="104">
        <v>3</v>
      </c>
      <c r="D183" s="104">
        <v>2017</v>
      </c>
      <c r="E183" s="105">
        <v>66123</v>
      </c>
      <c r="F183" s="106" t="s">
        <v>528</v>
      </c>
      <c r="G183" s="104"/>
      <c r="H183" s="104"/>
      <c r="I183" s="105"/>
      <c r="J183" s="106" t="s">
        <v>528</v>
      </c>
      <c r="K183" s="104"/>
      <c r="L183" s="104"/>
      <c r="M183" s="105"/>
      <c r="N183" s="106" t="s">
        <v>528</v>
      </c>
      <c r="O183" s="104"/>
      <c r="P183" s="104"/>
      <c r="Q183" s="105"/>
      <c r="R183" s="106" t="s">
        <v>528</v>
      </c>
      <c r="S183" s="104"/>
      <c r="T183" s="104"/>
      <c r="U183" s="105"/>
      <c r="V183" s="106" t="s">
        <v>528</v>
      </c>
      <c r="W183" s="104"/>
      <c r="X183" s="104"/>
      <c r="Y183" s="105"/>
    </row>
    <row r="184" spans="1:25" x14ac:dyDescent="0.25">
      <c r="A184" s="103" t="s">
        <v>306</v>
      </c>
      <c r="B184" s="103">
        <f>_xlfn.XLOOKUP(A184,'[2]FRV Output'!$B:$B,'[2]FRV Output'!$F:$F)</f>
        <v>1689777971</v>
      </c>
      <c r="C184" s="104">
        <v>3</v>
      </c>
      <c r="D184" s="104">
        <v>2016</v>
      </c>
      <c r="E184" s="105">
        <v>73663</v>
      </c>
      <c r="F184" s="106" t="s">
        <v>528</v>
      </c>
      <c r="G184" s="104">
        <v>3</v>
      </c>
      <c r="H184" s="104">
        <v>2017</v>
      </c>
      <c r="I184" s="105">
        <v>48006.46</v>
      </c>
      <c r="J184" s="106" t="s">
        <v>528</v>
      </c>
      <c r="K184" s="104">
        <v>3</v>
      </c>
      <c r="L184" s="104">
        <v>2020</v>
      </c>
      <c r="M184" s="105">
        <v>120392</v>
      </c>
      <c r="N184" s="106" t="s">
        <v>528</v>
      </c>
      <c r="O184" s="104">
        <v>3</v>
      </c>
      <c r="P184" s="104">
        <v>2021</v>
      </c>
      <c r="Q184" s="105">
        <v>209682</v>
      </c>
      <c r="R184" s="106" t="s">
        <v>528</v>
      </c>
      <c r="S184" s="104"/>
      <c r="T184" s="104"/>
      <c r="U184" s="105"/>
      <c r="V184" s="106" t="s">
        <v>528</v>
      </c>
      <c r="W184" s="104"/>
      <c r="X184" s="104"/>
      <c r="Y184" s="105"/>
    </row>
    <row r="185" spans="1:25" x14ac:dyDescent="0.25">
      <c r="A185" s="103" t="s">
        <v>623</v>
      </c>
      <c r="B185" s="103">
        <f>_xlfn.XLOOKUP(A185,'[2]FRV Output'!$B:$B,'[2]FRV Output'!$F:$F)</f>
        <v>1972547321</v>
      </c>
      <c r="C185" s="104">
        <v>3</v>
      </c>
      <c r="D185" s="104">
        <v>2020</v>
      </c>
      <c r="E185" s="105">
        <v>1376961</v>
      </c>
      <c r="F185" s="106" t="s">
        <v>528</v>
      </c>
      <c r="G185" s="104">
        <v>3</v>
      </c>
      <c r="H185" s="104">
        <v>2021</v>
      </c>
      <c r="I185" s="105">
        <v>335076</v>
      </c>
      <c r="J185" s="106" t="s">
        <v>528</v>
      </c>
      <c r="K185" s="104"/>
      <c r="L185" s="104"/>
      <c r="M185" s="105"/>
      <c r="N185" s="106" t="s">
        <v>528</v>
      </c>
      <c r="O185" s="104"/>
      <c r="P185" s="104"/>
      <c r="Q185" s="105"/>
      <c r="R185" s="106" t="s">
        <v>528</v>
      </c>
      <c r="S185" s="104"/>
      <c r="T185" s="104"/>
      <c r="U185" s="105"/>
      <c r="V185" s="106" t="s">
        <v>528</v>
      </c>
      <c r="W185" s="104"/>
      <c r="X185" s="104"/>
      <c r="Y185" s="105"/>
    </row>
    <row r="186" spans="1:25" x14ac:dyDescent="0.25">
      <c r="A186" s="113" t="s">
        <v>308</v>
      </c>
      <c r="B186" s="103">
        <f>_xlfn.XLOOKUP(A186,'[2]FRV Output'!$B:$B,'[2]FRV Output'!$F:$F)</f>
        <v>1134298615</v>
      </c>
      <c r="C186" s="104"/>
      <c r="D186" s="104"/>
      <c r="E186" s="105"/>
      <c r="F186" s="106" t="s">
        <v>528</v>
      </c>
      <c r="G186" s="104"/>
      <c r="H186" s="104"/>
      <c r="I186" s="105"/>
      <c r="J186" s="106" t="s">
        <v>528</v>
      </c>
      <c r="K186" s="104"/>
      <c r="L186" s="104"/>
      <c r="M186" s="105"/>
      <c r="N186" s="106" t="s">
        <v>528</v>
      </c>
      <c r="O186" s="104"/>
      <c r="P186" s="104"/>
      <c r="Q186" s="105"/>
      <c r="R186" s="106" t="s">
        <v>528</v>
      </c>
      <c r="S186" s="104"/>
      <c r="T186" s="104"/>
      <c r="U186" s="105"/>
      <c r="V186" s="106" t="s">
        <v>528</v>
      </c>
      <c r="W186" s="104"/>
      <c r="X186" s="104"/>
      <c r="Y186" s="105"/>
    </row>
    <row r="187" spans="1:25" x14ac:dyDescent="0.25">
      <c r="A187" s="107" t="s">
        <v>309</v>
      </c>
      <c r="B187" s="103">
        <f>_xlfn.XLOOKUP(A187,'[2]FRV Output'!$B:$B,'[2]FRV Output'!$F:$F)</f>
        <v>1548206907</v>
      </c>
      <c r="C187" s="104">
        <v>3</v>
      </c>
      <c r="D187" s="104">
        <v>2017</v>
      </c>
      <c r="E187" s="105">
        <v>2419325</v>
      </c>
      <c r="F187" s="106" t="s">
        <v>528</v>
      </c>
      <c r="G187" s="104">
        <v>3</v>
      </c>
      <c r="H187" s="104">
        <v>2018</v>
      </c>
      <c r="I187" s="105">
        <v>288424</v>
      </c>
      <c r="J187" s="106" t="s">
        <v>528</v>
      </c>
      <c r="K187" s="104">
        <v>3</v>
      </c>
      <c r="L187" s="104">
        <v>2019</v>
      </c>
      <c r="M187" s="105">
        <v>114774</v>
      </c>
      <c r="N187" s="106" t="s">
        <v>528</v>
      </c>
      <c r="O187" s="104"/>
      <c r="P187" s="104"/>
      <c r="Q187" s="105"/>
      <c r="R187" s="106" t="s">
        <v>528</v>
      </c>
      <c r="S187" s="104"/>
      <c r="T187" s="104"/>
      <c r="U187" s="105"/>
      <c r="V187" s="106" t="s">
        <v>528</v>
      </c>
      <c r="W187" s="104"/>
      <c r="X187" s="104"/>
      <c r="Y187" s="105"/>
    </row>
    <row r="188" spans="1:25" x14ac:dyDescent="0.25">
      <c r="A188" s="107" t="s">
        <v>310</v>
      </c>
      <c r="B188" s="103">
        <f>_xlfn.XLOOKUP(A188,'[2]FRV Output'!$B:$B,'[2]FRV Output'!$F:$F)</f>
        <v>1295704849</v>
      </c>
      <c r="C188" s="104">
        <v>3</v>
      </c>
      <c r="D188" s="104">
        <v>2019</v>
      </c>
      <c r="E188" s="105">
        <v>135600</v>
      </c>
      <c r="F188" s="106" t="s">
        <v>528</v>
      </c>
      <c r="G188" s="104"/>
      <c r="H188" s="104"/>
      <c r="I188" s="105"/>
      <c r="J188" s="106" t="s">
        <v>528</v>
      </c>
      <c r="K188" s="104"/>
      <c r="L188" s="104"/>
      <c r="M188" s="105"/>
      <c r="N188" s="106" t="s">
        <v>528</v>
      </c>
      <c r="O188" s="104"/>
      <c r="P188" s="104"/>
      <c r="Q188" s="105"/>
      <c r="R188" s="106" t="s">
        <v>528</v>
      </c>
      <c r="S188" s="104"/>
      <c r="T188" s="104"/>
      <c r="U188" s="105"/>
      <c r="V188" s="106" t="s">
        <v>528</v>
      </c>
      <c r="W188" s="104"/>
      <c r="X188" s="104"/>
      <c r="Y188" s="105"/>
    </row>
    <row r="189" spans="1:25" x14ac:dyDescent="0.25">
      <c r="A189" s="103" t="s">
        <v>624</v>
      </c>
      <c r="B189" s="103">
        <f>_xlfn.XLOOKUP(A189,'[2]FRV Output'!$B:$B,'[2]FRV Output'!$F:$F)</f>
        <v>1386688703</v>
      </c>
      <c r="C189" s="104"/>
      <c r="D189" s="104"/>
      <c r="E189" s="105"/>
      <c r="F189" s="106" t="s">
        <v>528</v>
      </c>
      <c r="G189" s="104"/>
      <c r="H189" s="104"/>
      <c r="I189" s="105"/>
      <c r="J189" s="106" t="s">
        <v>528</v>
      </c>
      <c r="K189" s="104"/>
      <c r="L189" s="104"/>
      <c r="M189" s="105"/>
      <c r="N189" s="106" t="s">
        <v>528</v>
      </c>
      <c r="O189" s="104"/>
      <c r="P189" s="104"/>
      <c r="Q189" s="105"/>
      <c r="R189" s="106" t="s">
        <v>528</v>
      </c>
      <c r="S189" s="104"/>
      <c r="T189" s="104"/>
      <c r="U189" s="105"/>
      <c r="V189" s="106" t="s">
        <v>528</v>
      </c>
      <c r="W189" s="104"/>
      <c r="X189" s="104"/>
      <c r="Y189" s="105"/>
    </row>
    <row r="190" spans="1:25" x14ac:dyDescent="0.25">
      <c r="A190" s="107" t="s">
        <v>311</v>
      </c>
      <c r="B190" s="103">
        <f>_xlfn.XLOOKUP(A190,'[2]FRV Output'!$B:$B,'[2]FRV Output'!$F:$F)</f>
        <v>1083298236</v>
      </c>
      <c r="C190" s="104">
        <v>3</v>
      </c>
      <c r="D190" s="104">
        <v>2016</v>
      </c>
      <c r="E190" s="105">
        <v>57274</v>
      </c>
      <c r="F190" s="106" t="s">
        <v>528</v>
      </c>
      <c r="G190" s="104">
        <v>3</v>
      </c>
      <c r="H190" s="104">
        <v>2017</v>
      </c>
      <c r="I190" s="105">
        <v>127930</v>
      </c>
      <c r="J190" s="106" t="s">
        <v>528</v>
      </c>
      <c r="K190" s="104">
        <v>3</v>
      </c>
      <c r="L190" s="104">
        <v>2018</v>
      </c>
      <c r="M190" s="105">
        <v>119646</v>
      </c>
      <c r="N190" s="106" t="s">
        <v>528</v>
      </c>
      <c r="O190" s="104">
        <v>3</v>
      </c>
      <c r="P190" s="104">
        <v>2019</v>
      </c>
      <c r="Q190" s="105">
        <v>128625</v>
      </c>
      <c r="R190" s="106" t="s">
        <v>528</v>
      </c>
      <c r="S190" s="104">
        <v>3</v>
      </c>
      <c r="T190" s="104">
        <v>2020</v>
      </c>
      <c r="U190" s="105">
        <v>234686</v>
      </c>
      <c r="V190" s="106" t="s">
        <v>528</v>
      </c>
      <c r="W190" s="104">
        <v>3</v>
      </c>
      <c r="X190" s="104">
        <v>2021</v>
      </c>
      <c r="Y190" s="105">
        <v>240173</v>
      </c>
    </row>
    <row r="191" spans="1:25" x14ac:dyDescent="0.25">
      <c r="A191" s="103" t="s">
        <v>312</v>
      </c>
      <c r="B191" s="103">
        <f>_xlfn.XLOOKUP(A191,'[2]FRV Output'!$B:$B,'[2]FRV Output'!$F:$F)</f>
        <v>1538113014</v>
      </c>
      <c r="C191" s="104">
        <v>3</v>
      </c>
      <c r="D191" s="104">
        <v>2019</v>
      </c>
      <c r="E191" s="105">
        <v>371256</v>
      </c>
      <c r="F191" s="106" t="s">
        <v>528</v>
      </c>
      <c r="G191" s="104">
        <v>3</v>
      </c>
      <c r="H191" s="104">
        <v>2020</v>
      </c>
      <c r="I191" s="105">
        <v>226924</v>
      </c>
      <c r="J191" s="106" t="s">
        <v>528</v>
      </c>
      <c r="K191" s="104">
        <v>3</v>
      </c>
      <c r="L191" s="104">
        <v>2021</v>
      </c>
      <c r="M191" s="105">
        <v>73247</v>
      </c>
      <c r="N191" s="106" t="s">
        <v>528</v>
      </c>
      <c r="O191" s="104"/>
      <c r="P191" s="104"/>
      <c r="Q191" s="105"/>
      <c r="R191" s="106" t="s">
        <v>528</v>
      </c>
      <c r="S191" s="104"/>
      <c r="T191" s="104"/>
      <c r="U191" s="105"/>
      <c r="V191" s="106" t="s">
        <v>528</v>
      </c>
      <c r="W191" s="104"/>
      <c r="X191" s="104"/>
      <c r="Y191" s="105"/>
    </row>
    <row r="192" spans="1:25" x14ac:dyDescent="0.25">
      <c r="A192" s="103" t="s">
        <v>313</v>
      </c>
      <c r="B192" s="103">
        <f>_xlfn.XLOOKUP(A192,'[2]FRV Output'!$B:$B,'[2]FRV Output'!$F:$F)</f>
        <v>1164476636</v>
      </c>
      <c r="C192" s="104">
        <v>3</v>
      </c>
      <c r="D192" s="104">
        <v>2019</v>
      </c>
      <c r="E192" s="105">
        <v>281571</v>
      </c>
      <c r="F192" s="106" t="s">
        <v>528</v>
      </c>
      <c r="G192" s="104">
        <v>3</v>
      </c>
      <c r="H192" s="104">
        <v>2020</v>
      </c>
      <c r="I192" s="105">
        <v>75369</v>
      </c>
      <c r="J192" s="106" t="s">
        <v>528</v>
      </c>
      <c r="K192" s="104">
        <v>3</v>
      </c>
      <c r="L192" s="104">
        <v>2021</v>
      </c>
      <c r="M192" s="105">
        <v>90058</v>
      </c>
      <c r="N192" s="106" t="s">
        <v>528</v>
      </c>
      <c r="O192" s="104"/>
      <c r="P192" s="104"/>
      <c r="Q192" s="105"/>
      <c r="R192" s="106" t="s">
        <v>528</v>
      </c>
      <c r="S192" s="104"/>
      <c r="T192" s="104"/>
      <c r="U192" s="105"/>
      <c r="V192" s="106" t="s">
        <v>528</v>
      </c>
      <c r="W192" s="104"/>
      <c r="X192" s="104"/>
      <c r="Y192" s="105"/>
    </row>
    <row r="193" spans="1:25" x14ac:dyDescent="0.25">
      <c r="A193" s="103" t="s">
        <v>314</v>
      </c>
      <c r="B193" s="103">
        <f>_xlfn.XLOOKUP(A193,'[2]FRV Output'!$B:$B,'[2]FRV Output'!$F:$F)</f>
        <v>1669425401</v>
      </c>
      <c r="C193" s="104">
        <v>3</v>
      </c>
      <c r="D193" s="104">
        <v>2019</v>
      </c>
      <c r="E193" s="105">
        <v>125570</v>
      </c>
      <c r="F193" s="106" t="s">
        <v>528</v>
      </c>
      <c r="G193" s="104">
        <v>3</v>
      </c>
      <c r="H193" s="104">
        <v>2021</v>
      </c>
      <c r="I193" s="105">
        <v>59811</v>
      </c>
      <c r="J193" s="106" t="s">
        <v>528</v>
      </c>
      <c r="K193" s="104"/>
      <c r="L193" s="104"/>
      <c r="M193" s="105"/>
      <c r="N193" s="106" t="s">
        <v>528</v>
      </c>
      <c r="O193" s="104"/>
      <c r="P193" s="104"/>
      <c r="Q193" s="105"/>
      <c r="R193" s="106" t="s">
        <v>528</v>
      </c>
      <c r="S193" s="104"/>
      <c r="T193" s="104"/>
      <c r="U193" s="105"/>
      <c r="V193" s="106" t="s">
        <v>528</v>
      </c>
      <c r="W193" s="104"/>
      <c r="X193" s="104"/>
      <c r="Y193" s="105"/>
    </row>
    <row r="194" spans="1:25" x14ac:dyDescent="0.25">
      <c r="A194" s="107" t="s">
        <v>315</v>
      </c>
      <c r="B194" s="103">
        <f>_xlfn.XLOOKUP(A194,'[2]FRV Output'!$B:$B,'[2]FRV Output'!$F:$F)</f>
        <v>1861446338</v>
      </c>
      <c r="C194" s="104">
        <v>3</v>
      </c>
      <c r="D194" s="104">
        <v>2019</v>
      </c>
      <c r="E194" s="105">
        <v>158689</v>
      </c>
      <c r="F194" s="106" t="s">
        <v>528</v>
      </c>
      <c r="G194" s="104"/>
      <c r="H194" s="104"/>
      <c r="I194" s="105"/>
      <c r="J194" s="106" t="s">
        <v>528</v>
      </c>
      <c r="K194" s="104"/>
      <c r="L194" s="104"/>
      <c r="M194" s="105"/>
      <c r="N194" s="106" t="s">
        <v>528</v>
      </c>
      <c r="O194" s="104"/>
      <c r="P194" s="104"/>
      <c r="Q194" s="105"/>
      <c r="R194" s="106" t="s">
        <v>528</v>
      </c>
      <c r="S194" s="104"/>
      <c r="T194" s="104"/>
      <c r="U194" s="105"/>
      <c r="V194" s="106" t="s">
        <v>528</v>
      </c>
      <c r="W194" s="104"/>
      <c r="X194" s="104"/>
      <c r="Y194" s="105"/>
    </row>
    <row r="195" spans="1:25" x14ac:dyDescent="0.25">
      <c r="A195" s="103" t="s">
        <v>316</v>
      </c>
      <c r="B195" s="103">
        <f>_xlfn.XLOOKUP(A195,'[2]FRV Output'!$B:$B,'[2]FRV Output'!$F:$F)</f>
        <v>1407800972</v>
      </c>
      <c r="C195" s="104">
        <v>3</v>
      </c>
      <c r="D195" s="104">
        <v>2019</v>
      </c>
      <c r="E195" s="105">
        <v>227005</v>
      </c>
      <c r="F195" s="106" t="s">
        <v>528</v>
      </c>
      <c r="G195" s="104">
        <v>3</v>
      </c>
      <c r="H195" s="104">
        <v>2021</v>
      </c>
      <c r="I195" s="105">
        <v>279840</v>
      </c>
      <c r="J195" s="106" t="s">
        <v>528</v>
      </c>
      <c r="K195" s="104"/>
      <c r="L195" s="104"/>
      <c r="M195" s="105"/>
      <c r="N195" s="106" t="s">
        <v>528</v>
      </c>
      <c r="O195" s="104"/>
      <c r="P195" s="104"/>
      <c r="Q195" s="105"/>
      <c r="R195" s="106" t="s">
        <v>528</v>
      </c>
      <c r="S195" s="104"/>
      <c r="T195" s="104"/>
      <c r="U195" s="105"/>
      <c r="V195" s="106" t="s">
        <v>528</v>
      </c>
      <c r="W195" s="104"/>
      <c r="X195" s="104"/>
      <c r="Y195" s="105"/>
    </row>
    <row r="196" spans="1:25" x14ac:dyDescent="0.25">
      <c r="A196" s="103" t="s">
        <v>317</v>
      </c>
      <c r="B196" s="103">
        <f>_xlfn.XLOOKUP(A196,'[2]FRV Output'!$B:$B,'[2]FRV Output'!$F:$F)</f>
        <v>1326089616</v>
      </c>
      <c r="C196" s="104">
        <v>3</v>
      </c>
      <c r="D196" s="104">
        <v>2017</v>
      </c>
      <c r="E196" s="105">
        <v>540211</v>
      </c>
      <c r="F196" s="106" t="s">
        <v>528</v>
      </c>
      <c r="G196" s="104">
        <v>3</v>
      </c>
      <c r="H196" s="104">
        <v>2019</v>
      </c>
      <c r="I196" s="105">
        <v>91150</v>
      </c>
      <c r="J196" s="106" t="s">
        <v>528</v>
      </c>
      <c r="K196" s="104">
        <v>2</v>
      </c>
      <c r="L196" s="104">
        <v>2021</v>
      </c>
      <c r="M196" s="105">
        <v>32</v>
      </c>
      <c r="N196" s="106" t="s">
        <v>528</v>
      </c>
      <c r="O196" s="104">
        <v>3</v>
      </c>
      <c r="P196" s="104">
        <v>2021</v>
      </c>
      <c r="Q196" s="105">
        <v>119228</v>
      </c>
      <c r="R196" s="106" t="s">
        <v>528</v>
      </c>
      <c r="S196" s="104"/>
      <c r="T196" s="104"/>
      <c r="U196" s="105"/>
      <c r="V196" s="106" t="s">
        <v>528</v>
      </c>
      <c r="W196" s="104"/>
      <c r="X196" s="104"/>
      <c r="Y196" s="105"/>
    </row>
    <row r="197" spans="1:25" x14ac:dyDescent="0.25">
      <c r="A197" s="103" t="s">
        <v>318</v>
      </c>
      <c r="B197" s="103">
        <f>_xlfn.XLOOKUP(A197,'[2]FRV Output'!$B:$B,'[2]FRV Output'!$F:$F)</f>
        <v>1548770423</v>
      </c>
      <c r="C197" s="104">
        <v>3</v>
      </c>
      <c r="D197" s="104">
        <v>2018</v>
      </c>
      <c r="E197" s="105">
        <v>91475</v>
      </c>
      <c r="F197" s="106" t="s">
        <v>528</v>
      </c>
      <c r="G197" s="104">
        <v>3</v>
      </c>
      <c r="H197" s="104">
        <v>2019</v>
      </c>
      <c r="I197" s="105">
        <v>261699</v>
      </c>
      <c r="J197" s="106" t="s">
        <v>528</v>
      </c>
      <c r="K197" s="104">
        <v>3</v>
      </c>
      <c r="L197" s="104">
        <v>2020</v>
      </c>
      <c r="M197" s="105">
        <v>136592</v>
      </c>
      <c r="N197" s="106" t="s">
        <v>528</v>
      </c>
      <c r="O197" s="104">
        <v>3</v>
      </c>
      <c r="P197" s="104">
        <v>2021</v>
      </c>
      <c r="Q197" s="105">
        <v>263435</v>
      </c>
      <c r="R197" s="106" t="s">
        <v>528</v>
      </c>
      <c r="S197" s="104"/>
      <c r="T197" s="104"/>
      <c r="U197" s="105"/>
      <c r="V197" s="106" t="s">
        <v>528</v>
      </c>
      <c r="W197" s="104"/>
      <c r="X197" s="104"/>
      <c r="Y197" s="105"/>
    </row>
    <row r="198" spans="1:25" x14ac:dyDescent="0.25">
      <c r="A198" s="103" t="s">
        <v>319</v>
      </c>
      <c r="B198" s="103">
        <f>_xlfn.XLOOKUP(A198,'[2]FRV Output'!$B:$B,'[2]FRV Output'!$F:$F)</f>
        <v>1629535455</v>
      </c>
      <c r="C198" s="104">
        <v>2</v>
      </c>
      <c r="D198" s="104">
        <v>2017</v>
      </c>
      <c r="E198" s="105">
        <v>92</v>
      </c>
      <c r="F198" s="106" t="s">
        <v>528</v>
      </c>
      <c r="G198" s="104">
        <v>3</v>
      </c>
      <c r="H198" s="104">
        <v>2020</v>
      </c>
      <c r="I198" s="105">
        <v>157736</v>
      </c>
      <c r="J198" s="106" t="s">
        <v>528</v>
      </c>
      <c r="K198" s="104"/>
      <c r="L198" s="104"/>
      <c r="M198" s="105"/>
      <c r="N198" s="106" t="s">
        <v>528</v>
      </c>
      <c r="O198" s="104"/>
      <c r="P198" s="104"/>
      <c r="Q198" s="105"/>
      <c r="R198" s="106" t="s">
        <v>528</v>
      </c>
      <c r="S198" s="104"/>
      <c r="T198" s="104"/>
      <c r="U198" s="105"/>
      <c r="V198" s="106" t="s">
        <v>528</v>
      </c>
      <c r="W198" s="104"/>
      <c r="X198" s="104"/>
      <c r="Y198" s="105"/>
    </row>
    <row r="199" spans="1:25" x14ac:dyDescent="0.25">
      <c r="A199" s="103" t="s">
        <v>320</v>
      </c>
      <c r="B199" s="103">
        <f>_xlfn.XLOOKUP(A199,'[2]FRV Output'!$B:$B,'[2]FRV Output'!$F:$F)</f>
        <v>1104471531</v>
      </c>
      <c r="C199" s="104">
        <v>3</v>
      </c>
      <c r="D199" s="104">
        <v>2020</v>
      </c>
      <c r="E199" s="105">
        <v>97275</v>
      </c>
      <c r="F199" s="106" t="s">
        <v>528</v>
      </c>
      <c r="G199" s="104">
        <v>3</v>
      </c>
      <c r="H199" s="104">
        <v>2021</v>
      </c>
      <c r="I199" s="105">
        <v>108509</v>
      </c>
      <c r="J199" s="106" t="s">
        <v>528</v>
      </c>
      <c r="K199" s="104"/>
      <c r="L199" s="104"/>
      <c r="M199" s="105"/>
      <c r="N199" s="106" t="s">
        <v>528</v>
      </c>
      <c r="O199" s="104"/>
      <c r="P199" s="104"/>
      <c r="Q199" s="105"/>
      <c r="R199" s="106" t="s">
        <v>528</v>
      </c>
      <c r="S199" s="104"/>
      <c r="T199" s="104"/>
      <c r="U199" s="105"/>
      <c r="V199" s="106" t="s">
        <v>528</v>
      </c>
      <c r="W199" s="104"/>
      <c r="X199" s="104"/>
      <c r="Y199" s="105"/>
    </row>
    <row r="200" spans="1:25" x14ac:dyDescent="0.25">
      <c r="A200" s="107" t="s">
        <v>321</v>
      </c>
      <c r="B200" s="103">
        <f>_xlfn.XLOOKUP(A200,'[2]FRV Output'!$B:$B,'[2]FRV Output'!$F:$F)</f>
        <v>1588219828</v>
      </c>
      <c r="C200" s="104">
        <v>3</v>
      </c>
      <c r="D200" s="104">
        <v>2019</v>
      </c>
      <c r="E200" s="105">
        <v>64300</v>
      </c>
      <c r="F200" s="106" t="s">
        <v>528</v>
      </c>
      <c r="G200" s="104">
        <v>3</v>
      </c>
      <c r="H200" s="104">
        <v>2020</v>
      </c>
      <c r="I200" s="105">
        <v>68991</v>
      </c>
      <c r="J200" s="106" t="s">
        <v>528</v>
      </c>
      <c r="K200" s="104">
        <v>3</v>
      </c>
      <c r="L200" s="104">
        <v>2021</v>
      </c>
      <c r="M200" s="105">
        <v>201121</v>
      </c>
      <c r="N200" s="106" t="s">
        <v>528</v>
      </c>
      <c r="O200" s="104"/>
      <c r="P200" s="104"/>
      <c r="Q200" s="105"/>
      <c r="R200" s="106" t="s">
        <v>528</v>
      </c>
      <c r="S200" s="104"/>
      <c r="T200" s="104"/>
      <c r="U200" s="105"/>
      <c r="V200" s="106" t="s">
        <v>528</v>
      </c>
      <c r="W200" s="104"/>
      <c r="X200" s="104"/>
      <c r="Y200" s="105"/>
    </row>
    <row r="201" spans="1:25" x14ac:dyDescent="0.25">
      <c r="A201" s="107" t="s">
        <v>322</v>
      </c>
      <c r="B201" s="103">
        <f>_xlfn.XLOOKUP(A201,'[2]FRV Output'!$B:$B,'[2]FRV Output'!$F:$F)</f>
        <v>1043865538</v>
      </c>
      <c r="C201" s="104">
        <v>3</v>
      </c>
      <c r="D201" s="104">
        <v>2017</v>
      </c>
      <c r="E201" s="105">
        <v>46500</v>
      </c>
      <c r="F201" s="106" t="s">
        <v>528</v>
      </c>
      <c r="G201" s="104">
        <v>2</v>
      </c>
      <c r="H201" s="104">
        <v>2018</v>
      </c>
      <c r="I201" s="105">
        <v>16</v>
      </c>
      <c r="J201" s="106" t="s">
        <v>528</v>
      </c>
      <c r="K201" s="104">
        <v>3</v>
      </c>
      <c r="L201" s="104">
        <v>2018</v>
      </c>
      <c r="M201" s="105">
        <v>47563</v>
      </c>
      <c r="N201" s="106" t="s">
        <v>528</v>
      </c>
      <c r="O201" s="104">
        <v>3</v>
      </c>
      <c r="P201" s="104">
        <v>2019</v>
      </c>
      <c r="Q201" s="105">
        <v>62920</v>
      </c>
      <c r="R201" s="106" t="s">
        <v>528</v>
      </c>
      <c r="S201" s="104">
        <v>3</v>
      </c>
      <c r="T201" s="104">
        <v>2020</v>
      </c>
      <c r="U201" s="105">
        <v>55343</v>
      </c>
      <c r="V201" s="106" t="s">
        <v>528</v>
      </c>
      <c r="W201" s="104"/>
      <c r="X201" s="104"/>
      <c r="Y201" s="105"/>
    </row>
    <row r="202" spans="1:25" x14ac:dyDescent="0.25">
      <c r="A202" s="107" t="s">
        <v>323</v>
      </c>
      <c r="B202" s="103">
        <f>_xlfn.XLOOKUP(A202,'[2]FRV Output'!$B:$B,'[2]FRV Output'!$F:$F)</f>
        <v>1467007856</v>
      </c>
      <c r="C202" s="104">
        <v>3</v>
      </c>
      <c r="D202" s="104">
        <v>2019</v>
      </c>
      <c r="E202" s="105">
        <v>102123</v>
      </c>
      <c r="F202" s="106" t="s">
        <v>528</v>
      </c>
      <c r="G202" s="104">
        <v>3</v>
      </c>
      <c r="H202" s="104">
        <v>2020</v>
      </c>
      <c r="I202" s="105">
        <v>147727</v>
      </c>
      <c r="J202" s="106" t="s">
        <v>528</v>
      </c>
      <c r="K202" s="104">
        <v>3</v>
      </c>
      <c r="L202" s="104">
        <v>2021</v>
      </c>
      <c r="M202" s="105">
        <v>240238</v>
      </c>
      <c r="N202" s="106" t="s">
        <v>528</v>
      </c>
      <c r="O202" s="104"/>
      <c r="P202" s="104"/>
      <c r="Q202" s="105"/>
      <c r="R202" s="106" t="s">
        <v>528</v>
      </c>
      <c r="S202" s="104"/>
      <c r="T202" s="104"/>
      <c r="U202" s="105"/>
      <c r="V202" s="106" t="s">
        <v>528</v>
      </c>
      <c r="W202" s="104"/>
      <c r="X202" s="104"/>
      <c r="Y202" s="105"/>
    </row>
    <row r="203" spans="1:25" x14ac:dyDescent="0.25">
      <c r="A203" s="103" t="s">
        <v>324</v>
      </c>
      <c r="B203" s="103">
        <f>_xlfn.XLOOKUP(A203,'[2]FRV Output'!$B:$B,'[2]FRV Output'!$F:$F)</f>
        <v>1861446270</v>
      </c>
      <c r="C203" s="104">
        <v>3</v>
      </c>
      <c r="D203" s="104">
        <v>2018</v>
      </c>
      <c r="E203" s="105">
        <v>224654</v>
      </c>
      <c r="F203" s="106" t="s">
        <v>528</v>
      </c>
      <c r="G203" s="104">
        <v>3</v>
      </c>
      <c r="H203" s="104">
        <v>2019</v>
      </c>
      <c r="I203" s="105">
        <v>86305</v>
      </c>
      <c r="J203" s="106" t="s">
        <v>528</v>
      </c>
      <c r="K203" s="104">
        <v>3</v>
      </c>
      <c r="L203" s="104">
        <v>2020</v>
      </c>
      <c r="M203" s="105">
        <v>136510</v>
      </c>
      <c r="N203" s="106" t="s">
        <v>528</v>
      </c>
      <c r="O203" s="104">
        <v>1</v>
      </c>
      <c r="P203" s="104">
        <v>2021</v>
      </c>
      <c r="Q203" s="105">
        <v>-18</v>
      </c>
      <c r="R203" s="106" t="s">
        <v>625</v>
      </c>
      <c r="S203" s="104">
        <v>3</v>
      </c>
      <c r="T203" s="104">
        <v>2021</v>
      </c>
      <c r="U203" s="105">
        <v>157172</v>
      </c>
      <c r="V203" s="106" t="s">
        <v>528</v>
      </c>
      <c r="W203" s="104"/>
      <c r="X203" s="104"/>
      <c r="Y203" s="105"/>
    </row>
    <row r="204" spans="1:25" x14ac:dyDescent="0.25">
      <c r="A204" s="103" t="s">
        <v>325</v>
      </c>
      <c r="B204" s="103">
        <f>_xlfn.XLOOKUP(A204,'[2]FRV Output'!$B:$B,'[2]FRV Output'!$F:$F)</f>
        <v>1295101673</v>
      </c>
      <c r="C204" s="104"/>
      <c r="D204" s="104"/>
      <c r="E204" s="105"/>
      <c r="F204" s="106" t="s">
        <v>528</v>
      </c>
      <c r="G204" s="104"/>
      <c r="H204" s="104"/>
      <c r="I204" s="105"/>
      <c r="J204" s="106" t="s">
        <v>528</v>
      </c>
      <c r="K204" s="104"/>
      <c r="L204" s="104"/>
      <c r="M204" s="105"/>
      <c r="N204" s="106" t="s">
        <v>528</v>
      </c>
      <c r="O204" s="104"/>
      <c r="P204" s="104"/>
      <c r="Q204" s="105"/>
      <c r="R204" s="106" t="s">
        <v>528</v>
      </c>
      <c r="S204" s="104"/>
      <c r="T204" s="104"/>
      <c r="U204" s="105"/>
      <c r="V204" s="106" t="s">
        <v>528</v>
      </c>
      <c r="W204" s="104"/>
      <c r="X204" s="104"/>
      <c r="Y204" s="105"/>
    </row>
    <row r="205" spans="1:25" x14ac:dyDescent="0.25">
      <c r="A205" s="103" t="s">
        <v>326</v>
      </c>
      <c r="B205" s="103">
        <f>_xlfn.XLOOKUP(A205,'[2]FRV Output'!$B:$B,'[2]FRV Output'!$F:$F)</f>
        <v>1760415434</v>
      </c>
      <c r="C205" s="104"/>
      <c r="D205" s="104"/>
      <c r="E205" s="105"/>
      <c r="F205" s="106" t="s">
        <v>528</v>
      </c>
      <c r="G205" s="104"/>
      <c r="H205" s="104"/>
      <c r="I205" s="105"/>
      <c r="J205" s="106" t="s">
        <v>528</v>
      </c>
      <c r="K205" s="104"/>
      <c r="L205" s="104"/>
      <c r="M205" s="105"/>
      <c r="N205" s="106" t="s">
        <v>528</v>
      </c>
      <c r="O205" s="104"/>
      <c r="P205" s="104"/>
      <c r="Q205" s="105"/>
      <c r="R205" s="106" t="s">
        <v>528</v>
      </c>
      <c r="S205" s="104"/>
      <c r="T205" s="104"/>
      <c r="U205" s="105"/>
      <c r="V205" s="106" t="s">
        <v>528</v>
      </c>
      <c r="W205" s="104"/>
      <c r="X205" s="104"/>
      <c r="Y205" s="105"/>
    </row>
    <row r="206" spans="1:25" x14ac:dyDescent="0.25">
      <c r="A206" s="103" t="s">
        <v>327</v>
      </c>
      <c r="B206" s="103">
        <f>_xlfn.XLOOKUP(A206,'[2]FRV Output'!$B:$B,'[2]FRV Output'!$F:$F)</f>
        <v>1629494059</v>
      </c>
      <c r="C206" s="104">
        <v>3</v>
      </c>
      <c r="D206" s="104">
        <v>2020</v>
      </c>
      <c r="E206" s="105">
        <v>60508</v>
      </c>
      <c r="F206" s="106" t="s">
        <v>528</v>
      </c>
      <c r="G206" s="104">
        <v>3</v>
      </c>
      <c r="H206" s="104">
        <v>2021</v>
      </c>
      <c r="I206" s="105">
        <v>61303</v>
      </c>
      <c r="J206" s="106" t="s">
        <v>528</v>
      </c>
      <c r="K206" s="104"/>
      <c r="L206" s="104"/>
      <c r="M206" s="105"/>
      <c r="N206" s="106" t="s">
        <v>528</v>
      </c>
      <c r="O206" s="104"/>
      <c r="P206" s="104"/>
      <c r="Q206" s="105"/>
      <c r="R206" s="106" t="s">
        <v>528</v>
      </c>
      <c r="S206" s="104"/>
      <c r="T206" s="104"/>
      <c r="U206" s="105"/>
      <c r="V206" s="106" t="s">
        <v>528</v>
      </c>
      <c r="W206" s="104"/>
      <c r="X206" s="104"/>
      <c r="Y206" s="105"/>
    </row>
    <row r="207" spans="1:25" x14ac:dyDescent="0.25">
      <c r="A207" s="103" t="s">
        <v>328</v>
      </c>
      <c r="B207" s="103">
        <f>_xlfn.XLOOKUP(A207,'[2]FRV Output'!$B:$B,'[2]FRV Output'!$F:$F)</f>
        <v>1467421024</v>
      </c>
      <c r="C207" s="104">
        <v>3</v>
      </c>
      <c r="D207" s="104">
        <v>2016</v>
      </c>
      <c r="E207" s="105">
        <v>112012</v>
      </c>
      <c r="F207" s="106" t="s">
        <v>528</v>
      </c>
      <c r="G207" s="104">
        <v>2</v>
      </c>
      <c r="H207" s="104">
        <v>2016</v>
      </c>
      <c r="I207" s="105">
        <v>15</v>
      </c>
      <c r="J207" s="106" t="s">
        <v>528</v>
      </c>
      <c r="K207" s="104">
        <v>3</v>
      </c>
      <c r="L207" s="104">
        <v>2017</v>
      </c>
      <c r="M207" s="105">
        <v>57584</v>
      </c>
      <c r="N207" s="106" t="s">
        <v>528</v>
      </c>
      <c r="O207" s="104">
        <v>3</v>
      </c>
      <c r="P207" s="104">
        <v>2018</v>
      </c>
      <c r="Q207" s="105">
        <v>51306</v>
      </c>
      <c r="R207" s="106" t="s">
        <v>528</v>
      </c>
      <c r="S207" s="104"/>
      <c r="T207" s="104"/>
      <c r="U207" s="105"/>
      <c r="V207" s="106" t="s">
        <v>528</v>
      </c>
      <c r="W207" s="104"/>
      <c r="X207" s="104"/>
      <c r="Y207" s="105"/>
    </row>
    <row r="208" spans="1:25" x14ac:dyDescent="0.25">
      <c r="A208" s="107" t="s">
        <v>329</v>
      </c>
      <c r="B208" s="103">
        <f>_xlfn.XLOOKUP(A208,'[2]FRV Output'!$B:$B,'[2]FRV Output'!$F:$F)</f>
        <v>1447254149</v>
      </c>
      <c r="C208" s="104">
        <v>3</v>
      </c>
      <c r="D208" s="104">
        <v>2018</v>
      </c>
      <c r="E208" s="105">
        <v>85769</v>
      </c>
      <c r="F208" s="106" t="s">
        <v>528</v>
      </c>
      <c r="G208" s="104">
        <v>3</v>
      </c>
      <c r="H208" s="104">
        <v>2019</v>
      </c>
      <c r="I208" s="105">
        <v>205637</v>
      </c>
      <c r="J208" s="106" t="s">
        <v>528</v>
      </c>
      <c r="K208" s="104">
        <v>3</v>
      </c>
      <c r="L208" s="104">
        <v>2020</v>
      </c>
      <c r="M208" s="105">
        <v>1563570</v>
      </c>
      <c r="N208" s="106" t="s">
        <v>528</v>
      </c>
      <c r="O208" s="104">
        <v>3</v>
      </c>
      <c r="P208" s="104">
        <v>2021</v>
      </c>
      <c r="Q208" s="105">
        <v>226677</v>
      </c>
      <c r="R208" s="106" t="s">
        <v>528</v>
      </c>
      <c r="S208" s="104"/>
      <c r="T208" s="104"/>
      <c r="U208" s="105"/>
      <c r="V208" s="106" t="s">
        <v>528</v>
      </c>
      <c r="W208" s="104"/>
      <c r="X208" s="104"/>
      <c r="Y208" s="105"/>
    </row>
    <row r="209" spans="1:25" x14ac:dyDescent="0.25">
      <c r="A209" s="107" t="s">
        <v>626</v>
      </c>
      <c r="B209" s="103">
        <f>_xlfn.XLOOKUP(A209,'[2]FRV Output'!$B:$B,'[2]FRV Output'!$F:$F)</f>
        <v>1184174484</v>
      </c>
      <c r="C209" s="104">
        <v>3</v>
      </c>
      <c r="D209" s="104">
        <v>2017</v>
      </c>
      <c r="E209" s="105">
        <v>129330.52</v>
      </c>
      <c r="F209" s="106" t="s">
        <v>528</v>
      </c>
      <c r="G209" s="104">
        <v>3</v>
      </c>
      <c r="H209" s="104">
        <v>2019</v>
      </c>
      <c r="I209" s="105">
        <v>172200</v>
      </c>
      <c r="J209" s="106" t="s">
        <v>528</v>
      </c>
      <c r="K209" s="104">
        <v>3</v>
      </c>
      <c r="L209" s="104">
        <v>2020</v>
      </c>
      <c r="M209" s="105">
        <v>78742</v>
      </c>
      <c r="N209" s="106" t="s">
        <v>528</v>
      </c>
      <c r="O209" s="104">
        <v>3</v>
      </c>
      <c r="P209" s="104">
        <v>2021</v>
      </c>
      <c r="Q209" s="105">
        <v>125588</v>
      </c>
      <c r="R209" s="106" t="s">
        <v>528</v>
      </c>
      <c r="S209" s="104"/>
      <c r="T209" s="104"/>
      <c r="U209" s="105"/>
      <c r="V209" s="106" t="s">
        <v>528</v>
      </c>
      <c r="W209" s="104"/>
      <c r="X209" s="104"/>
      <c r="Y209" s="105"/>
    </row>
    <row r="210" spans="1:25" x14ac:dyDescent="0.25">
      <c r="A210" s="107" t="s">
        <v>627</v>
      </c>
      <c r="B210" s="103">
        <f>_xlfn.XLOOKUP(A210,'[2]FRV Output'!$B:$B,'[2]FRV Output'!$F:$F)</f>
        <v>1457397952</v>
      </c>
      <c r="C210" s="104">
        <v>3</v>
      </c>
      <c r="D210" s="104">
        <v>2016</v>
      </c>
      <c r="E210" s="105">
        <v>132833</v>
      </c>
      <c r="F210" s="106" t="s">
        <v>528</v>
      </c>
      <c r="G210" s="104">
        <v>3</v>
      </c>
      <c r="H210" s="104">
        <v>2019</v>
      </c>
      <c r="I210" s="105">
        <v>127888</v>
      </c>
      <c r="J210" s="106" t="s">
        <v>528</v>
      </c>
      <c r="K210" s="104">
        <v>3</v>
      </c>
      <c r="L210" s="104">
        <v>2020</v>
      </c>
      <c r="M210" s="105">
        <v>101337</v>
      </c>
      <c r="N210" s="106" t="s">
        <v>528</v>
      </c>
      <c r="O210" s="104"/>
      <c r="P210" s="104"/>
      <c r="Q210" s="105"/>
      <c r="R210" s="106" t="s">
        <v>528</v>
      </c>
      <c r="S210" s="104"/>
      <c r="T210" s="104"/>
      <c r="U210" s="105"/>
      <c r="V210" s="106" t="s">
        <v>528</v>
      </c>
      <c r="W210" s="104"/>
      <c r="X210" s="104"/>
      <c r="Y210" s="105"/>
    </row>
    <row r="211" spans="1:25" x14ac:dyDescent="0.25">
      <c r="A211" s="107" t="s">
        <v>628</v>
      </c>
      <c r="B211" s="103">
        <f>_xlfn.XLOOKUP(A211,'[2]FRV Output'!$B:$B,'[2]FRV Output'!$F:$F)</f>
        <v>1497058416</v>
      </c>
      <c r="C211" s="104">
        <v>3</v>
      </c>
      <c r="D211" s="104">
        <v>2016</v>
      </c>
      <c r="E211" s="105">
        <v>151765</v>
      </c>
      <c r="F211" s="106" t="s">
        <v>528</v>
      </c>
      <c r="G211" s="104">
        <v>3</v>
      </c>
      <c r="H211" s="104">
        <v>2017</v>
      </c>
      <c r="I211" s="105">
        <v>53371</v>
      </c>
      <c r="J211" s="106" t="s">
        <v>528</v>
      </c>
      <c r="K211" s="104">
        <v>3</v>
      </c>
      <c r="L211" s="104">
        <v>2018</v>
      </c>
      <c r="M211" s="105">
        <v>221004</v>
      </c>
      <c r="N211" s="106" t="s">
        <v>528</v>
      </c>
      <c r="O211" s="104">
        <v>3</v>
      </c>
      <c r="P211" s="104">
        <v>2019</v>
      </c>
      <c r="Q211" s="105">
        <v>373748</v>
      </c>
      <c r="R211" s="106" t="s">
        <v>528</v>
      </c>
      <c r="S211" s="104">
        <v>3</v>
      </c>
      <c r="T211" s="104">
        <v>2020</v>
      </c>
      <c r="U211" s="105">
        <v>197264</v>
      </c>
      <c r="V211" s="106" t="s">
        <v>528</v>
      </c>
      <c r="W211" s="104"/>
      <c r="X211" s="104"/>
      <c r="Y211" s="105"/>
    </row>
    <row r="212" spans="1:25" x14ac:dyDescent="0.25">
      <c r="A212" s="107" t="s">
        <v>629</v>
      </c>
      <c r="B212" s="103">
        <f>_xlfn.XLOOKUP(A212,'[2]FRV Output'!$B:$B,'[2]FRV Output'!$F:$F)</f>
        <v>1235591918</v>
      </c>
      <c r="C212" s="104">
        <v>3</v>
      </c>
      <c r="D212" s="104">
        <v>2019</v>
      </c>
      <c r="E212" s="105">
        <v>67882</v>
      </c>
      <c r="F212" s="106" t="s">
        <v>528</v>
      </c>
      <c r="G212" s="104"/>
      <c r="H212" s="104"/>
      <c r="I212" s="105"/>
      <c r="J212" s="106" t="s">
        <v>528</v>
      </c>
      <c r="K212" s="104"/>
      <c r="L212" s="104"/>
      <c r="M212" s="105"/>
      <c r="N212" s="106" t="s">
        <v>528</v>
      </c>
      <c r="O212" s="104"/>
      <c r="P212" s="104"/>
      <c r="Q212" s="105"/>
      <c r="R212" s="106" t="s">
        <v>528</v>
      </c>
      <c r="S212" s="104"/>
      <c r="T212" s="104"/>
      <c r="U212" s="105"/>
      <c r="V212" s="106" t="s">
        <v>528</v>
      </c>
      <c r="W212" s="104"/>
      <c r="X212" s="104"/>
      <c r="Y212" s="105"/>
    </row>
    <row r="213" spans="1:25" x14ac:dyDescent="0.25">
      <c r="A213" s="103" t="s">
        <v>630</v>
      </c>
      <c r="B213" s="103">
        <f>_xlfn.XLOOKUP(A213,'[2]FRV Output'!$B:$B,'[2]FRV Output'!$F:$F)</f>
        <v>1952337073</v>
      </c>
      <c r="C213" s="104">
        <v>3</v>
      </c>
      <c r="D213" s="104">
        <v>2021</v>
      </c>
      <c r="E213" s="105">
        <v>441628</v>
      </c>
      <c r="F213" s="106" t="s">
        <v>528</v>
      </c>
      <c r="G213" s="104"/>
      <c r="H213" s="104"/>
      <c r="I213" s="105"/>
      <c r="J213" s="106" t="s">
        <v>528</v>
      </c>
      <c r="K213" s="104"/>
      <c r="L213" s="104"/>
      <c r="M213" s="105"/>
      <c r="N213" s="106" t="s">
        <v>528</v>
      </c>
      <c r="O213" s="104"/>
      <c r="P213" s="104"/>
      <c r="Q213" s="105"/>
      <c r="R213" s="106" t="s">
        <v>528</v>
      </c>
      <c r="S213" s="104"/>
      <c r="T213" s="104"/>
      <c r="U213" s="105"/>
      <c r="V213" s="106" t="s">
        <v>528</v>
      </c>
      <c r="W213" s="104"/>
      <c r="X213" s="104"/>
      <c r="Y213" s="105"/>
    </row>
    <row r="214" spans="1:25" x14ac:dyDescent="0.25">
      <c r="A214" s="107" t="s">
        <v>631</v>
      </c>
      <c r="B214" s="103">
        <f>_xlfn.XLOOKUP(A214,'[2]FRV Output'!$B:$B,'[2]FRV Output'!$F:$F)</f>
        <v>1326074048</v>
      </c>
      <c r="C214" s="104">
        <v>3</v>
      </c>
      <c r="D214" s="104">
        <v>2017</v>
      </c>
      <c r="E214" s="105">
        <v>181261</v>
      </c>
      <c r="F214" s="106" t="s">
        <v>528</v>
      </c>
      <c r="G214" s="104">
        <v>3</v>
      </c>
      <c r="H214" s="104">
        <v>2019</v>
      </c>
      <c r="I214" s="105">
        <v>368375</v>
      </c>
      <c r="J214" s="106" t="s">
        <v>528</v>
      </c>
      <c r="K214" s="104">
        <v>3</v>
      </c>
      <c r="L214" s="104">
        <v>2021</v>
      </c>
      <c r="M214" s="105">
        <v>263328</v>
      </c>
      <c r="N214" s="106" t="s">
        <v>528</v>
      </c>
      <c r="O214" s="104"/>
      <c r="P214" s="104"/>
      <c r="Q214" s="105"/>
      <c r="R214" s="106" t="s">
        <v>528</v>
      </c>
      <c r="S214" s="104"/>
      <c r="T214" s="104"/>
      <c r="U214" s="105"/>
      <c r="V214" s="106" t="s">
        <v>528</v>
      </c>
      <c r="W214" s="104"/>
      <c r="X214" s="104"/>
      <c r="Y214" s="105"/>
    </row>
    <row r="215" spans="1:25" x14ac:dyDescent="0.25">
      <c r="A215" s="107" t="s">
        <v>335</v>
      </c>
      <c r="B215" s="103">
        <f>_xlfn.XLOOKUP(A215,'[2]FRV Output'!$B:$B,'[2]FRV Output'!$F:$F)</f>
        <v>1992825848</v>
      </c>
      <c r="C215" s="104">
        <v>3</v>
      </c>
      <c r="D215" s="104">
        <v>2016</v>
      </c>
      <c r="E215" s="105">
        <v>149602</v>
      </c>
      <c r="F215" s="106" t="s">
        <v>528</v>
      </c>
      <c r="G215" s="104">
        <v>3</v>
      </c>
      <c r="H215" s="104">
        <v>2017</v>
      </c>
      <c r="I215" s="105">
        <v>74762.69</v>
      </c>
      <c r="J215" s="106" t="s">
        <v>528</v>
      </c>
      <c r="K215" s="104">
        <v>3</v>
      </c>
      <c r="L215" s="104">
        <v>2019</v>
      </c>
      <c r="M215" s="105">
        <v>70136</v>
      </c>
      <c r="N215" s="106" t="s">
        <v>528</v>
      </c>
      <c r="O215" s="104">
        <v>3</v>
      </c>
      <c r="P215" s="104">
        <v>2020</v>
      </c>
      <c r="Q215" s="105">
        <v>220818</v>
      </c>
      <c r="R215" s="106" t="s">
        <v>528</v>
      </c>
      <c r="S215" s="104"/>
      <c r="T215" s="104"/>
      <c r="U215" s="105"/>
      <c r="V215" s="106" t="s">
        <v>528</v>
      </c>
      <c r="W215" s="104"/>
      <c r="X215" s="104"/>
      <c r="Y215" s="105"/>
    </row>
    <row r="216" spans="1:25" x14ac:dyDescent="0.25">
      <c r="A216" s="117" t="s">
        <v>455</v>
      </c>
      <c r="B216" s="103">
        <f>_xlfn.XLOOKUP(A216,'[2]FRV Output'!$B:$B,'[2]FRV Output'!$F:$F)</f>
        <v>1962505313</v>
      </c>
      <c r="C216" s="104"/>
      <c r="D216" s="104"/>
      <c r="E216" s="105"/>
      <c r="F216" s="106" t="s">
        <v>528</v>
      </c>
      <c r="G216" s="104"/>
      <c r="H216" s="104"/>
      <c r="I216" s="105"/>
      <c r="J216" s="106" t="s">
        <v>528</v>
      </c>
      <c r="K216" s="104"/>
      <c r="L216" s="104"/>
      <c r="M216" s="105"/>
      <c r="N216" s="106" t="s">
        <v>528</v>
      </c>
      <c r="O216" s="104"/>
      <c r="P216" s="104"/>
      <c r="Q216" s="105"/>
      <c r="R216" s="106" t="s">
        <v>528</v>
      </c>
      <c r="S216" s="104"/>
      <c r="T216" s="104"/>
      <c r="U216" s="105"/>
      <c r="V216" s="106" t="s">
        <v>528</v>
      </c>
      <c r="W216" s="104"/>
      <c r="X216" s="104"/>
      <c r="Y216" s="105"/>
    </row>
    <row r="217" spans="1:25" x14ac:dyDescent="0.25">
      <c r="A217" s="107" t="s">
        <v>336</v>
      </c>
      <c r="B217" s="103">
        <f>_xlfn.XLOOKUP(A217,'[2]FRV Output'!$B:$B,'[2]FRV Output'!$F:$F)</f>
        <v>1720033475</v>
      </c>
      <c r="C217" s="104">
        <v>3</v>
      </c>
      <c r="D217" s="104">
        <v>2019</v>
      </c>
      <c r="E217" s="105">
        <v>152441</v>
      </c>
      <c r="F217" s="106" t="s">
        <v>528</v>
      </c>
      <c r="G217" s="104"/>
      <c r="H217" s="104"/>
      <c r="I217" s="105"/>
      <c r="J217" s="106" t="s">
        <v>528</v>
      </c>
      <c r="K217" s="104"/>
      <c r="L217" s="104"/>
      <c r="M217" s="105"/>
      <c r="N217" s="106" t="s">
        <v>528</v>
      </c>
      <c r="O217" s="104"/>
      <c r="P217" s="104"/>
      <c r="Q217" s="105"/>
      <c r="R217" s="106" t="s">
        <v>528</v>
      </c>
      <c r="S217" s="104"/>
      <c r="T217" s="104"/>
      <c r="U217" s="105"/>
      <c r="V217" s="106" t="s">
        <v>528</v>
      </c>
      <c r="W217" s="104"/>
      <c r="X217" s="104"/>
      <c r="Y217" s="105"/>
    </row>
    <row r="218" spans="1:25" x14ac:dyDescent="0.25">
      <c r="A218" s="103" t="s">
        <v>337</v>
      </c>
      <c r="B218" s="103">
        <f>_xlfn.XLOOKUP(A218,'[2]FRV Output'!$B:$B,'[2]FRV Output'!$F:$F)</f>
        <v>1477641694</v>
      </c>
      <c r="C218" s="104"/>
      <c r="D218" s="104"/>
      <c r="E218" s="105"/>
      <c r="F218" s="106" t="s">
        <v>528</v>
      </c>
      <c r="G218" s="104"/>
      <c r="H218" s="104"/>
      <c r="I218" s="105"/>
      <c r="J218" s="106" t="s">
        <v>528</v>
      </c>
      <c r="K218" s="104"/>
      <c r="L218" s="104"/>
      <c r="M218" s="105"/>
      <c r="N218" s="106" t="s">
        <v>528</v>
      </c>
      <c r="O218" s="104"/>
      <c r="P218" s="104"/>
      <c r="Q218" s="105"/>
      <c r="R218" s="106" t="s">
        <v>528</v>
      </c>
      <c r="S218" s="104"/>
      <c r="T218" s="104"/>
      <c r="U218" s="105"/>
      <c r="V218" s="106" t="s">
        <v>528</v>
      </c>
      <c r="W218" s="104"/>
      <c r="X218" s="104"/>
      <c r="Y218" s="105"/>
    </row>
    <row r="219" spans="1:25" x14ac:dyDescent="0.25">
      <c r="A219" s="107" t="s">
        <v>632</v>
      </c>
      <c r="B219" s="103">
        <f>_xlfn.XLOOKUP(A219,'[2]FRV Output'!$B:$B,'[2]FRV Output'!$F:$F)</f>
        <v>1790317840</v>
      </c>
      <c r="C219" s="104">
        <v>3</v>
      </c>
      <c r="D219" s="104">
        <v>2016</v>
      </c>
      <c r="E219" s="105">
        <v>149460</v>
      </c>
      <c r="F219" s="106" t="s">
        <v>528</v>
      </c>
      <c r="G219" s="104">
        <v>3</v>
      </c>
      <c r="H219" s="104">
        <v>2017</v>
      </c>
      <c r="I219" s="105">
        <v>92407</v>
      </c>
      <c r="J219" s="106" t="s">
        <v>528</v>
      </c>
      <c r="K219" s="104">
        <v>3</v>
      </c>
      <c r="L219" s="104">
        <v>2018</v>
      </c>
      <c r="M219" s="105">
        <v>171020</v>
      </c>
      <c r="N219" s="106" t="s">
        <v>528</v>
      </c>
      <c r="O219" s="104">
        <v>3</v>
      </c>
      <c r="P219" s="104">
        <v>2019</v>
      </c>
      <c r="Q219" s="105">
        <v>241158</v>
      </c>
      <c r="R219" s="106" t="s">
        <v>528</v>
      </c>
      <c r="S219" s="104"/>
      <c r="T219" s="104"/>
      <c r="U219" s="105"/>
      <c r="V219" s="106" t="s">
        <v>528</v>
      </c>
      <c r="W219" s="104"/>
      <c r="X219" s="104"/>
      <c r="Y219" s="105"/>
    </row>
    <row r="220" spans="1:25" x14ac:dyDescent="0.25">
      <c r="A220" s="107" t="s">
        <v>633</v>
      </c>
      <c r="B220" s="103">
        <f>_xlfn.XLOOKUP(A220,'[2]FRV Output'!$B:$B,'[2]FRV Output'!$F:$F)</f>
        <v>1336565779</v>
      </c>
      <c r="C220" s="104">
        <v>3</v>
      </c>
      <c r="D220" s="104">
        <v>2019</v>
      </c>
      <c r="E220" s="105">
        <v>77563</v>
      </c>
      <c r="F220" s="106" t="s">
        <v>528</v>
      </c>
      <c r="G220" s="104">
        <v>3</v>
      </c>
      <c r="H220" s="104">
        <v>2020</v>
      </c>
      <c r="I220" s="105">
        <v>132596</v>
      </c>
      <c r="J220" s="106" t="s">
        <v>528</v>
      </c>
      <c r="K220" s="104">
        <v>3</v>
      </c>
      <c r="L220" s="104">
        <v>2021</v>
      </c>
      <c r="M220" s="105">
        <v>109124</v>
      </c>
      <c r="N220" s="106" t="s">
        <v>528</v>
      </c>
      <c r="O220" s="104"/>
      <c r="P220" s="104"/>
      <c r="Q220" s="105"/>
      <c r="R220" s="106" t="s">
        <v>528</v>
      </c>
      <c r="S220" s="104"/>
      <c r="T220" s="104"/>
      <c r="U220" s="105"/>
      <c r="V220" s="106" t="s">
        <v>528</v>
      </c>
      <c r="W220" s="104"/>
      <c r="X220" s="104"/>
      <c r="Y220" s="105"/>
    </row>
    <row r="221" spans="1:25" x14ac:dyDescent="0.25">
      <c r="A221" s="103" t="s">
        <v>634</v>
      </c>
      <c r="B221" s="103">
        <f>_xlfn.XLOOKUP(A221,'[2]FRV Output'!$B:$B,'[2]FRV Output'!$F:$F)</f>
        <v>1649224056</v>
      </c>
      <c r="C221" s="104">
        <v>3</v>
      </c>
      <c r="D221" s="104">
        <v>2017</v>
      </c>
      <c r="E221" s="105">
        <v>155323</v>
      </c>
      <c r="F221" s="106" t="s">
        <v>528</v>
      </c>
      <c r="G221" s="104">
        <v>3</v>
      </c>
      <c r="H221" s="104">
        <v>2020</v>
      </c>
      <c r="I221" s="105">
        <v>286440</v>
      </c>
      <c r="J221" s="106" t="s">
        <v>528</v>
      </c>
      <c r="K221" s="104">
        <v>3</v>
      </c>
      <c r="L221" s="104">
        <v>2021</v>
      </c>
      <c r="M221" s="105">
        <v>110986</v>
      </c>
      <c r="N221" s="106" t="s">
        <v>528</v>
      </c>
      <c r="O221" s="104"/>
      <c r="P221" s="104"/>
      <c r="Q221" s="105"/>
      <c r="R221" s="106" t="s">
        <v>528</v>
      </c>
      <c r="S221" s="104"/>
      <c r="T221" s="104"/>
      <c r="U221" s="105"/>
      <c r="V221" s="106" t="s">
        <v>528</v>
      </c>
      <c r="W221" s="104"/>
      <c r="X221" s="104"/>
      <c r="Y221" s="105"/>
    </row>
    <row r="222" spans="1:25" x14ac:dyDescent="0.25">
      <c r="A222" s="107" t="s">
        <v>341</v>
      </c>
      <c r="B222" s="103">
        <f>_xlfn.XLOOKUP(A222,'[2]FRV Output'!$B:$B,'[2]FRV Output'!$F:$F)</f>
        <v>1831197714</v>
      </c>
      <c r="C222" s="104">
        <v>3</v>
      </c>
      <c r="D222" s="104">
        <v>2016</v>
      </c>
      <c r="E222" s="105">
        <v>59110</v>
      </c>
      <c r="F222" s="106" t="s">
        <v>528</v>
      </c>
      <c r="G222" s="104">
        <v>3</v>
      </c>
      <c r="H222" s="104">
        <v>2019</v>
      </c>
      <c r="I222" s="105">
        <v>69478</v>
      </c>
      <c r="J222" s="106" t="s">
        <v>528</v>
      </c>
      <c r="K222" s="104"/>
      <c r="L222" s="104"/>
      <c r="M222" s="105"/>
      <c r="N222" s="106" t="s">
        <v>528</v>
      </c>
      <c r="O222" s="104"/>
      <c r="P222" s="104"/>
      <c r="Q222" s="105"/>
      <c r="R222" s="106" t="s">
        <v>528</v>
      </c>
      <c r="S222" s="104"/>
      <c r="T222" s="104"/>
      <c r="U222" s="105"/>
      <c r="V222" s="106" t="s">
        <v>528</v>
      </c>
      <c r="W222" s="104"/>
      <c r="X222" s="104"/>
      <c r="Y222" s="105"/>
    </row>
    <row r="223" spans="1:25" x14ac:dyDescent="0.25">
      <c r="A223" s="103" t="s">
        <v>342</v>
      </c>
      <c r="B223" s="103">
        <f>_xlfn.XLOOKUP(A223,'[2]FRV Output'!$B:$B,'[2]FRV Output'!$F:$F)</f>
        <v>1952396509</v>
      </c>
      <c r="C223" s="104"/>
      <c r="D223" s="104"/>
      <c r="E223" s="105"/>
      <c r="F223" s="106" t="s">
        <v>528</v>
      </c>
      <c r="G223" s="104"/>
      <c r="H223" s="104"/>
      <c r="I223" s="105"/>
      <c r="J223" s="106" t="s">
        <v>528</v>
      </c>
      <c r="K223" s="104"/>
      <c r="L223" s="104"/>
      <c r="M223" s="105"/>
      <c r="N223" s="106" t="s">
        <v>528</v>
      </c>
      <c r="O223" s="104"/>
      <c r="P223" s="104"/>
      <c r="Q223" s="105"/>
      <c r="R223" s="106" t="s">
        <v>528</v>
      </c>
      <c r="S223" s="104"/>
      <c r="T223" s="104"/>
      <c r="U223" s="105"/>
      <c r="V223" s="106" t="s">
        <v>528</v>
      </c>
      <c r="W223" s="104"/>
      <c r="X223" s="104"/>
      <c r="Y223" s="105"/>
    </row>
    <row r="224" spans="1:25" x14ac:dyDescent="0.25">
      <c r="A224" s="107" t="s">
        <v>343</v>
      </c>
      <c r="B224" s="103">
        <f>_xlfn.XLOOKUP(A224,'[2]FRV Output'!$B:$B,'[2]FRV Output'!$F:$F)</f>
        <v>1396754875</v>
      </c>
      <c r="C224" s="104">
        <v>3</v>
      </c>
      <c r="D224" s="104">
        <v>2016</v>
      </c>
      <c r="E224" s="105">
        <v>85239</v>
      </c>
      <c r="F224" s="106" t="s">
        <v>528</v>
      </c>
      <c r="G224" s="104">
        <v>3</v>
      </c>
      <c r="H224" s="104">
        <v>2017</v>
      </c>
      <c r="I224" s="105">
        <v>45401</v>
      </c>
      <c r="J224" s="106" t="s">
        <v>528</v>
      </c>
      <c r="K224" s="104">
        <v>3</v>
      </c>
      <c r="L224" s="104">
        <v>2018</v>
      </c>
      <c r="M224" s="105">
        <v>1738602</v>
      </c>
      <c r="N224" s="106" t="s">
        <v>528</v>
      </c>
      <c r="O224" s="104">
        <v>3</v>
      </c>
      <c r="P224" s="104">
        <v>2019</v>
      </c>
      <c r="Q224" s="105">
        <v>144401</v>
      </c>
      <c r="R224" s="106" t="s">
        <v>528</v>
      </c>
      <c r="S224" s="104">
        <v>3</v>
      </c>
      <c r="T224" s="104">
        <v>2021</v>
      </c>
      <c r="U224" s="105">
        <v>90001</v>
      </c>
      <c r="V224" s="106" t="s">
        <v>528</v>
      </c>
      <c r="W224" s="104"/>
      <c r="X224" s="104"/>
      <c r="Y224" s="105"/>
    </row>
    <row r="225" spans="1:25" x14ac:dyDescent="0.25">
      <c r="A225" s="113" t="s">
        <v>635</v>
      </c>
      <c r="B225" s="103">
        <f>_xlfn.XLOOKUP(A225,'[2]FRV Output'!$B:$B,'[2]FRV Output'!$F:$F)</f>
        <v>1952486771</v>
      </c>
      <c r="C225" s="104">
        <v>3</v>
      </c>
      <c r="D225" s="104">
        <v>2018</v>
      </c>
      <c r="E225" s="105">
        <v>74899</v>
      </c>
      <c r="F225" s="106" t="s">
        <v>528</v>
      </c>
      <c r="G225" s="104">
        <v>2</v>
      </c>
      <c r="H225" s="104">
        <v>2020</v>
      </c>
      <c r="I225" s="105">
        <v>134</v>
      </c>
      <c r="J225" s="106" t="s">
        <v>528</v>
      </c>
      <c r="K225" s="104"/>
      <c r="L225" s="104"/>
      <c r="M225" s="105"/>
      <c r="N225" s="106" t="s">
        <v>528</v>
      </c>
      <c r="O225" s="104"/>
      <c r="P225" s="104"/>
      <c r="Q225" s="105"/>
      <c r="R225" s="106" t="s">
        <v>528</v>
      </c>
      <c r="S225" s="104"/>
      <c r="T225" s="104"/>
      <c r="U225" s="105"/>
      <c r="V225" s="106" t="s">
        <v>528</v>
      </c>
      <c r="W225" s="104"/>
      <c r="X225" s="104"/>
      <c r="Y225" s="105"/>
    </row>
    <row r="226" spans="1:25" x14ac:dyDescent="0.25">
      <c r="A226" s="107" t="s">
        <v>636</v>
      </c>
      <c r="B226" s="103">
        <f>_xlfn.XLOOKUP(A226,'[2]FRV Output'!$B:$B,'[2]FRV Output'!$F:$F)</f>
        <v>1396771515</v>
      </c>
      <c r="C226" s="104">
        <v>3</v>
      </c>
      <c r="D226" s="104">
        <v>2016</v>
      </c>
      <c r="E226" s="105">
        <v>289221</v>
      </c>
      <c r="F226" s="106" t="s">
        <v>528</v>
      </c>
      <c r="G226" s="104">
        <v>3</v>
      </c>
      <c r="H226" s="104">
        <v>2018</v>
      </c>
      <c r="I226" s="105">
        <v>326573</v>
      </c>
      <c r="J226" s="106" t="s">
        <v>528</v>
      </c>
      <c r="K226" s="104">
        <v>3</v>
      </c>
      <c r="L226" s="104">
        <v>2019</v>
      </c>
      <c r="M226" s="105">
        <v>194745</v>
      </c>
      <c r="N226" s="106" t="s">
        <v>528</v>
      </c>
      <c r="O226" s="104">
        <v>3</v>
      </c>
      <c r="P226" s="104">
        <v>2021</v>
      </c>
      <c r="Q226" s="105">
        <v>112046</v>
      </c>
      <c r="R226" s="106" t="s">
        <v>528</v>
      </c>
      <c r="S226" s="104"/>
      <c r="T226" s="104"/>
      <c r="U226" s="105"/>
      <c r="V226" s="106" t="s">
        <v>528</v>
      </c>
      <c r="W226" s="104"/>
      <c r="X226" s="104"/>
      <c r="Y226" s="105"/>
    </row>
    <row r="227" spans="1:25" x14ac:dyDescent="0.25">
      <c r="A227" s="103" t="s">
        <v>346</v>
      </c>
      <c r="B227" s="103">
        <f>_xlfn.XLOOKUP(A227,'[2]FRV Output'!$B:$B,'[2]FRV Output'!$F:$F)</f>
        <v>1932107547</v>
      </c>
      <c r="C227" s="104"/>
      <c r="D227" s="104"/>
      <c r="E227" s="105"/>
      <c r="F227" s="106" t="s">
        <v>528</v>
      </c>
      <c r="G227" s="104"/>
      <c r="H227" s="104"/>
      <c r="I227" s="105"/>
      <c r="J227" s="106" t="s">
        <v>528</v>
      </c>
      <c r="K227" s="104"/>
      <c r="L227" s="104"/>
      <c r="M227" s="105"/>
      <c r="N227" s="106" t="s">
        <v>528</v>
      </c>
      <c r="O227" s="104"/>
      <c r="P227" s="104"/>
      <c r="Q227" s="105"/>
      <c r="R227" s="106" t="s">
        <v>528</v>
      </c>
      <c r="S227" s="104"/>
      <c r="T227" s="104"/>
      <c r="U227" s="105"/>
      <c r="V227" s="106" t="s">
        <v>528</v>
      </c>
      <c r="W227" s="104"/>
      <c r="X227" s="104"/>
      <c r="Y227" s="105"/>
    </row>
    <row r="228" spans="1:25" x14ac:dyDescent="0.25">
      <c r="A228" s="103" t="s">
        <v>637</v>
      </c>
      <c r="B228" s="103">
        <f>_xlfn.XLOOKUP(A228,'[2]FRV Output'!$B:$B,'[2]FRV Output'!$F:$F)</f>
        <v>1013951896</v>
      </c>
      <c r="C228" s="104">
        <v>3</v>
      </c>
      <c r="D228" s="104">
        <v>2021</v>
      </c>
      <c r="E228" s="105">
        <v>70708</v>
      </c>
      <c r="F228" s="106" t="s">
        <v>528</v>
      </c>
      <c r="G228" s="104"/>
      <c r="H228" s="104"/>
      <c r="I228" s="105"/>
      <c r="J228" s="106" t="s">
        <v>528</v>
      </c>
      <c r="K228" s="104"/>
      <c r="L228" s="104"/>
      <c r="M228" s="105"/>
      <c r="N228" s="106" t="s">
        <v>528</v>
      </c>
      <c r="O228" s="104"/>
      <c r="P228" s="104"/>
      <c r="Q228" s="105"/>
      <c r="R228" s="106" t="s">
        <v>528</v>
      </c>
      <c r="S228" s="104"/>
      <c r="T228" s="104"/>
      <c r="U228" s="105"/>
      <c r="V228" s="106" t="s">
        <v>528</v>
      </c>
      <c r="W228" s="104"/>
      <c r="X228" s="104"/>
      <c r="Y228" s="105"/>
    </row>
    <row r="229" spans="1:25" x14ac:dyDescent="0.25">
      <c r="A229" s="103" t="s">
        <v>638</v>
      </c>
      <c r="B229" s="103">
        <f>_xlfn.XLOOKUP(A229,'[2]FRV Output'!$B:$B,'[2]FRV Output'!$F:$F)</f>
        <v>1477146959</v>
      </c>
      <c r="C229" s="104">
        <v>3</v>
      </c>
      <c r="D229" s="104">
        <v>2020</v>
      </c>
      <c r="E229" s="105">
        <v>93952</v>
      </c>
      <c r="F229" s="106" t="s">
        <v>528</v>
      </c>
      <c r="G229" s="104"/>
      <c r="H229" s="104"/>
      <c r="I229" s="105"/>
      <c r="J229" s="106" t="s">
        <v>528</v>
      </c>
      <c r="K229" s="104"/>
      <c r="L229" s="104"/>
      <c r="M229" s="105"/>
      <c r="N229" s="106" t="s">
        <v>528</v>
      </c>
      <c r="O229" s="104"/>
      <c r="P229" s="104"/>
      <c r="Q229" s="105"/>
      <c r="R229" s="106" t="s">
        <v>528</v>
      </c>
      <c r="S229" s="104"/>
      <c r="T229" s="104"/>
      <c r="U229" s="105"/>
      <c r="V229" s="106" t="s">
        <v>528</v>
      </c>
      <c r="W229" s="104"/>
      <c r="X229" s="104"/>
      <c r="Y229" s="105"/>
    </row>
    <row r="230" spans="1:25" x14ac:dyDescent="0.25">
      <c r="A230" s="103" t="s">
        <v>349</v>
      </c>
      <c r="B230" s="103">
        <f>_xlfn.XLOOKUP(A230,'[2]FRV Output'!$B:$B,'[2]FRV Output'!$F:$F)</f>
        <v>1093754459</v>
      </c>
      <c r="C230" s="104">
        <v>3</v>
      </c>
      <c r="D230" s="104">
        <v>2017</v>
      </c>
      <c r="E230" s="105">
        <v>155246</v>
      </c>
      <c r="F230" s="106" t="s">
        <v>528</v>
      </c>
      <c r="G230" s="104">
        <v>3</v>
      </c>
      <c r="H230" s="104">
        <v>2021</v>
      </c>
      <c r="I230" s="105">
        <v>43449</v>
      </c>
      <c r="J230" s="106" t="s">
        <v>528</v>
      </c>
      <c r="K230" s="104"/>
      <c r="L230" s="104"/>
      <c r="M230" s="105"/>
      <c r="N230" s="106" t="s">
        <v>528</v>
      </c>
      <c r="O230" s="104"/>
      <c r="P230" s="104"/>
      <c r="Q230" s="105"/>
      <c r="R230" s="106" t="s">
        <v>528</v>
      </c>
      <c r="S230" s="104"/>
      <c r="T230" s="104"/>
      <c r="U230" s="105"/>
      <c r="V230" s="106" t="s">
        <v>528</v>
      </c>
      <c r="W230" s="104"/>
      <c r="X230" s="104"/>
      <c r="Y230" s="105"/>
    </row>
    <row r="231" spans="1:25" x14ac:dyDescent="0.25">
      <c r="A231" s="118" t="s">
        <v>350</v>
      </c>
      <c r="B231" s="103">
        <f>_xlfn.XLOOKUP(A231,'[2]FRV Output'!$B:$B,'[2]FRV Output'!$F:$F)</f>
        <v>1861521635</v>
      </c>
      <c r="C231" s="104">
        <v>3</v>
      </c>
      <c r="D231" s="104">
        <v>2016</v>
      </c>
      <c r="E231" s="105">
        <v>58696</v>
      </c>
      <c r="F231" s="106" t="s">
        <v>528</v>
      </c>
      <c r="G231" s="104">
        <v>3</v>
      </c>
      <c r="H231" s="104">
        <v>2018</v>
      </c>
      <c r="I231" s="105">
        <v>78827</v>
      </c>
      <c r="J231" s="106" t="s">
        <v>528</v>
      </c>
      <c r="K231" s="104">
        <v>3</v>
      </c>
      <c r="L231" s="104">
        <v>2020</v>
      </c>
      <c r="M231" s="105">
        <v>73203</v>
      </c>
      <c r="N231" s="106" t="s">
        <v>528</v>
      </c>
      <c r="O231" s="104"/>
      <c r="P231" s="104"/>
      <c r="Q231" s="105"/>
      <c r="R231" s="106" t="s">
        <v>528</v>
      </c>
      <c r="S231" s="104"/>
      <c r="T231" s="104"/>
      <c r="U231" s="105"/>
      <c r="V231" s="106" t="s">
        <v>528</v>
      </c>
      <c r="W231" s="104"/>
      <c r="X231" s="104"/>
      <c r="Y231" s="105"/>
    </row>
    <row r="232" spans="1:25" x14ac:dyDescent="0.25">
      <c r="A232" s="103" t="s">
        <v>351</v>
      </c>
      <c r="B232" s="103">
        <f>_xlfn.XLOOKUP(A232,'[2]FRV Output'!$B:$B,'[2]FRV Output'!$F:$F)</f>
        <v>1558391250</v>
      </c>
      <c r="C232" s="104">
        <v>3</v>
      </c>
      <c r="D232" s="104">
        <v>2021</v>
      </c>
      <c r="E232" s="105">
        <v>218151</v>
      </c>
      <c r="F232" s="106" t="s">
        <v>528</v>
      </c>
      <c r="G232" s="104"/>
      <c r="H232" s="104"/>
      <c r="I232" s="105"/>
      <c r="J232" s="106" t="s">
        <v>528</v>
      </c>
      <c r="K232" s="104"/>
      <c r="L232" s="104"/>
      <c r="M232" s="105"/>
      <c r="N232" s="106" t="s">
        <v>528</v>
      </c>
      <c r="O232" s="104"/>
      <c r="P232" s="104"/>
      <c r="Q232" s="105"/>
      <c r="R232" s="106" t="s">
        <v>528</v>
      </c>
      <c r="S232" s="104"/>
      <c r="T232" s="104"/>
      <c r="U232" s="105"/>
      <c r="V232" s="106" t="s">
        <v>528</v>
      </c>
      <c r="W232" s="104"/>
      <c r="X232" s="104"/>
      <c r="Y232" s="105"/>
    </row>
    <row r="233" spans="1:25" x14ac:dyDescent="0.25">
      <c r="A233" s="103" t="s">
        <v>639</v>
      </c>
      <c r="B233" s="103">
        <f>_xlfn.XLOOKUP(A233,'[2]FRV Output'!$B:$B,'[2]FRV Output'!$F:$F)</f>
        <v>1033611959</v>
      </c>
      <c r="C233" s="104">
        <v>2</v>
      </c>
      <c r="D233" s="104">
        <v>2018</v>
      </c>
      <c r="E233" s="105">
        <v>133</v>
      </c>
      <c r="F233" s="106" t="s">
        <v>528</v>
      </c>
      <c r="G233" s="104">
        <v>3</v>
      </c>
      <c r="H233" s="104">
        <v>2021</v>
      </c>
      <c r="I233" s="105">
        <v>67373</v>
      </c>
      <c r="J233" s="106" t="s">
        <v>528</v>
      </c>
      <c r="K233" s="104"/>
      <c r="L233" s="104"/>
      <c r="M233" s="105"/>
      <c r="N233" s="106" t="s">
        <v>528</v>
      </c>
      <c r="O233" s="104"/>
      <c r="P233" s="104"/>
      <c r="Q233" s="105"/>
      <c r="R233" s="106" t="s">
        <v>528</v>
      </c>
      <c r="S233" s="104"/>
      <c r="T233" s="104"/>
      <c r="U233" s="105"/>
      <c r="V233" s="106" t="s">
        <v>528</v>
      </c>
      <c r="W233" s="104"/>
      <c r="X233" s="104"/>
      <c r="Y233" s="105"/>
    </row>
    <row r="234" spans="1:25" x14ac:dyDescent="0.25">
      <c r="A234" s="107" t="s">
        <v>640</v>
      </c>
      <c r="B234" s="103">
        <f>_xlfn.XLOOKUP(A234,'[2]FRV Output'!$B:$B,'[2]FRV Output'!$F:$F)</f>
        <v>1962832899</v>
      </c>
      <c r="C234" s="104">
        <v>3</v>
      </c>
      <c r="D234" s="104">
        <v>2019</v>
      </c>
      <c r="E234" s="105">
        <v>85094</v>
      </c>
      <c r="F234" s="106"/>
      <c r="G234" s="104">
        <v>3</v>
      </c>
      <c r="H234" s="104">
        <v>2020</v>
      </c>
      <c r="I234" s="105">
        <v>104460</v>
      </c>
      <c r="J234" s="106"/>
      <c r="K234" s="104">
        <v>1</v>
      </c>
      <c r="L234" s="104">
        <v>2021</v>
      </c>
      <c r="M234" s="105">
        <v>-12</v>
      </c>
      <c r="N234" s="106"/>
      <c r="O234" s="104"/>
      <c r="P234" s="104"/>
      <c r="Q234" s="105"/>
      <c r="R234" s="106"/>
      <c r="S234" s="104"/>
      <c r="T234" s="104"/>
      <c r="U234" s="105"/>
      <c r="V234" s="106"/>
      <c r="W234" s="104"/>
      <c r="X234" s="104"/>
      <c r="Y234" s="105"/>
    </row>
    <row r="235" spans="1:25" x14ac:dyDescent="0.25">
      <c r="A235" s="103" t="s">
        <v>354</v>
      </c>
      <c r="B235" s="103">
        <f>_xlfn.XLOOKUP(A235,'[2]FRV Output'!$B:$B,'[2]FRV Output'!$F:$F)</f>
        <v>1336612530</v>
      </c>
      <c r="C235" s="104">
        <v>3</v>
      </c>
      <c r="D235" s="104">
        <v>2016</v>
      </c>
      <c r="E235" s="105">
        <v>185332</v>
      </c>
      <c r="F235" s="106" t="s">
        <v>528</v>
      </c>
      <c r="G235" s="104">
        <v>3</v>
      </c>
      <c r="H235" s="104">
        <v>2017</v>
      </c>
      <c r="I235" s="105">
        <v>65641</v>
      </c>
      <c r="J235" s="106" t="s">
        <v>528</v>
      </c>
      <c r="K235" s="104"/>
      <c r="L235" s="104"/>
      <c r="M235" s="105"/>
      <c r="N235" s="106" t="s">
        <v>528</v>
      </c>
      <c r="O235" s="104"/>
      <c r="P235" s="104"/>
      <c r="Q235" s="105"/>
      <c r="R235" s="106" t="s">
        <v>528</v>
      </c>
      <c r="S235" s="104"/>
      <c r="T235" s="104"/>
      <c r="U235" s="105"/>
      <c r="V235" s="106" t="s">
        <v>528</v>
      </c>
      <c r="W235" s="104"/>
      <c r="X235" s="104"/>
      <c r="Y235" s="105"/>
    </row>
    <row r="236" spans="1:25" x14ac:dyDescent="0.25">
      <c r="A236" s="103" t="s">
        <v>355</v>
      </c>
      <c r="B236" s="103">
        <f>_xlfn.XLOOKUP(A236,'[2]FRV Output'!$B:$B,'[2]FRV Output'!$F:$F)</f>
        <v>1427248905</v>
      </c>
      <c r="C236" s="104"/>
      <c r="D236" s="104"/>
      <c r="E236" s="105"/>
      <c r="F236" s="106" t="s">
        <v>528</v>
      </c>
      <c r="G236" s="104"/>
      <c r="H236" s="104"/>
      <c r="I236" s="105"/>
      <c r="J236" s="106" t="s">
        <v>528</v>
      </c>
      <c r="K236" s="104"/>
      <c r="L236" s="104"/>
      <c r="M236" s="105"/>
      <c r="N236" s="106" t="s">
        <v>528</v>
      </c>
      <c r="O236" s="104"/>
      <c r="P236" s="104"/>
      <c r="Q236" s="105"/>
      <c r="R236" s="106" t="s">
        <v>528</v>
      </c>
      <c r="S236" s="104"/>
      <c r="T236" s="104"/>
      <c r="U236" s="105"/>
      <c r="V236" s="106" t="s">
        <v>528</v>
      </c>
      <c r="W236" s="104"/>
      <c r="X236" s="104"/>
      <c r="Y236" s="105"/>
    </row>
    <row r="237" spans="1:25" x14ac:dyDescent="0.25">
      <c r="A237" s="103" t="s">
        <v>356</v>
      </c>
      <c r="B237" s="103">
        <f>_xlfn.XLOOKUP(A237,'[2]FRV Output'!$B:$B,'[2]FRV Output'!$F:$F)</f>
        <v>1609976901</v>
      </c>
      <c r="C237" s="104">
        <v>1</v>
      </c>
      <c r="D237" s="104">
        <v>2019</v>
      </c>
      <c r="E237" s="105">
        <v>16</v>
      </c>
      <c r="F237" s="106" t="s">
        <v>603</v>
      </c>
      <c r="G237" s="104">
        <v>1</v>
      </c>
      <c r="H237" s="104">
        <v>2021</v>
      </c>
      <c r="I237" s="105">
        <v>16</v>
      </c>
      <c r="J237" s="106" t="s">
        <v>603</v>
      </c>
      <c r="K237" s="104"/>
      <c r="L237" s="104"/>
      <c r="M237" s="105"/>
      <c r="N237" s="106" t="s">
        <v>528</v>
      </c>
      <c r="O237" s="104"/>
      <c r="P237" s="104"/>
      <c r="Q237" s="105"/>
      <c r="R237" s="106" t="s">
        <v>528</v>
      </c>
      <c r="S237" s="104"/>
      <c r="T237" s="104"/>
      <c r="U237" s="105"/>
      <c r="V237" s="106" t="s">
        <v>528</v>
      </c>
      <c r="W237" s="104"/>
      <c r="X237" s="104"/>
      <c r="Y237" s="105"/>
    </row>
    <row r="238" spans="1:25" x14ac:dyDescent="0.25">
      <c r="A238" s="103" t="s">
        <v>357</v>
      </c>
      <c r="B238" s="103">
        <f>_xlfn.XLOOKUP(A238,'[2]FRV Output'!$B:$B,'[2]FRV Output'!$F:$F)</f>
        <v>1235239567</v>
      </c>
      <c r="C238" s="104">
        <v>1</v>
      </c>
      <c r="D238" s="104">
        <v>2019</v>
      </c>
      <c r="E238" s="105">
        <v>-16</v>
      </c>
      <c r="F238" s="106" t="s">
        <v>625</v>
      </c>
      <c r="G238" s="104"/>
      <c r="H238" s="104"/>
      <c r="I238" s="105"/>
      <c r="J238" s="106" t="s">
        <v>528</v>
      </c>
      <c r="K238" s="104"/>
      <c r="L238" s="104"/>
      <c r="M238" s="105"/>
      <c r="N238" s="106" t="s">
        <v>528</v>
      </c>
      <c r="O238" s="104"/>
      <c r="P238" s="104"/>
      <c r="Q238" s="105"/>
      <c r="R238" s="106" t="s">
        <v>528</v>
      </c>
      <c r="S238" s="104"/>
      <c r="T238" s="104"/>
      <c r="U238" s="105"/>
      <c r="V238" s="106" t="s">
        <v>528</v>
      </c>
      <c r="W238" s="104"/>
      <c r="X238" s="104"/>
      <c r="Y238" s="105"/>
    </row>
    <row r="239" spans="1:25" x14ac:dyDescent="0.25">
      <c r="A239" s="103" t="s">
        <v>358</v>
      </c>
      <c r="B239" s="103">
        <f>_xlfn.XLOOKUP(A239,'[2]FRV Output'!$B:$B,'[2]FRV Output'!$F:$F)</f>
        <v>1841390002</v>
      </c>
      <c r="C239" s="104"/>
      <c r="D239" s="104"/>
      <c r="E239" s="105"/>
      <c r="F239" s="106" t="s">
        <v>528</v>
      </c>
      <c r="G239" s="104"/>
      <c r="H239" s="104"/>
      <c r="I239" s="105"/>
      <c r="J239" s="106" t="s">
        <v>528</v>
      </c>
      <c r="K239" s="104"/>
      <c r="L239" s="104"/>
      <c r="M239" s="105"/>
      <c r="N239" s="106" t="s">
        <v>528</v>
      </c>
      <c r="O239" s="104"/>
      <c r="P239" s="104"/>
      <c r="Q239" s="105"/>
      <c r="R239" s="106" t="s">
        <v>528</v>
      </c>
      <c r="S239" s="104"/>
      <c r="T239" s="104"/>
      <c r="U239" s="105"/>
      <c r="V239" s="106" t="s">
        <v>528</v>
      </c>
      <c r="W239" s="104"/>
      <c r="X239" s="104"/>
      <c r="Y239" s="105"/>
    </row>
    <row r="240" spans="1:25" x14ac:dyDescent="0.25">
      <c r="A240" s="103" t="s">
        <v>359</v>
      </c>
      <c r="B240" s="103">
        <f>_xlfn.XLOOKUP(A240,'[2]FRV Output'!$B:$B,'[2]FRV Output'!$F:$F)</f>
        <v>1194825448</v>
      </c>
      <c r="C240" s="104"/>
      <c r="D240" s="104"/>
      <c r="E240" s="105"/>
      <c r="F240" s="106" t="s">
        <v>528</v>
      </c>
      <c r="G240" s="104"/>
      <c r="H240" s="104"/>
      <c r="I240" s="105"/>
      <c r="J240" s="106" t="s">
        <v>528</v>
      </c>
      <c r="K240" s="104"/>
      <c r="L240" s="104"/>
      <c r="M240" s="105"/>
      <c r="N240" s="106" t="s">
        <v>528</v>
      </c>
      <c r="O240" s="104"/>
      <c r="P240" s="104"/>
      <c r="Q240" s="105"/>
      <c r="R240" s="106" t="s">
        <v>528</v>
      </c>
      <c r="S240" s="104"/>
      <c r="T240" s="104"/>
      <c r="U240" s="105"/>
      <c r="V240" s="106" t="s">
        <v>528</v>
      </c>
      <c r="W240" s="104"/>
      <c r="X240" s="104"/>
      <c r="Y240" s="105"/>
    </row>
    <row r="241" spans="1:25" x14ac:dyDescent="0.25">
      <c r="A241" s="103" t="s">
        <v>360</v>
      </c>
      <c r="B241" s="103">
        <f>_xlfn.XLOOKUP(A241,'[2]FRV Output'!$B:$B,'[2]FRV Output'!$F:$F)</f>
        <v>1275823155</v>
      </c>
      <c r="C241" s="104">
        <v>2</v>
      </c>
      <c r="D241" s="104">
        <v>2016</v>
      </c>
      <c r="E241" s="105">
        <v>120</v>
      </c>
      <c r="F241" s="106" t="s">
        <v>528</v>
      </c>
      <c r="G241" s="104"/>
      <c r="H241" s="104"/>
      <c r="I241" s="105"/>
      <c r="J241" s="106" t="s">
        <v>528</v>
      </c>
      <c r="K241" s="104"/>
      <c r="L241" s="104"/>
      <c r="M241" s="105"/>
      <c r="N241" s="106" t="s">
        <v>528</v>
      </c>
      <c r="O241" s="104"/>
      <c r="P241" s="104"/>
      <c r="Q241" s="105"/>
      <c r="R241" s="106" t="s">
        <v>528</v>
      </c>
      <c r="S241" s="104"/>
      <c r="T241" s="104"/>
      <c r="U241" s="105"/>
      <c r="V241" s="106" t="s">
        <v>528</v>
      </c>
      <c r="W241" s="104"/>
      <c r="X241" s="104"/>
      <c r="Y241" s="105"/>
    </row>
    <row r="242" spans="1:25" x14ac:dyDescent="0.25">
      <c r="A242" s="103" t="s">
        <v>361</v>
      </c>
      <c r="B242" s="103">
        <f>_xlfn.XLOOKUP(A242,'[2]FRV Output'!$B:$B,'[2]FRV Output'!$F:$F)</f>
        <v>1265816185</v>
      </c>
      <c r="C242" s="104">
        <v>3</v>
      </c>
      <c r="D242" s="104">
        <v>2016</v>
      </c>
      <c r="E242" s="105">
        <v>1348829</v>
      </c>
      <c r="F242" s="106" t="s">
        <v>528</v>
      </c>
      <c r="G242" s="104"/>
      <c r="H242" s="104"/>
      <c r="I242" s="105"/>
      <c r="J242" s="106" t="s">
        <v>528</v>
      </c>
      <c r="K242" s="104"/>
      <c r="L242" s="104"/>
      <c r="M242" s="105"/>
      <c r="N242" s="106" t="s">
        <v>528</v>
      </c>
      <c r="O242" s="104"/>
      <c r="P242" s="104"/>
      <c r="Q242" s="105"/>
      <c r="R242" s="106" t="s">
        <v>528</v>
      </c>
      <c r="S242" s="104"/>
      <c r="T242" s="104"/>
      <c r="U242" s="105"/>
      <c r="V242" s="106" t="s">
        <v>528</v>
      </c>
      <c r="W242" s="104"/>
      <c r="X242" s="104"/>
      <c r="Y242" s="105"/>
    </row>
    <row r="243" spans="1:25" x14ac:dyDescent="0.25">
      <c r="A243" s="107" t="s">
        <v>362</v>
      </c>
      <c r="B243" s="103">
        <f>_xlfn.XLOOKUP(A243,'[2]FRV Output'!$B:$B,'[2]FRV Output'!$F:$F)</f>
        <v>1326519844</v>
      </c>
      <c r="C243" s="104">
        <v>3</v>
      </c>
      <c r="D243" s="104">
        <v>2016</v>
      </c>
      <c r="E243" s="105">
        <v>79821</v>
      </c>
      <c r="F243" s="106" t="s">
        <v>528</v>
      </c>
      <c r="G243" s="104">
        <v>3</v>
      </c>
      <c r="H243" s="104">
        <v>2017</v>
      </c>
      <c r="I243" s="105">
        <v>67880.56</v>
      </c>
      <c r="J243" s="106" t="s">
        <v>528</v>
      </c>
      <c r="K243" s="104"/>
      <c r="L243" s="104"/>
      <c r="M243" s="105"/>
      <c r="N243" s="106" t="s">
        <v>528</v>
      </c>
      <c r="O243" s="104"/>
      <c r="P243" s="104"/>
      <c r="Q243" s="105"/>
      <c r="R243" s="106" t="s">
        <v>528</v>
      </c>
      <c r="S243" s="104"/>
      <c r="T243" s="104"/>
      <c r="U243" s="105"/>
      <c r="V243" s="106" t="s">
        <v>528</v>
      </c>
      <c r="W243" s="104"/>
      <c r="X243" s="104"/>
      <c r="Y243" s="105"/>
    </row>
    <row r="244" spans="1:25" x14ac:dyDescent="0.25">
      <c r="A244" s="107" t="s">
        <v>363</v>
      </c>
      <c r="B244" s="103">
        <f>_xlfn.XLOOKUP(A244,'[2]FRV Output'!$B:$B,'[2]FRV Output'!$F:$F)</f>
        <v>1396202024</v>
      </c>
      <c r="C244" s="104">
        <v>3</v>
      </c>
      <c r="D244" s="104">
        <v>2016</v>
      </c>
      <c r="E244" s="105">
        <v>73018</v>
      </c>
      <c r="F244" s="106" t="s">
        <v>528</v>
      </c>
      <c r="G244" s="104">
        <v>3</v>
      </c>
      <c r="H244" s="104">
        <v>2017</v>
      </c>
      <c r="I244" s="105">
        <v>62475</v>
      </c>
      <c r="J244" s="106" t="s">
        <v>528</v>
      </c>
      <c r="K244" s="104">
        <v>3</v>
      </c>
      <c r="L244" s="104">
        <v>2019</v>
      </c>
      <c r="M244" s="105">
        <v>144623</v>
      </c>
      <c r="N244" s="106" t="s">
        <v>528</v>
      </c>
      <c r="O244" s="104">
        <v>3</v>
      </c>
      <c r="P244" s="104">
        <v>2020</v>
      </c>
      <c r="Q244" s="105">
        <v>90133</v>
      </c>
      <c r="R244" s="106" t="s">
        <v>528</v>
      </c>
      <c r="S244" s="104">
        <v>3</v>
      </c>
      <c r="T244" s="104">
        <v>2021</v>
      </c>
      <c r="U244" s="105">
        <v>131527</v>
      </c>
      <c r="V244" s="106" t="s">
        <v>528</v>
      </c>
      <c r="W244" s="104"/>
      <c r="X244" s="104"/>
      <c r="Y244" s="105"/>
    </row>
    <row r="245" spans="1:25" x14ac:dyDescent="0.25">
      <c r="A245" s="107" t="s">
        <v>364</v>
      </c>
      <c r="B245" s="103">
        <f>_xlfn.XLOOKUP(A245,'[2]FRV Output'!$B:$B,'[2]FRV Output'!$F:$F)</f>
        <v>1114480233</v>
      </c>
      <c r="C245" s="104">
        <v>3</v>
      </c>
      <c r="D245" s="104">
        <v>2018</v>
      </c>
      <c r="E245" s="105">
        <v>703158</v>
      </c>
      <c r="F245" s="106" t="s">
        <v>528</v>
      </c>
      <c r="G245" s="104">
        <v>3</v>
      </c>
      <c r="H245" s="104">
        <v>2019</v>
      </c>
      <c r="I245" s="105">
        <v>119892</v>
      </c>
      <c r="J245" s="106" t="s">
        <v>528</v>
      </c>
      <c r="K245" s="104">
        <v>3</v>
      </c>
      <c r="L245" s="104">
        <v>2020</v>
      </c>
      <c r="M245" s="105">
        <v>293091</v>
      </c>
      <c r="N245" s="106" t="s">
        <v>528</v>
      </c>
      <c r="O245" s="104">
        <v>3</v>
      </c>
      <c r="P245" s="104">
        <v>2021</v>
      </c>
      <c r="Q245" s="105">
        <v>88021</v>
      </c>
      <c r="R245" s="106" t="s">
        <v>528</v>
      </c>
      <c r="S245" s="104"/>
      <c r="T245" s="104"/>
      <c r="U245" s="105"/>
      <c r="V245" s="106" t="s">
        <v>528</v>
      </c>
      <c r="W245" s="104"/>
      <c r="X245" s="104"/>
      <c r="Y245" s="105"/>
    </row>
    <row r="246" spans="1:25" x14ac:dyDescent="0.25">
      <c r="A246" s="107" t="s">
        <v>365</v>
      </c>
      <c r="B246" s="103">
        <f>_xlfn.XLOOKUP(A246,'[2]FRV Output'!$B:$B,'[2]FRV Output'!$F:$F)</f>
        <v>1902462401</v>
      </c>
      <c r="C246" s="104">
        <v>3</v>
      </c>
      <c r="D246" s="104">
        <v>2016</v>
      </c>
      <c r="E246" s="105">
        <v>122609</v>
      </c>
      <c r="F246" s="106" t="s">
        <v>528</v>
      </c>
      <c r="G246" s="104">
        <v>3</v>
      </c>
      <c r="H246" s="104">
        <v>2019</v>
      </c>
      <c r="I246" s="105">
        <v>124263</v>
      </c>
      <c r="J246" s="106" t="s">
        <v>528</v>
      </c>
      <c r="K246" s="104">
        <v>3</v>
      </c>
      <c r="L246" s="104">
        <v>2020</v>
      </c>
      <c r="M246" s="105">
        <v>221616</v>
      </c>
      <c r="N246" s="106" t="s">
        <v>528</v>
      </c>
      <c r="O246" s="104">
        <v>3</v>
      </c>
      <c r="P246" s="104">
        <v>2021</v>
      </c>
      <c r="Q246" s="105">
        <v>43367</v>
      </c>
      <c r="R246" s="106" t="s">
        <v>528</v>
      </c>
      <c r="S246" s="104"/>
      <c r="T246" s="104"/>
      <c r="U246" s="105"/>
      <c r="V246" s="106" t="s">
        <v>528</v>
      </c>
      <c r="W246" s="104"/>
      <c r="X246" s="104"/>
      <c r="Y246" s="105"/>
    </row>
    <row r="247" spans="1:25" x14ac:dyDescent="0.25">
      <c r="A247" s="103" t="s">
        <v>366</v>
      </c>
      <c r="B247" s="103">
        <f>_xlfn.XLOOKUP(A247,'[2]FRV Output'!$B:$B,'[2]FRV Output'!$F:$F)</f>
        <v>1962052498</v>
      </c>
      <c r="C247" s="104">
        <v>3</v>
      </c>
      <c r="D247" s="104">
        <v>2020</v>
      </c>
      <c r="E247" s="105">
        <v>133236</v>
      </c>
      <c r="F247" s="106" t="s">
        <v>528</v>
      </c>
      <c r="G247" s="104">
        <v>3</v>
      </c>
      <c r="H247" s="104">
        <v>2021</v>
      </c>
      <c r="I247" s="105">
        <v>96241</v>
      </c>
      <c r="J247" s="106" t="s">
        <v>528</v>
      </c>
      <c r="K247" s="104"/>
      <c r="L247" s="104"/>
      <c r="M247" s="105"/>
      <c r="N247" s="106" t="s">
        <v>528</v>
      </c>
      <c r="O247" s="104"/>
      <c r="P247" s="104"/>
      <c r="Q247" s="105"/>
      <c r="R247" s="106" t="s">
        <v>528</v>
      </c>
      <c r="S247" s="104"/>
      <c r="T247" s="104"/>
      <c r="U247" s="105"/>
      <c r="V247" s="106" t="s">
        <v>528</v>
      </c>
      <c r="W247" s="104"/>
      <c r="X247" s="104"/>
      <c r="Y247" s="105"/>
    </row>
    <row r="248" spans="1:25" x14ac:dyDescent="0.25">
      <c r="A248" s="103" t="s">
        <v>367</v>
      </c>
      <c r="B248" s="103">
        <f>_xlfn.XLOOKUP(A248,'[2]FRV Output'!$B:$B,'[2]FRV Output'!$F:$F)</f>
        <v>1225688757</v>
      </c>
      <c r="C248" s="104">
        <v>3</v>
      </c>
      <c r="D248" s="104">
        <v>2020</v>
      </c>
      <c r="E248" s="105">
        <v>253965</v>
      </c>
      <c r="F248" s="106" t="s">
        <v>528</v>
      </c>
      <c r="G248" s="104">
        <v>3</v>
      </c>
      <c r="H248" s="104">
        <v>2021</v>
      </c>
      <c r="I248" s="105">
        <v>264087</v>
      </c>
      <c r="J248" s="106" t="s">
        <v>528</v>
      </c>
      <c r="K248" s="104"/>
      <c r="L248" s="104"/>
      <c r="M248" s="105"/>
      <c r="N248" s="106" t="s">
        <v>528</v>
      </c>
      <c r="O248" s="104"/>
      <c r="P248" s="104"/>
      <c r="Q248" s="105"/>
      <c r="R248" s="106" t="s">
        <v>528</v>
      </c>
      <c r="S248" s="104"/>
      <c r="T248" s="104"/>
      <c r="U248" s="105"/>
      <c r="V248" s="106" t="s">
        <v>528</v>
      </c>
      <c r="W248" s="104"/>
      <c r="X248" s="104"/>
      <c r="Y248" s="105"/>
    </row>
    <row r="249" spans="1:25" x14ac:dyDescent="0.25">
      <c r="A249" s="103" t="s">
        <v>368</v>
      </c>
      <c r="B249" s="103">
        <f>_xlfn.XLOOKUP(A249,'[2]FRV Output'!$B:$B,'[2]FRV Output'!$F:$F)</f>
        <v>1851941389</v>
      </c>
      <c r="C249" s="104">
        <v>3</v>
      </c>
      <c r="D249" s="104">
        <v>2019</v>
      </c>
      <c r="E249" s="105">
        <v>89398</v>
      </c>
      <c r="F249" s="106" t="s">
        <v>528</v>
      </c>
      <c r="G249" s="104">
        <v>3</v>
      </c>
      <c r="H249" s="104">
        <v>2020</v>
      </c>
      <c r="I249" s="105">
        <v>189127</v>
      </c>
      <c r="J249" s="106" t="s">
        <v>528</v>
      </c>
      <c r="K249" s="104">
        <v>3</v>
      </c>
      <c r="L249" s="104">
        <v>2021</v>
      </c>
      <c r="M249" s="105">
        <v>160064</v>
      </c>
      <c r="N249" s="106" t="s">
        <v>528</v>
      </c>
      <c r="O249" s="104"/>
      <c r="P249" s="104"/>
      <c r="Q249" s="105"/>
      <c r="R249" s="106" t="s">
        <v>528</v>
      </c>
      <c r="S249" s="104"/>
      <c r="T249" s="104"/>
      <c r="U249" s="105"/>
      <c r="V249" s="106" t="s">
        <v>528</v>
      </c>
      <c r="W249" s="104"/>
      <c r="X249" s="104"/>
      <c r="Y249" s="105"/>
    </row>
    <row r="250" spans="1:25" x14ac:dyDescent="0.25">
      <c r="A250" s="103" t="s">
        <v>641</v>
      </c>
      <c r="B250" s="103">
        <f>_xlfn.XLOOKUP(A250,'[2]FRV Output'!$B:$B,'[2]FRV Output'!$F:$F)</f>
        <v>1194779504</v>
      </c>
      <c r="C250" s="104">
        <v>3</v>
      </c>
      <c r="D250" s="104">
        <v>2020</v>
      </c>
      <c r="E250" s="105">
        <v>168750</v>
      </c>
      <c r="F250" s="106" t="s">
        <v>528</v>
      </c>
      <c r="G250" s="104">
        <v>3</v>
      </c>
      <c r="H250" s="104">
        <v>2021</v>
      </c>
      <c r="I250" s="105">
        <v>190364</v>
      </c>
      <c r="J250" s="106" t="s">
        <v>528</v>
      </c>
      <c r="K250" s="104"/>
      <c r="L250" s="104"/>
      <c r="M250" s="105"/>
      <c r="N250" s="106" t="s">
        <v>528</v>
      </c>
      <c r="O250" s="104"/>
      <c r="P250" s="104"/>
      <c r="Q250" s="105"/>
      <c r="R250" s="106" t="s">
        <v>528</v>
      </c>
      <c r="S250" s="104"/>
      <c r="T250" s="104"/>
      <c r="U250" s="105"/>
      <c r="V250" s="106" t="s">
        <v>528</v>
      </c>
      <c r="W250" s="104"/>
      <c r="X250" s="104"/>
      <c r="Y250" s="105"/>
    </row>
    <row r="251" spans="1:25" x14ac:dyDescent="0.25">
      <c r="A251" s="103" t="s">
        <v>370</v>
      </c>
      <c r="B251" s="103">
        <f>_xlfn.XLOOKUP(A251,'[2]FRV Output'!$B:$B,'[2]FRV Output'!$F:$F)</f>
        <v>1538137468</v>
      </c>
      <c r="C251" s="104"/>
      <c r="D251" s="104"/>
      <c r="E251" s="105"/>
      <c r="F251" s="106" t="s">
        <v>528</v>
      </c>
      <c r="G251" s="104"/>
      <c r="H251" s="104"/>
      <c r="I251" s="105"/>
      <c r="J251" s="106" t="s">
        <v>528</v>
      </c>
      <c r="K251" s="104"/>
      <c r="L251" s="104"/>
      <c r="M251" s="105"/>
      <c r="N251" s="106" t="s">
        <v>528</v>
      </c>
      <c r="O251" s="104"/>
      <c r="P251" s="104"/>
      <c r="Q251" s="105"/>
      <c r="R251" s="106" t="s">
        <v>528</v>
      </c>
      <c r="S251" s="104"/>
      <c r="T251" s="104"/>
      <c r="U251" s="105"/>
      <c r="V251" s="106" t="s">
        <v>528</v>
      </c>
      <c r="W251" s="104"/>
      <c r="X251" s="104"/>
      <c r="Y251" s="105"/>
    </row>
    <row r="252" spans="1:25" x14ac:dyDescent="0.25">
      <c r="A252" s="107" t="s">
        <v>371</v>
      </c>
      <c r="B252" s="103">
        <f>_xlfn.XLOOKUP(A252,'[2]FRV Output'!$B:$B,'[2]FRV Output'!$F:$F)</f>
        <v>1780693663</v>
      </c>
      <c r="C252" s="104">
        <v>3</v>
      </c>
      <c r="D252" s="104">
        <v>2016</v>
      </c>
      <c r="E252" s="105">
        <v>223969</v>
      </c>
      <c r="F252" s="106" t="s">
        <v>528</v>
      </c>
      <c r="G252" s="104">
        <v>3</v>
      </c>
      <c r="H252" s="104">
        <v>2017</v>
      </c>
      <c r="I252" s="105">
        <v>56608</v>
      </c>
      <c r="J252" s="106" t="s">
        <v>528</v>
      </c>
      <c r="K252" s="104">
        <v>3</v>
      </c>
      <c r="L252" s="104">
        <v>2018</v>
      </c>
      <c r="M252" s="105">
        <v>62907</v>
      </c>
      <c r="N252" s="106" t="s">
        <v>528</v>
      </c>
      <c r="O252" s="104">
        <v>3</v>
      </c>
      <c r="P252" s="104">
        <v>2019</v>
      </c>
      <c r="Q252" s="105">
        <v>367036</v>
      </c>
      <c r="R252" s="106" t="s">
        <v>528</v>
      </c>
      <c r="S252" s="104">
        <v>3</v>
      </c>
      <c r="T252" s="104">
        <v>2020</v>
      </c>
      <c r="U252" s="105">
        <v>41320</v>
      </c>
      <c r="V252" s="106" t="s">
        <v>528</v>
      </c>
      <c r="W252" s="104">
        <v>3</v>
      </c>
      <c r="X252" s="104">
        <v>2021</v>
      </c>
      <c r="Y252" s="105">
        <v>66440</v>
      </c>
    </row>
    <row r="253" spans="1:25" x14ac:dyDescent="0.25">
      <c r="A253" s="107" t="s">
        <v>372</v>
      </c>
      <c r="B253" s="103">
        <f>_xlfn.XLOOKUP(A253,'[2]FRV Output'!$B:$B,'[2]FRV Output'!$F:$F)</f>
        <v>1407966864</v>
      </c>
      <c r="C253" s="104"/>
      <c r="D253" s="104"/>
      <c r="E253" s="105"/>
      <c r="F253" s="106" t="s">
        <v>528</v>
      </c>
      <c r="G253" s="104"/>
      <c r="H253" s="104"/>
      <c r="I253" s="105"/>
      <c r="J253" s="106" t="s">
        <v>528</v>
      </c>
      <c r="K253" s="104"/>
      <c r="L253" s="104"/>
      <c r="M253" s="105"/>
      <c r="N253" s="106" t="s">
        <v>528</v>
      </c>
      <c r="O253" s="104"/>
      <c r="P253" s="104"/>
      <c r="Q253" s="105"/>
      <c r="R253" s="106" t="s">
        <v>528</v>
      </c>
      <c r="S253" s="104"/>
      <c r="T253" s="104"/>
      <c r="U253" s="105"/>
      <c r="V253" s="106" t="s">
        <v>528</v>
      </c>
      <c r="W253" s="104"/>
      <c r="X253" s="104"/>
      <c r="Y253" s="105"/>
    </row>
    <row r="254" spans="1:25" x14ac:dyDescent="0.25">
      <c r="A254" s="117" t="s">
        <v>373</v>
      </c>
      <c r="B254" s="103">
        <f>_xlfn.XLOOKUP(A254,'[2]FRV Output'!$B:$B,'[2]FRV Output'!$F:$F)</f>
        <v>1942583752</v>
      </c>
      <c r="C254" s="104">
        <v>3</v>
      </c>
      <c r="D254" s="104">
        <v>2017</v>
      </c>
      <c r="E254" s="105">
        <v>3222922</v>
      </c>
      <c r="F254" s="106" t="s">
        <v>528</v>
      </c>
      <c r="G254" s="104"/>
      <c r="H254" s="104"/>
      <c r="I254" s="105"/>
      <c r="J254" s="106" t="s">
        <v>528</v>
      </c>
      <c r="K254" s="104"/>
      <c r="L254" s="104"/>
      <c r="M254" s="105"/>
      <c r="N254" s="106" t="s">
        <v>528</v>
      </c>
      <c r="O254" s="104"/>
      <c r="P254" s="104"/>
      <c r="Q254" s="105"/>
      <c r="R254" s="106" t="s">
        <v>528</v>
      </c>
      <c r="S254" s="104"/>
      <c r="T254" s="104"/>
      <c r="U254" s="105"/>
      <c r="V254" s="106" t="s">
        <v>528</v>
      </c>
      <c r="W254" s="104"/>
      <c r="X254" s="104"/>
      <c r="Y254" s="105"/>
    </row>
    <row r="255" spans="1:25" x14ac:dyDescent="0.25">
      <c r="A255" s="107" t="s">
        <v>374</v>
      </c>
      <c r="B255" s="103">
        <f>_xlfn.XLOOKUP(A255,'[2]FRV Output'!$B:$B,'[2]FRV Output'!$F:$F)</f>
        <v>1144646274</v>
      </c>
      <c r="C255" s="104">
        <v>3</v>
      </c>
      <c r="D255" s="104">
        <v>2019</v>
      </c>
      <c r="E255" s="105">
        <v>95197</v>
      </c>
      <c r="F255" s="106" t="s">
        <v>528</v>
      </c>
      <c r="G255" s="104">
        <v>3</v>
      </c>
      <c r="H255" s="104">
        <v>2021</v>
      </c>
      <c r="I255" s="105">
        <v>130038</v>
      </c>
      <c r="J255" s="106" t="s">
        <v>528</v>
      </c>
      <c r="K255" s="104"/>
      <c r="L255" s="104"/>
      <c r="M255" s="105"/>
      <c r="N255" s="106" t="s">
        <v>528</v>
      </c>
      <c r="O255" s="104"/>
      <c r="P255" s="104"/>
      <c r="Q255" s="105"/>
      <c r="R255" s="106" t="s">
        <v>528</v>
      </c>
      <c r="S255" s="104"/>
      <c r="T255" s="104"/>
      <c r="U255" s="105"/>
      <c r="V255" s="106" t="s">
        <v>528</v>
      </c>
      <c r="W255" s="104"/>
      <c r="X255" s="104"/>
      <c r="Y255" s="105"/>
    </row>
    <row r="256" spans="1:25" x14ac:dyDescent="0.25">
      <c r="A256" s="107" t="s">
        <v>375</v>
      </c>
      <c r="B256" s="103">
        <f>_xlfn.XLOOKUP(A256,'[2]FRV Output'!$B:$B,'[2]FRV Output'!$F:$F)</f>
        <v>1124015458</v>
      </c>
      <c r="C256" s="104">
        <v>3</v>
      </c>
      <c r="D256" s="104">
        <v>2018</v>
      </c>
      <c r="E256" s="105">
        <v>227186</v>
      </c>
      <c r="F256" s="106" t="s">
        <v>528</v>
      </c>
      <c r="G256" s="104">
        <v>3</v>
      </c>
      <c r="H256" s="104">
        <v>2019</v>
      </c>
      <c r="I256" s="105">
        <v>140756</v>
      </c>
      <c r="J256" s="106" t="s">
        <v>528</v>
      </c>
      <c r="K256" s="104">
        <v>3</v>
      </c>
      <c r="L256" s="104">
        <v>2021</v>
      </c>
      <c r="M256" s="105">
        <v>223563</v>
      </c>
      <c r="N256" s="106" t="s">
        <v>528</v>
      </c>
      <c r="O256" s="104"/>
      <c r="P256" s="104"/>
      <c r="Q256" s="105"/>
      <c r="R256" s="106" t="s">
        <v>528</v>
      </c>
      <c r="S256" s="104"/>
      <c r="T256" s="104"/>
      <c r="U256" s="105"/>
      <c r="V256" s="106" t="s">
        <v>528</v>
      </c>
      <c r="W256" s="104"/>
      <c r="X256" s="104"/>
      <c r="Y256" s="105"/>
    </row>
    <row r="257" spans="1:25" x14ac:dyDescent="0.25">
      <c r="A257" s="103" t="s">
        <v>642</v>
      </c>
      <c r="B257" s="103">
        <f>_xlfn.XLOOKUP(A257,'[2]FRV Output'!$B:$B,'[2]FRV Output'!$F:$F)</f>
        <v>1982640785</v>
      </c>
      <c r="C257" s="104">
        <v>3</v>
      </c>
      <c r="D257" s="104">
        <v>2017</v>
      </c>
      <c r="E257" s="105">
        <v>129229</v>
      </c>
      <c r="F257" s="106" t="s">
        <v>528</v>
      </c>
      <c r="G257" s="104">
        <v>3</v>
      </c>
      <c r="H257" s="104">
        <v>2021</v>
      </c>
      <c r="I257" s="105">
        <v>384169</v>
      </c>
      <c r="J257" s="106" t="s">
        <v>528</v>
      </c>
      <c r="K257" s="104"/>
      <c r="L257" s="104"/>
      <c r="M257" s="105"/>
      <c r="N257" s="106" t="s">
        <v>528</v>
      </c>
      <c r="O257" s="104"/>
      <c r="P257" s="104"/>
      <c r="Q257" s="105"/>
      <c r="R257" s="106" t="s">
        <v>528</v>
      </c>
      <c r="S257" s="104"/>
      <c r="T257" s="104"/>
      <c r="U257" s="105"/>
      <c r="V257" s="106" t="s">
        <v>528</v>
      </c>
      <c r="W257" s="104"/>
      <c r="X257" s="104"/>
      <c r="Y257" s="105"/>
    </row>
    <row r="258" spans="1:25" x14ac:dyDescent="0.25">
      <c r="A258" s="103" t="s">
        <v>377</v>
      </c>
      <c r="B258" s="103">
        <f>_xlfn.XLOOKUP(A258,'[2]FRV Output'!$B:$B,'[2]FRV Output'!$F:$F)</f>
        <v>1922456664</v>
      </c>
      <c r="C258" s="104"/>
      <c r="D258" s="104"/>
      <c r="E258" s="105"/>
      <c r="F258" s="106" t="s">
        <v>528</v>
      </c>
      <c r="G258" s="104"/>
      <c r="H258" s="104"/>
      <c r="I258" s="105"/>
      <c r="J258" s="106" t="s">
        <v>528</v>
      </c>
      <c r="K258" s="104"/>
      <c r="L258" s="104"/>
      <c r="M258" s="105"/>
      <c r="N258" s="106" t="s">
        <v>528</v>
      </c>
      <c r="O258" s="104"/>
      <c r="P258" s="104"/>
      <c r="Q258" s="105"/>
      <c r="R258" s="106" t="s">
        <v>528</v>
      </c>
      <c r="S258" s="104"/>
      <c r="T258" s="104"/>
      <c r="U258" s="105"/>
      <c r="V258" s="106" t="s">
        <v>528</v>
      </c>
      <c r="W258" s="104"/>
      <c r="X258" s="104"/>
      <c r="Y258" s="105"/>
    </row>
    <row r="259" spans="1:25" x14ac:dyDescent="0.25">
      <c r="A259" s="107" t="s">
        <v>643</v>
      </c>
      <c r="B259" s="103">
        <f>_xlfn.XLOOKUP(A259,'[2]FRV Output'!$B:$B,'[2]FRV Output'!$F:$F)</f>
        <v>1811923931</v>
      </c>
      <c r="C259" s="104">
        <v>3</v>
      </c>
      <c r="D259" s="104">
        <v>2018</v>
      </c>
      <c r="E259" s="105">
        <v>1193236</v>
      </c>
      <c r="F259" s="106" t="s">
        <v>528</v>
      </c>
      <c r="G259" s="104">
        <v>3</v>
      </c>
      <c r="H259" s="104">
        <v>2019</v>
      </c>
      <c r="I259" s="105">
        <v>52024</v>
      </c>
      <c r="J259" s="106" t="s">
        <v>528</v>
      </c>
      <c r="K259" s="104">
        <v>3</v>
      </c>
      <c r="L259" s="104">
        <v>2020</v>
      </c>
      <c r="M259" s="105">
        <v>153874</v>
      </c>
      <c r="N259" s="106" t="s">
        <v>528</v>
      </c>
      <c r="O259" s="104">
        <v>3</v>
      </c>
      <c r="P259" s="104">
        <v>2021</v>
      </c>
      <c r="Q259" s="105">
        <v>382162</v>
      </c>
      <c r="R259" s="106" t="s">
        <v>528</v>
      </c>
      <c r="S259" s="104"/>
      <c r="T259" s="104"/>
      <c r="U259" s="105"/>
      <c r="V259" s="106" t="s">
        <v>528</v>
      </c>
      <c r="W259" s="104"/>
      <c r="X259" s="104"/>
      <c r="Y259" s="105"/>
    </row>
    <row r="260" spans="1:25" x14ac:dyDescent="0.25">
      <c r="A260" s="107" t="s">
        <v>379</v>
      </c>
      <c r="B260" s="103">
        <f>_xlfn.XLOOKUP(A260,'[2]FRV Output'!$B:$B,'[2]FRV Output'!$F:$F)</f>
        <v>1073034138</v>
      </c>
      <c r="C260" s="104">
        <v>3</v>
      </c>
      <c r="D260" s="104">
        <v>2019</v>
      </c>
      <c r="E260" s="105">
        <v>442564</v>
      </c>
      <c r="F260" s="106" t="s">
        <v>528</v>
      </c>
      <c r="G260" s="104">
        <v>3</v>
      </c>
      <c r="H260" s="104">
        <v>2020</v>
      </c>
      <c r="I260" s="105">
        <v>731037</v>
      </c>
      <c r="J260" s="106" t="s">
        <v>528</v>
      </c>
      <c r="K260" s="104">
        <v>3</v>
      </c>
      <c r="L260" s="104">
        <v>2021</v>
      </c>
      <c r="M260" s="105">
        <v>515828</v>
      </c>
      <c r="N260" s="106" t="s">
        <v>528</v>
      </c>
      <c r="O260" s="104"/>
      <c r="P260" s="104"/>
      <c r="Q260" s="105"/>
      <c r="R260" s="106" t="s">
        <v>528</v>
      </c>
      <c r="S260" s="104"/>
      <c r="T260" s="104"/>
      <c r="U260" s="105"/>
      <c r="V260" s="106" t="s">
        <v>528</v>
      </c>
      <c r="W260" s="104"/>
      <c r="X260" s="104"/>
      <c r="Y260" s="105"/>
    </row>
    <row r="261" spans="1:25" x14ac:dyDescent="0.25">
      <c r="A261" s="107" t="s">
        <v>524</v>
      </c>
      <c r="B261" s="103">
        <f>_xlfn.XLOOKUP(A261,'[2]FRV Output'!$B:$B,'[2]FRV Output'!$F:$F)</f>
        <v>1720085293</v>
      </c>
      <c r="C261" s="104">
        <v>3</v>
      </c>
      <c r="D261" s="104">
        <v>2019</v>
      </c>
      <c r="E261" s="105">
        <v>123746</v>
      </c>
      <c r="F261" s="106" t="s">
        <v>528</v>
      </c>
      <c r="G261" s="104">
        <v>3</v>
      </c>
      <c r="H261" s="104">
        <v>2020</v>
      </c>
      <c r="I261" s="105">
        <v>126337</v>
      </c>
      <c r="J261" s="106" t="s">
        <v>528</v>
      </c>
      <c r="K261" s="104">
        <v>3</v>
      </c>
      <c r="L261" s="104">
        <v>2021</v>
      </c>
      <c r="M261" s="105">
        <v>347793</v>
      </c>
      <c r="N261" s="106" t="s">
        <v>528</v>
      </c>
      <c r="O261" s="104"/>
      <c r="P261" s="104"/>
      <c r="Q261" s="105"/>
      <c r="R261" s="106" t="s">
        <v>528</v>
      </c>
      <c r="S261" s="104"/>
      <c r="T261" s="104"/>
      <c r="U261" s="105"/>
      <c r="V261" s="106" t="s">
        <v>528</v>
      </c>
      <c r="W261" s="104"/>
      <c r="X261" s="104"/>
      <c r="Y261" s="105"/>
    </row>
    <row r="262" spans="1:25" x14ac:dyDescent="0.25">
      <c r="A262" s="107" t="s">
        <v>644</v>
      </c>
      <c r="B262" s="103">
        <f>_xlfn.XLOOKUP(A262,'[2]FRV Output'!$B:$B,'[2]FRV Output'!$F:$F)</f>
        <v>1962447565</v>
      </c>
      <c r="C262" s="104">
        <v>3</v>
      </c>
      <c r="D262" s="104">
        <v>2017</v>
      </c>
      <c r="E262" s="105">
        <v>152481</v>
      </c>
      <c r="F262" s="106" t="s">
        <v>528</v>
      </c>
      <c r="G262" s="104">
        <v>3</v>
      </c>
      <c r="H262" s="104">
        <v>2019</v>
      </c>
      <c r="I262" s="105">
        <v>308877</v>
      </c>
      <c r="J262" s="106" t="s">
        <v>528</v>
      </c>
      <c r="K262" s="104">
        <v>3</v>
      </c>
      <c r="L262" s="104">
        <v>2020</v>
      </c>
      <c r="M262" s="105">
        <v>129799</v>
      </c>
      <c r="N262" s="106" t="s">
        <v>528</v>
      </c>
      <c r="O262" s="104"/>
      <c r="P262" s="104"/>
      <c r="Q262" s="105"/>
      <c r="R262" s="106" t="s">
        <v>528</v>
      </c>
      <c r="S262" s="104"/>
      <c r="T262" s="104"/>
      <c r="U262" s="105"/>
      <c r="V262" s="106" t="s">
        <v>528</v>
      </c>
      <c r="W262" s="104"/>
      <c r="X262" s="104"/>
      <c r="Y262" s="105"/>
    </row>
    <row r="263" spans="1:25" x14ac:dyDescent="0.25">
      <c r="A263" s="107" t="s">
        <v>645</v>
      </c>
      <c r="B263" s="103" t="e">
        <f>_xlfn.XLOOKUP(A263,'[2]FRV Output'!$B:$B,'[2]FRV Output'!$F:$F)</f>
        <v>#N/A</v>
      </c>
      <c r="C263" s="104" t="s">
        <v>579</v>
      </c>
      <c r="D263" s="104"/>
      <c r="E263" s="105"/>
      <c r="F263" s="106" t="s">
        <v>528</v>
      </c>
      <c r="G263" s="104"/>
      <c r="H263" s="104"/>
      <c r="I263" s="105"/>
      <c r="J263" s="106" t="s">
        <v>528</v>
      </c>
      <c r="K263" s="104"/>
      <c r="L263" s="104"/>
      <c r="M263" s="105"/>
      <c r="N263" s="106" t="s">
        <v>528</v>
      </c>
      <c r="O263" s="104"/>
      <c r="P263" s="104"/>
      <c r="Q263" s="105"/>
      <c r="R263" s="106" t="s">
        <v>528</v>
      </c>
      <c r="S263" s="104"/>
      <c r="T263" s="104"/>
      <c r="U263" s="105"/>
      <c r="V263" s="106" t="s">
        <v>528</v>
      </c>
      <c r="W263" s="104"/>
      <c r="X263" s="104"/>
      <c r="Y263" s="105"/>
    </row>
    <row r="264" spans="1:25" x14ac:dyDescent="0.25">
      <c r="A264" s="103" t="s">
        <v>381</v>
      </c>
      <c r="B264" s="103">
        <f>_xlfn.XLOOKUP(A264,'[2]FRV Output'!$B:$B,'[2]FRV Output'!$F:$F)</f>
        <v>1720166838</v>
      </c>
      <c r="C264" s="104"/>
      <c r="D264" s="104"/>
      <c r="E264" s="105"/>
      <c r="F264" s="106" t="s">
        <v>528</v>
      </c>
      <c r="G264" s="104"/>
      <c r="H264" s="104"/>
      <c r="I264" s="105"/>
      <c r="J264" s="106" t="s">
        <v>528</v>
      </c>
      <c r="K264" s="104"/>
      <c r="L264" s="104"/>
      <c r="M264" s="105"/>
      <c r="N264" s="106" t="s">
        <v>528</v>
      </c>
      <c r="O264" s="104"/>
      <c r="P264" s="104"/>
      <c r="Q264" s="105"/>
      <c r="R264" s="106" t="s">
        <v>528</v>
      </c>
      <c r="S264" s="104"/>
      <c r="T264" s="104"/>
      <c r="U264" s="105"/>
      <c r="V264" s="106" t="s">
        <v>528</v>
      </c>
      <c r="W264" s="104"/>
      <c r="X264" s="104"/>
      <c r="Y264" s="105"/>
    </row>
    <row r="265" spans="1:25" x14ac:dyDescent="0.25">
      <c r="A265" s="107" t="s">
        <v>646</v>
      </c>
      <c r="B265" s="103">
        <f>_xlfn.XLOOKUP(A265,'[2]FRV Output'!$B:$B,'[2]FRV Output'!$F:$F)</f>
        <v>1518112036</v>
      </c>
      <c r="C265" s="104">
        <v>3</v>
      </c>
      <c r="D265" s="104">
        <v>2016</v>
      </c>
      <c r="E265" s="105">
        <v>177066</v>
      </c>
      <c r="F265" s="106" t="s">
        <v>528</v>
      </c>
      <c r="G265" s="104">
        <v>3</v>
      </c>
      <c r="H265" s="104">
        <v>2017</v>
      </c>
      <c r="I265" s="105">
        <v>71779</v>
      </c>
      <c r="J265" s="106" t="s">
        <v>528</v>
      </c>
      <c r="K265" s="104">
        <v>3</v>
      </c>
      <c r="L265" s="104">
        <v>2018</v>
      </c>
      <c r="M265" s="105">
        <v>143298</v>
      </c>
      <c r="N265" s="106" t="s">
        <v>528</v>
      </c>
      <c r="O265" s="104">
        <v>3</v>
      </c>
      <c r="P265" s="104">
        <v>2019</v>
      </c>
      <c r="Q265" s="105">
        <v>157662</v>
      </c>
      <c r="R265" s="106" t="s">
        <v>528</v>
      </c>
      <c r="S265" s="104">
        <v>3</v>
      </c>
      <c r="T265" s="104">
        <v>2020</v>
      </c>
      <c r="U265" s="105">
        <v>104168</v>
      </c>
      <c r="V265" s="106" t="s">
        <v>528</v>
      </c>
      <c r="W265" s="104"/>
      <c r="X265" s="104"/>
      <c r="Y265" s="105"/>
    </row>
    <row r="266" spans="1:25" x14ac:dyDescent="0.25">
      <c r="A266" s="107" t="s">
        <v>647</v>
      </c>
      <c r="B266" s="103">
        <f>_xlfn.XLOOKUP(A266,'[2]FRV Output'!$B:$B,'[2]FRV Output'!$F:$F)</f>
        <v>1447435722</v>
      </c>
      <c r="C266" s="104">
        <v>3</v>
      </c>
      <c r="D266" s="104">
        <v>2016</v>
      </c>
      <c r="E266" s="105">
        <v>151020</v>
      </c>
      <c r="F266" s="106" t="s">
        <v>528</v>
      </c>
      <c r="G266" s="104">
        <v>3</v>
      </c>
      <c r="H266" s="104">
        <v>2017</v>
      </c>
      <c r="I266" s="105">
        <v>143328</v>
      </c>
      <c r="J266" s="106" t="s">
        <v>528</v>
      </c>
      <c r="K266" s="104">
        <v>3</v>
      </c>
      <c r="L266" s="104">
        <v>2018</v>
      </c>
      <c r="M266" s="105">
        <v>104755</v>
      </c>
      <c r="N266" s="106" t="s">
        <v>528</v>
      </c>
      <c r="O266" s="104">
        <v>3</v>
      </c>
      <c r="P266" s="104">
        <v>2019</v>
      </c>
      <c r="Q266" s="105">
        <v>204631</v>
      </c>
      <c r="R266" s="106" t="s">
        <v>528</v>
      </c>
      <c r="S266" s="104">
        <v>3</v>
      </c>
      <c r="T266" s="104">
        <v>2020</v>
      </c>
      <c r="U266" s="105">
        <v>66292</v>
      </c>
      <c r="V266" s="106" t="s">
        <v>528</v>
      </c>
      <c r="W266" s="104"/>
      <c r="X266" s="104"/>
      <c r="Y266" s="105"/>
    </row>
    <row r="267" spans="1:25" x14ac:dyDescent="0.25">
      <c r="A267" s="107" t="s">
        <v>648</v>
      </c>
      <c r="B267" s="103">
        <f>_xlfn.XLOOKUP(A267,'[2]FRV Output'!$B:$B,'[2]FRV Output'!$F:$F)</f>
        <v>1245287762</v>
      </c>
      <c r="C267" s="104">
        <v>3</v>
      </c>
      <c r="D267" s="104">
        <v>2016</v>
      </c>
      <c r="E267" s="105">
        <v>137564</v>
      </c>
      <c r="F267" s="106" t="s">
        <v>528</v>
      </c>
      <c r="G267" s="104">
        <v>3</v>
      </c>
      <c r="H267" s="104">
        <v>2019</v>
      </c>
      <c r="I267" s="105">
        <v>125286</v>
      </c>
      <c r="J267" s="106" t="s">
        <v>528</v>
      </c>
      <c r="K267" s="104">
        <v>3</v>
      </c>
      <c r="L267" s="104">
        <v>2020</v>
      </c>
      <c r="M267" s="105">
        <v>94646</v>
      </c>
      <c r="N267" s="106" t="s">
        <v>528</v>
      </c>
      <c r="O267" s="104"/>
      <c r="P267" s="104"/>
      <c r="Q267" s="105"/>
      <c r="R267" s="106" t="s">
        <v>528</v>
      </c>
      <c r="S267" s="104"/>
      <c r="T267" s="104"/>
      <c r="U267" s="105"/>
      <c r="V267" s="106" t="s">
        <v>528</v>
      </c>
      <c r="W267" s="104"/>
      <c r="X267" s="104"/>
      <c r="Y267" s="105"/>
    </row>
    <row r="268" spans="1:25" x14ac:dyDescent="0.25">
      <c r="A268" s="107" t="s">
        <v>649</v>
      </c>
      <c r="B268" s="103">
        <f>_xlfn.XLOOKUP(A268,'[2]FRV Output'!$B:$B,'[2]FRV Output'!$F:$F)</f>
        <v>1134175524</v>
      </c>
      <c r="C268" s="104">
        <v>3</v>
      </c>
      <c r="D268" s="104">
        <v>2016</v>
      </c>
      <c r="E268" s="105">
        <v>52755</v>
      </c>
      <c r="F268" s="106" t="s">
        <v>528</v>
      </c>
      <c r="G268" s="104">
        <v>3</v>
      </c>
      <c r="H268" s="104">
        <v>2017</v>
      </c>
      <c r="I268" s="105">
        <v>149097</v>
      </c>
      <c r="J268" s="106" t="s">
        <v>528</v>
      </c>
      <c r="K268" s="104">
        <v>3</v>
      </c>
      <c r="L268" s="104">
        <v>2018</v>
      </c>
      <c r="M268" s="105">
        <v>56812</v>
      </c>
      <c r="N268" s="106" t="s">
        <v>528</v>
      </c>
      <c r="O268" s="104">
        <v>3</v>
      </c>
      <c r="P268" s="104">
        <v>2019</v>
      </c>
      <c r="Q268" s="105">
        <v>50173</v>
      </c>
      <c r="R268" s="106" t="s">
        <v>528</v>
      </c>
      <c r="S268" s="104">
        <v>3</v>
      </c>
      <c r="T268" s="104">
        <v>2020</v>
      </c>
      <c r="U268" s="105">
        <v>43011</v>
      </c>
      <c r="V268" s="106" t="s">
        <v>528</v>
      </c>
      <c r="W268" s="104"/>
      <c r="X268" s="104"/>
      <c r="Y268" s="105"/>
    </row>
    <row r="269" spans="1:25" x14ac:dyDescent="0.25">
      <c r="A269" s="107" t="s">
        <v>650</v>
      </c>
      <c r="B269" s="103">
        <f>_xlfn.XLOOKUP(A269,'[2]FRV Output'!$B:$B,'[2]FRV Output'!$F:$F)</f>
        <v>1144277666</v>
      </c>
      <c r="C269" s="104">
        <v>3</v>
      </c>
      <c r="D269" s="104">
        <v>2016</v>
      </c>
      <c r="E269" s="105">
        <v>76726</v>
      </c>
      <c r="F269" s="106" t="s">
        <v>528</v>
      </c>
      <c r="G269" s="104">
        <v>3</v>
      </c>
      <c r="H269" s="104">
        <v>2017</v>
      </c>
      <c r="I269" s="105">
        <v>271109</v>
      </c>
      <c r="J269" s="106" t="s">
        <v>528</v>
      </c>
      <c r="K269" s="104">
        <v>3</v>
      </c>
      <c r="L269" s="104">
        <v>2018</v>
      </c>
      <c r="M269" s="105">
        <v>205278</v>
      </c>
      <c r="N269" s="106" t="s">
        <v>528</v>
      </c>
      <c r="O269" s="104">
        <v>3</v>
      </c>
      <c r="P269" s="104">
        <v>2019</v>
      </c>
      <c r="Q269" s="105">
        <v>114911</v>
      </c>
      <c r="R269" s="106" t="s">
        <v>528</v>
      </c>
      <c r="S269" s="104">
        <v>3</v>
      </c>
      <c r="T269" s="104">
        <v>2020</v>
      </c>
      <c r="U269" s="105">
        <v>88963</v>
      </c>
      <c r="V269" s="106" t="s">
        <v>528</v>
      </c>
      <c r="W269" s="104"/>
      <c r="X269" s="104"/>
      <c r="Y269" s="105"/>
    </row>
    <row r="270" spans="1:25" x14ac:dyDescent="0.25">
      <c r="A270" s="107" t="s">
        <v>651</v>
      </c>
      <c r="B270" s="103">
        <f>_xlfn.XLOOKUP(A270,'[2]FRV Output'!$B:$B,'[2]FRV Output'!$F:$F)</f>
        <v>1245285253</v>
      </c>
      <c r="C270" s="104">
        <v>3</v>
      </c>
      <c r="D270" s="104">
        <v>2016</v>
      </c>
      <c r="E270" s="105">
        <v>84245</v>
      </c>
      <c r="F270" s="106" t="s">
        <v>528</v>
      </c>
      <c r="G270" s="104">
        <v>3</v>
      </c>
      <c r="H270" s="104">
        <v>2017</v>
      </c>
      <c r="I270" s="105">
        <v>348434</v>
      </c>
      <c r="J270" s="106" t="s">
        <v>528</v>
      </c>
      <c r="K270" s="104">
        <v>3</v>
      </c>
      <c r="L270" s="104">
        <v>2018</v>
      </c>
      <c r="M270" s="105">
        <v>120732</v>
      </c>
      <c r="N270" s="106" t="s">
        <v>528</v>
      </c>
      <c r="O270" s="104">
        <v>3</v>
      </c>
      <c r="P270" s="104">
        <v>2019</v>
      </c>
      <c r="Q270" s="105">
        <v>72762</v>
      </c>
      <c r="R270" s="106" t="s">
        <v>528</v>
      </c>
      <c r="S270" s="104">
        <v>3</v>
      </c>
      <c r="T270" s="104">
        <v>2020</v>
      </c>
      <c r="U270" s="105">
        <v>60493</v>
      </c>
      <c r="V270" s="106" t="s">
        <v>528</v>
      </c>
      <c r="W270" s="104"/>
      <c r="X270" s="104"/>
      <c r="Y270" s="105"/>
    </row>
    <row r="271" spans="1:25" x14ac:dyDescent="0.25">
      <c r="A271" s="107" t="s">
        <v>652</v>
      </c>
      <c r="B271" s="103">
        <f>_xlfn.XLOOKUP(A271,'[2]FRV Output'!$B:$B,'[2]FRV Output'!$F:$F)</f>
        <v>1730136250</v>
      </c>
      <c r="C271" s="104">
        <v>3</v>
      </c>
      <c r="D271" s="104">
        <v>2016</v>
      </c>
      <c r="E271" s="105">
        <v>109068</v>
      </c>
      <c r="F271" s="106" t="s">
        <v>528</v>
      </c>
      <c r="G271" s="104">
        <v>3</v>
      </c>
      <c r="H271" s="104">
        <v>2017</v>
      </c>
      <c r="I271" s="105">
        <v>85197</v>
      </c>
      <c r="J271" s="106" t="s">
        <v>528</v>
      </c>
      <c r="K271" s="104">
        <v>3</v>
      </c>
      <c r="L271" s="104">
        <v>2018</v>
      </c>
      <c r="M271" s="105">
        <v>192545</v>
      </c>
      <c r="N271" s="106" t="s">
        <v>528</v>
      </c>
      <c r="O271" s="104">
        <v>3</v>
      </c>
      <c r="P271" s="104">
        <v>2019</v>
      </c>
      <c r="Q271" s="105">
        <v>153851</v>
      </c>
      <c r="R271" s="106" t="s">
        <v>528</v>
      </c>
      <c r="S271" s="104">
        <v>3</v>
      </c>
      <c r="T271" s="104">
        <v>2020</v>
      </c>
      <c r="U271" s="105">
        <v>200682</v>
      </c>
      <c r="V271" s="106" t="s">
        <v>528</v>
      </c>
      <c r="W271" s="104"/>
      <c r="X271" s="104"/>
      <c r="Y271" s="105"/>
    </row>
    <row r="272" spans="1:25" x14ac:dyDescent="0.25">
      <c r="A272" s="107" t="s">
        <v>653</v>
      </c>
      <c r="B272" s="103">
        <f>_xlfn.XLOOKUP(A272,'[2]FRV Output'!$B:$B,'[2]FRV Output'!$F:$F)</f>
        <v>1033513320</v>
      </c>
      <c r="C272" s="104">
        <v>3</v>
      </c>
      <c r="D272" s="104">
        <v>2016</v>
      </c>
      <c r="E272" s="105">
        <v>156448</v>
      </c>
      <c r="F272" s="106" t="s">
        <v>528</v>
      </c>
      <c r="G272" s="104">
        <v>3</v>
      </c>
      <c r="H272" s="104">
        <v>2017</v>
      </c>
      <c r="I272" s="105">
        <v>132172</v>
      </c>
      <c r="J272" s="106" t="s">
        <v>528</v>
      </c>
      <c r="K272" s="104">
        <v>3</v>
      </c>
      <c r="L272" s="104">
        <v>2018</v>
      </c>
      <c r="M272" s="105">
        <v>247632</v>
      </c>
      <c r="N272" s="106" t="s">
        <v>528</v>
      </c>
      <c r="O272" s="104">
        <v>3</v>
      </c>
      <c r="P272" s="104">
        <v>2019</v>
      </c>
      <c r="Q272" s="105">
        <v>444938</v>
      </c>
      <c r="R272" s="106" t="s">
        <v>528</v>
      </c>
      <c r="S272" s="104">
        <v>3</v>
      </c>
      <c r="T272" s="104">
        <v>2020</v>
      </c>
      <c r="U272" s="105">
        <v>117034</v>
      </c>
      <c r="V272" s="106" t="s">
        <v>528</v>
      </c>
      <c r="W272" s="104"/>
      <c r="X272" s="104"/>
      <c r="Y272" s="105"/>
    </row>
    <row r="273" spans="1:25" x14ac:dyDescent="0.25">
      <c r="A273" s="107" t="s">
        <v>654</v>
      </c>
      <c r="B273" s="103">
        <f>_xlfn.XLOOKUP(A273,'[2]FRV Output'!$B:$B,'[2]FRV Output'!$F:$F)</f>
        <v>1023358991</v>
      </c>
      <c r="C273" s="104">
        <v>3</v>
      </c>
      <c r="D273" s="104">
        <v>2016</v>
      </c>
      <c r="E273" s="105">
        <v>90490</v>
      </c>
      <c r="F273" s="106" t="s">
        <v>528</v>
      </c>
      <c r="G273" s="104">
        <v>3</v>
      </c>
      <c r="H273" s="104">
        <v>2017</v>
      </c>
      <c r="I273" s="105">
        <v>263236</v>
      </c>
      <c r="J273" s="106" t="s">
        <v>528</v>
      </c>
      <c r="K273" s="104">
        <v>3</v>
      </c>
      <c r="L273" s="104">
        <v>2018</v>
      </c>
      <c r="M273" s="105">
        <v>99652</v>
      </c>
      <c r="N273" s="106" t="s">
        <v>528</v>
      </c>
      <c r="O273" s="104">
        <v>3</v>
      </c>
      <c r="P273" s="104">
        <v>2019</v>
      </c>
      <c r="Q273" s="105">
        <v>66631</v>
      </c>
      <c r="R273" s="106" t="s">
        <v>528</v>
      </c>
      <c r="S273" s="104">
        <v>3</v>
      </c>
      <c r="T273" s="104">
        <v>2020</v>
      </c>
      <c r="U273" s="105">
        <v>74344</v>
      </c>
      <c r="V273" s="106" t="s">
        <v>528</v>
      </c>
      <c r="W273" s="104"/>
      <c r="X273" s="104"/>
      <c r="Y273" s="105"/>
    </row>
    <row r="274" spans="1:25" x14ac:dyDescent="0.25">
      <c r="A274" s="107" t="s">
        <v>655</v>
      </c>
      <c r="B274" s="103">
        <f>_xlfn.XLOOKUP(A274,'[2]FRV Output'!$B:$B,'[2]FRV Output'!$F:$F)</f>
        <v>1700833233</v>
      </c>
      <c r="C274" s="104">
        <v>3</v>
      </c>
      <c r="D274" s="104">
        <v>2016</v>
      </c>
      <c r="E274" s="105">
        <v>181812</v>
      </c>
      <c r="F274" s="106" t="s">
        <v>528</v>
      </c>
      <c r="G274" s="104">
        <v>3</v>
      </c>
      <c r="H274" s="104">
        <v>2017</v>
      </c>
      <c r="I274" s="105">
        <v>240393</v>
      </c>
      <c r="J274" s="106" t="s">
        <v>528</v>
      </c>
      <c r="K274" s="104">
        <v>3</v>
      </c>
      <c r="L274" s="104">
        <v>2018</v>
      </c>
      <c r="M274" s="105">
        <v>48861</v>
      </c>
      <c r="N274" s="106" t="s">
        <v>528</v>
      </c>
      <c r="O274" s="104">
        <v>3</v>
      </c>
      <c r="P274" s="104">
        <v>2019</v>
      </c>
      <c r="Q274" s="105">
        <v>76097</v>
      </c>
      <c r="R274" s="106" t="s">
        <v>528</v>
      </c>
      <c r="S274" s="104">
        <v>3</v>
      </c>
      <c r="T274" s="104">
        <v>2020</v>
      </c>
      <c r="U274" s="105">
        <v>80267</v>
      </c>
      <c r="V274" s="106" t="s">
        <v>528</v>
      </c>
      <c r="W274" s="104"/>
      <c r="X274" s="104"/>
      <c r="Y274" s="105"/>
    </row>
    <row r="275" spans="1:25" x14ac:dyDescent="0.25">
      <c r="A275" s="107" t="s">
        <v>656</v>
      </c>
      <c r="B275" s="103">
        <f>_xlfn.XLOOKUP(A275,'[2]FRV Output'!$B:$B,'[2]FRV Output'!$F:$F)</f>
        <v>1851348379</v>
      </c>
      <c r="C275" s="104">
        <v>3</v>
      </c>
      <c r="D275" s="104">
        <v>2016</v>
      </c>
      <c r="E275" s="105">
        <v>88033</v>
      </c>
      <c r="F275" s="106" t="s">
        <v>528</v>
      </c>
      <c r="G275" s="104">
        <v>3</v>
      </c>
      <c r="H275" s="104">
        <v>2017</v>
      </c>
      <c r="I275" s="105">
        <v>326485</v>
      </c>
      <c r="J275" s="106" t="s">
        <v>528</v>
      </c>
      <c r="K275" s="104">
        <v>3</v>
      </c>
      <c r="L275" s="104">
        <v>2018</v>
      </c>
      <c r="M275" s="105">
        <v>147942</v>
      </c>
      <c r="N275" s="106" t="s">
        <v>528</v>
      </c>
      <c r="O275" s="104">
        <v>3</v>
      </c>
      <c r="P275" s="104">
        <v>2019</v>
      </c>
      <c r="Q275" s="105">
        <v>82767</v>
      </c>
      <c r="R275" s="106" t="s">
        <v>528</v>
      </c>
      <c r="S275" s="104">
        <v>3</v>
      </c>
      <c r="T275" s="104">
        <v>2020</v>
      </c>
      <c r="U275" s="105">
        <v>126117</v>
      </c>
      <c r="V275" s="106" t="s">
        <v>528</v>
      </c>
      <c r="W275" s="104"/>
      <c r="X275" s="104"/>
      <c r="Y275" s="105"/>
    </row>
    <row r="276" spans="1:25" x14ac:dyDescent="0.25">
      <c r="A276" s="107" t="s">
        <v>657</v>
      </c>
      <c r="B276" s="103">
        <f>_xlfn.XLOOKUP(A276,'[2]FRV Output'!$B:$B,'[2]FRV Output'!$F:$F)</f>
        <v>1992106348</v>
      </c>
      <c r="C276" s="104">
        <v>3</v>
      </c>
      <c r="D276" s="104">
        <v>2016</v>
      </c>
      <c r="E276" s="105">
        <v>57656</v>
      </c>
      <c r="F276" s="113" t="s">
        <v>528</v>
      </c>
      <c r="G276" s="104">
        <v>3</v>
      </c>
      <c r="H276" s="104">
        <v>2017</v>
      </c>
      <c r="I276" s="105">
        <v>124613</v>
      </c>
      <c r="J276" s="113" t="s">
        <v>528</v>
      </c>
      <c r="K276" s="104">
        <v>3</v>
      </c>
      <c r="L276" s="104">
        <v>2019</v>
      </c>
      <c r="M276" s="105">
        <v>69792</v>
      </c>
      <c r="N276" s="113" t="s">
        <v>528</v>
      </c>
      <c r="O276" s="104">
        <v>3</v>
      </c>
      <c r="P276" s="104">
        <v>2020</v>
      </c>
      <c r="Q276" s="105">
        <v>89537</v>
      </c>
      <c r="R276" s="113" t="s">
        <v>528</v>
      </c>
      <c r="S276" s="104"/>
      <c r="T276" s="104"/>
      <c r="U276" s="105"/>
      <c r="V276" s="106" t="s">
        <v>528</v>
      </c>
      <c r="W276" s="104"/>
      <c r="X276" s="104"/>
      <c r="Y276" s="105"/>
    </row>
    <row r="277" spans="1:25" x14ac:dyDescent="0.25">
      <c r="A277" s="103" t="s">
        <v>658</v>
      </c>
      <c r="B277" s="103">
        <f>_xlfn.XLOOKUP(A277,'[2]FRV Output'!$B:$B,'[2]FRV Output'!$F:$F)</f>
        <v>1548696834</v>
      </c>
      <c r="C277" s="104">
        <v>3</v>
      </c>
      <c r="D277" s="104">
        <v>2021</v>
      </c>
      <c r="E277" s="105">
        <v>31169</v>
      </c>
      <c r="F277" s="106" t="s">
        <v>528</v>
      </c>
      <c r="G277" s="104"/>
      <c r="H277" s="104"/>
      <c r="I277" s="105"/>
      <c r="J277" s="106" t="s">
        <v>528</v>
      </c>
      <c r="K277" s="104"/>
      <c r="L277" s="104"/>
      <c r="M277" s="105"/>
      <c r="N277" s="106" t="s">
        <v>528</v>
      </c>
      <c r="O277" s="104"/>
      <c r="P277" s="104"/>
      <c r="Q277" s="105"/>
      <c r="R277" s="106" t="s">
        <v>528</v>
      </c>
      <c r="S277" s="104"/>
      <c r="T277" s="104"/>
      <c r="U277" s="105"/>
      <c r="V277" s="106" t="s">
        <v>528</v>
      </c>
      <c r="W277" s="104"/>
      <c r="X277" s="104"/>
      <c r="Y277" s="105"/>
    </row>
    <row r="278" spans="1:25" x14ac:dyDescent="0.25">
      <c r="A278" s="107" t="s">
        <v>394</v>
      </c>
      <c r="B278" s="103">
        <f>_xlfn.XLOOKUP(A278,'[2]FRV Output'!$B:$B,'[2]FRV Output'!$F:$F)</f>
        <v>1396161527</v>
      </c>
      <c r="C278" s="104">
        <v>3</v>
      </c>
      <c r="D278" s="104">
        <v>2016</v>
      </c>
      <c r="E278" s="105">
        <v>88271</v>
      </c>
      <c r="F278" s="106" t="s">
        <v>528</v>
      </c>
      <c r="G278" s="104">
        <v>3</v>
      </c>
      <c r="H278" s="104">
        <v>2019</v>
      </c>
      <c r="I278" s="105">
        <v>81801</v>
      </c>
      <c r="J278" s="106" t="s">
        <v>528</v>
      </c>
      <c r="K278" s="104">
        <v>3</v>
      </c>
      <c r="L278" s="104">
        <v>2021</v>
      </c>
      <c r="M278" s="105">
        <v>270273</v>
      </c>
      <c r="N278" s="106" t="s">
        <v>528</v>
      </c>
      <c r="O278" s="104"/>
      <c r="P278" s="104"/>
      <c r="Q278" s="105"/>
      <c r="R278" s="106" t="s">
        <v>528</v>
      </c>
      <c r="S278" s="104"/>
      <c r="T278" s="104"/>
      <c r="U278" s="105"/>
      <c r="V278" s="106" t="s">
        <v>528</v>
      </c>
      <c r="W278" s="104"/>
      <c r="X278" s="104"/>
      <c r="Y278" s="105"/>
    </row>
    <row r="279" spans="1:25" x14ac:dyDescent="0.25">
      <c r="A279" s="107" t="s">
        <v>395</v>
      </c>
      <c r="B279" s="103">
        <f>_xlfn.XLOOKUP(A279,'[2]FRV Output'!$B:$B,'[2]FRV Output'!$F:$F)</f>
        <v>1770582363</v>
      </c>
      <c r="C279" s="104">
        <v>3</v>
      </c>
      <c r="D279" s="104">
        <v>2016</v>
      </c>
      <c r="E279" s="105">
        <v>104436</v>
      </c>
      <c r="F279" s="106" t="s">
        <v>528</v>
      </c>
      <c r="G279" s="104">
        <v>3</v>
      </c>
      <c r="H279" s="104">
        <v>2018</v>
      </c>
      <c r="I279" s="105">
        <v>111607</v>
      </c>
      <c r="J279" s="106" t="s">
        <v>528</v>
      </c>
      <c r="K279" s="104">
        <v>3</v>
      </c>
      <c r="L279" s="104">
        <v>2019</v>
      </c>
      <c r="M279" s="105">
        <v>1186472</v>
      </c>
      <c r="N279" s="106" t="s">
        <v>528</v>
      </c>
      <c r="O279" s="104"/>
      <c r="P279" s="104"/>
      <c r="Q279" s="105"/>
      <c r="R279" s="106" t="s">
        <v>528</v>
      </c>
      <c r="S279" s="104"/>
      <c r="T279" s="104"/>
      <c r="U279" s="105"/>
      <c r="V279" s="106" t="s">
        <v>528</v>
      </c>
      <c r="W279" s="104"/>
      <c r="X279" s="104"/>
      <c r="Y279" s="105"/>
    </row>
    <row r="280" spans="1:25" x14ac:dyDescent="0.25">
      <c r="A280" s="107" t="s">
        <v>396</v>
      </c>
      <c r="B280" s="103">
        <f>_xlfn.XLOOKUP(A280,'[2]FRV Output'!$B:$B,'[2]FRV Output'!$F:$F)</f>
        <v>1376542878</v>
      </c>
      <c r="C280" s="104">
        <v>3</v>
      </c>
      <c r="D280" s="104">
        <v>2017</v>
      </c>
      <c r="E280" s="105">
        <v>230244</v>
      </c>
      <c r="F280" s="106" t="s">
        <v>528</v>
      </c>
      <c r="G280" s="104">
        <v>3</v>
      </c>
      <c r="H280" s="104">
        <v>2018</v>
      </c>
      <c r="I280" s="105">
        <v>158576</v>
      </c>
      <c r="J280" s="106" t="s">
        <v>528</v>
      </c>
      <c r="K280" s="104">
        <v>3</v>
      </c>
      <c r="L280" s="104">
        <v>2019</v>
      </c>
      <c r="M280" s="105">
        <v>1084165</v>
      </c>
      <c r="N280" s="106" t="s">
        <v>528</v>
      </c>
      <c r="O280" s="104"/>
      <c r="P280" s="104"/>
      <c r="Q280" s="105"/>
      <c r="R280" s="106" t="s">
        <v>528</v>
      </c>
      <c r="S280" s="104"/>
      <c r="T280" s="104"/>
      <c r="U280" s="105"/>
      <c r="V280" s="106" t="s">
        <v>528</v>
      </c>
      <c r="W280" s="104"/>
      <c r="X280" s="104"/>
      <c r="Y280" s="105"/>
    </row>
    <row r="281" spans="1:25" x14ac:dyDescent="0.25">
      <c r="A281" s="103" t="s">
        <v>659</v>
      </c>
      <c r="B281" s="103">
        <f>_xlfn.XLOOKUP(A281,'[2]FRV Output'!$B:$B,'[2]FRV Output'!$F:$F)</f>
        <v>1598127276</v>
      </c>
      <c r="C281" s="104"/>
      <c r="D281" s="104"/>
      <c r="E281" s="105"/>
      <c r="F281" s="106" t="s">
        <v>528</v>
      </c>
      <c r="G281" s="104"/>
      <c r="H281" s="104"/>
      <c r="I281" s="105"/>
      <c r="J281" s="106" t="s">
        <v>528</v>
      </c>
      <c r="K281" s="104"/>
      <c r="L281" s="104"/>
      <c r="M281" s="105"/>
      <c r="N281" s="106" t="s">
        <v>528</v>
      </c>
      <c r="O281" s="104"/>
      <c r="P281" s="104"/>
      <c r="Q281" s="105"/>
      <c r="R281" s="106" t="s">
        <v>528</v>
      </c>
      <c r="S281" s="104"/>
      <c r="T281" s="104"/>
      <c r="U281" s="105"/>
      <c r="V281" s="106" t="s">
        <v>528</v>
      </c>
      <c r="W281" s="104"/>
      <c r="X281" s="104"/>
      <c r="Y281" s="105"/>
    </row>
    <row r="282" spans="1:25" x14ac:dyDescent="0.25">
      <c r="A282" s="107" t="s">
        <v>660</v>
      </c>
      <c r="B282" s="103">
        <f>_xlfn.XLOOKUP(A282,'[2]FRV Output'!$B:$B,'[2]FRV Output'!$F:$F)</f>
        <v>1689603060</v>
      </c>
      <c r="C282" s="104">
        <v>3</v>
      </c>
      <c r="D282" s="104">
        <v>2019</v>
      </c>
      <c r="E282" s="105">
        <v>80203</v>
      </c>
      <c r="F282" s="106" t="s">
        <v>528</v>
      </c>
      <c r="G282" s="104">
        <v>3</v>
      </c>
      <c r="H282" s="104">
        <v>2021</v>
      </c>
      <c r="I282" s="105">
        <v>88210</v>
      </c>
      <c r="J282" s="106" t="s">
        <v>528</v>
      </c>
      <c r="K282" s="104"/>
      <c r="L282" s="104"/>
      <c r="M282" s="105"/>
      <c r="N282" s="106" t="s">
        <v>528</v>
      </c>
      <c r="O282" s="104"/>
      <c r="P282" s="104"/>
      <c r="Q282" s="105"/>
      <c r="R282" s="106" t="s">
        <v>528</v>
      </c>
      <c r="S282" s="104"/>
      <c r="T282" s="104"/>
      <c r="U282" s="105"/>
      <c r="V282" s="106" t="s">
        <v>528</v>
      </c>
      <c r="W282" s="104"/>
      <c r="X282" s="104"/>
      <c r="Y282" s="105"/>
    </row>
    <row r="283" spans="1:25" x14ac:dyDescent="0.25">
      <c r="A283" s="103" t="s">
        <v>399</v>
      </c>
      <c r="B283" s="103">
        <f>_xlfn.XLOOKUP(A283,'[2]FRV Output'!$B:$B,'[2]FRV Output'!$F:$F)</f>
        <v>1700874880</v>
      </c>
      <c r="C283" s="104">
        <v>3</v>
      </c>
      <c r="D283" s="104">
        <v>2016</v>
      </c>
      <c r="E283" s="105">
        <v>1045770</v>
      </c>
      <c r="F283" s="106" t="s">
        <v>528</v>
      </c>
      <c r="G283" s="104">
        <v>3</v>
      </c>
      <c r="H283" s="104">
        <v>2021</v>
      </c>
      <c r="I283" s="105">
        <v>100567</v>
      </c>
      <c r="J283" s="106" t="s">
        <v>528</v>
      </c>
      <c r="K283" s="104"/>
      <c r="L283" s="104"/>
      <c r="M283" s="105"/>
      <c r="N283" s="106" t="s">
        <v>528</v>
      </c>
      <c r="O283" s="104"/>
      <c r="P283" s="104"/>
      <c r="Q283" s="105"/>
      <c r="R283" s="106" t="s">
        <v>528</v>
      </c>
      <c r="S283" s="104"/>
      <c r="T283" s="104"/>
      <c r="U283" s="105"/>
      <c r="V283" s="106" t="s">
        <v>528</v>
      </c>
      <c r="W283" s="104"/>
      <c r="X283" s="104"/>
      <c r="Y283" s="105"/>
    </row>
    <row r="284" spans="1:25" x14ac:dyDescent="0.25">
      <c r="A284" s="103" t="s">
        <v>400</v>
      </c>
      <c r="B284" s="103">
        <f>_xlfn.XLOOKUP(A284,'[2]FRV Output'!$B:$B,'[2]FRV Output'!$F:$F)</f>
        <v>1306293170</v>
      </c>
      <c r="C284" s="104">
        <v>1</v>
      </c>
      <c r="D284" s="104">
        <v>2019</v>
      </c>
      <c r="E284" s="105">
        <v>-22</v>
      </c>
      <c r="F284" s="106" t="s">
        <v>625</v>
      </c>
      <c r="G284" s="104"/>
      <c r="H284" s="104"/>
      <c r="I284" s="105"/>
      <c r="J284" s="106" t="s">
        <v>528</v>
      </c>
      <c r="K284" s="104"/>
      <c r="L284" s="104"/>
      <c r="M284" s="105"/>
      <c r="N284" s="106" t="s">
        <v>528</v>
      </c>
      <c r="O284" s="104"/>
      <c r="P284" s="104"/>
      <c r="Q284" s="105"/>
      <c r="R284" s="106" t="s">
        <v>528</v>
      </c>
      <c r="S284" s="104"/>
      <c r="T284" s="104"/>
      <c r="U284" s="105"/>
      <c r="V284" s="106" t="s">
        <v>528</v>
      </c>
      <c r="W284" s="104"/>
      <c r="X284" s="104"/>
      <c r="Y284" s="105"/>
    </row>
    <row r="285" spans="1:25" x14ac:dyDescent="0.25">
      <c r="A285" s="107" t="s">
        <v>401</v>
      </c>
      <c r="B285" s="103">
        <f>_xlfn.XLOOKUP(A285,'[2]FRV Output'!$B:$B,'[2]FRV Output'!$F:$F)</f>
        <v>1518968890</v>
      </c>
      <c r="C285" s="104"/>
      <c r="D285" s="104"/>
      <c r="E285" s="105"/>
      <c r="F285" s="106" t="s">
        <v>528</v>
      </c>
      <c r="G285" s="104"/>
      <c r="H285" s="104"/>
      <c r="I285" s="105"/>
      <c r="J285" s="106" t="s">
        <v>528</v>
      </c>
      <c r="K285" s="104"/>
      <c r="L285" s="104"/>
      <c r="M285" s="105"/>
      <c r="N285" s="106" t="s">
        <v>528</v>
      </c>
      <c r="O285" s="104"/>
      <c r="P285" s="104"/>
      <c r="Q285" s="105"/>
      <c r="R285" s="106" t="s">
        <v>528</v>
      </c>
      <c r="S285" s="104"/>
      <c r="T285" s="104"/>
      <c r="U285" s="105"/>
      <c r="V285" s="106" t="s">
        <v>528</v>
      </c>
      <c r="W285" s="104"/>
      <c r="X285" s="104"/>
      <c r="Y285" s="105"/>
    </row>
    <row r="286" spans="1:25" x14ac:dyDescent="0.25">
      <c r="A286" s="103" t="s">
        <v>661</v>
      </c>
      <c r="B286" s="103">
        <f>_xlfn.XLOOKUP(A286,'[2]FRV Output'!$B:$B,'[2]FRV Output'!$F:$F)</f>
        <v>1750317897</v>
      </c>
      <c r="C286" s="104">
        <v>3</v>
      </c>
      <c r="D286" s="104">
        <v>2016</v>
      </c>
      <c r="E286" s="105">
        <v>125003</v>
      </c>
      <c r="F286" s="106" t="s">
        <v>528</v>
      </c>
      <c r="G286" s="104">
        <v>3</v>
      </c>
      <c r="H286" s="104">
        <v>2021</v>
      </c>
      <c r="I286" s="105">
        <v>193147</v>
      </c>
      <c r="J286" s="106" t="s">
        <v>528</v>
      </c>
      <c r="K286" s="104"/>
      <c r="L286" s="104"/>
      <c r="M286" s="105"/>
      <c r="N286" s="106" t="s">
        <v>528</v>
      </c>
      <c r="O286" s="104"/>
      <c r="P286" s="104"/>
      <c r="Q286" s="105"/>
      <c r="R286" s="106" t="s">
        <v>528</v>
      </c>
      <c r="S286" s="104"/>
      <c r="T286" s="104"/>
      <c r="U286" s="105"/>
      <c r="V286" s="106" t="s">
        <v>528</v>
      </c>
      <c r="W286" s="104"/>
      <c r="X286" s="104"/>
      <c r="Y286" s="105"/>
    </row>
    <row r="287" spans="1:25" x14ac:dyDescent="0.25">
      <c r="A287" s="107" t="s">
        <v>662</v>
      </c>
      <c r="B287" s="103">
        <f>_xlfn.XLOOKUP(A287,'[2]FRV Output'!$B:$B,'[2]FRV Output'!$F:$F)</f>
        <v>1659307395</v>
      </c>
      <c r="C287" s="104">
        <v>3</v>
      </c>
      <c r="D287" s="104">
        <v>2019</v>
      </c>
      <c r="E287" s="105">
        <v>78986</v>
      </c>
      <c r="F287" s="106" t="s">
        <v>528</v>
      </c>
      <c r="G287" s="104">
        <v>3</v>
      </c>
      <c r="H287" s="104">
        <v>2020</v>
      </c>
      <c r="I287" s="105">
        <v>228017</v>
      </c>
      <c r="J287" s="106" t="s">
        <v>528</v>
      </c>
      <c r="K287" s="104">
        <v>3</v>
      </c>
      <c r="L287" s="104">
        <v>2021</v>
      </c>
      <c r="M287" s="105">
        <v>194369</v>
      </c>
      <c r="N287" s="106" t="s">
        <v>528</v>
      </c>
      <c r="O287" s="104"/>
      <c r="P287" s="104"/>
      <c r="Q287" s="105"/>
      <c r="R287" s="106" t="s">
        <v>528</v>
      </c>
      <c r="S287" s="104"/>
      <c r="T287" s="104"/>
      <c r="U287" s="105"/>
      <c r="V287" s="106" t="s">
        <v>528</v>
      </c>
      <c r="W287" s="104"/>
      <c r="X287" s="104"/>
      <c r="Y287" s="105"/>
    </row>
    <row r="288" spans="1:25" x14ac:dyDescent="0.25">
      <c r="A288" s="103" t="s">
        <v>663</v>
      </c>
      <c r="B288" s="103">
        <f>_xlfn.XLOOKUP(A288,'[2]FRV Output'!$B:$B,'[2]FRV Output'!$F:$F)</f>
        <v>1669083291</v>
      </c>
      <c r="C288" s="104"/>
      <c r="D288" s="104"/>
      <c r="E288" s="105"/>
      <c r="F288" s="106" t="s">
        <v>528</v>
      </c>
      <c r="G288" s="104"/>
      <c r="H288" s="104"/>
      <c r="I288" s="105"/>
      <c r="J288" s="106" t="s">
        <v>528</v>
      </c>
      <c r="K288" s="104"/>
      <c r="L288" s="104"/>
      <c r="M288" s="105"/>
      <c r="N288" s="106" t="s">
        <v>528</v>
      </c>
      <c r="O288" s="104"/>
      <c r="P288" s="104"/>
      <c r="Q288" s="105"/>
      <c r="R288" s="106" t="s">
        <v>528</v>
      </c>
      <c r="S288" s="104"/>
      <c r="T288" s="104"/>
      <c r="U288" s="105"/>
      <c r="V288" s="106" t="s">
        <v>528</v>
      </c>
      <c r="W288" s="104"/>
      <c r="X288" s="104"/>
      <c r="Y288" s="105"/>
    </row>
    <row r="289" spans="1:25" x14ac:dyDescent="0.25">
      <c r="A289" s="107" t="s">
        <v>404</v>
      </c>
      <c r="B289" s="103">
        <f>_xlfn.XLOOKUP(A289,'[2]FRV Output'!$B:$B,'[2]FRV Output'!$F:$F)</f>
        <v>1205252640</v>
      </c>
      <c r="C289" s="104">
        <v>3</v>
      </c>
      <c r="D289" s="104">
        <v>2019</v>
      </c>
      <c r="E289" s="105">
        <v>118550</v>
      </c>
      <c r="F289" s="106" t="s">
        <v>528</v>
      </c>
      <c r="G289" s="104">
        <v>3</v>
      </c>
      <c r="H289" s="104">
        <v>2020</v>
      </c>
      <c r="I289" s="105">
        <v>223279</v>
      </c>
      <c r="J289" s="106" t="s">
        <v>528</v>
      </c>
      <c r="K289" s="104">
        <v>3</v>
      </c>
      <c r="L289" s="104">
        <v>2021</v>
      </c>
      <c r="M289" s="105">
        <v>218955</v>
      </c>
      <c r="N289" s="106" t="s">
        <v>528</v>
      </c>
      <c r="O289" s="104"/>
      <c r="P289" s="104"/>
      <c r="Q289" s="105"/>
      <c r="R289" s="106" t="s">
        <v>528</v>
      </c>
      <c r="S289" s="104"/>
      <c r="T289" s="104"/>
      <c r="U289" s="105"/>
      <c r="V289" s="106" t="s">
        <v>528</v>
      </c>
      <c r="W289" s="104"/>
      <c r="X289" s="104"/>
      <c r="Y289" s="105"/>
    </row>
    <row r="290" spans="1:25" x14ac:dyDescent="0.25">
      <c r="A290" s="107" t="s">
        <v>664</v>
      </c>
      <c r="B290" s="103">
        <f>_xlfn.XLOOKUP(A290,'[2]FRV Output'!$B:$B,'[2]FRV Output'!$F:$F)</f>
        <v>1336193754</v>
      </c>
      <c r="C290" s="104">
        <v>3</v>
      </c>
      <c r="D290" s="104">
        <v>2019</v>
      </c>
      <c r="E290" s="105">
        <v>257986</v>
      </c>
      <c r="F290" s="106" t="s">
        <v>528</v>
      </c>
      <c r="G290" s="104">
        <v>3</v>
      </c>
      <c r="H290" s="104">
        <v>2020</v>
      </c>
      <c r="I290" s="105">
        <v>139463</v>
      </c>
      <c r="J290" s="106" t="s">
        <v>528</v>
      </c>
      <c r="K290" s="119">
        <v>1</v>
      </c>
      <c r="L290" s="104">
        <v>2021</v>
      </c>
      <c r="M290" s="105">
        <v>-10</v>
      </c>
      <c r="N290" s="106" t="s">
        <v>625</v>
      </c>
      <c r="O290" s="104">
        <v>3</v>
      </c>
      <c r="P290" s="104">
        <v>2021</v>
      </c>
      <c r="Q290" s="105">
        <v>123675</v>
      </c>
      <c r="R290" s="106" t="s">
        <v>528</v>
      </c>
      <c r="S290" s="104"/>
      <c r="T290" s="104"/>
      <c r="U290" s="105"/>
      <c r="V290" s="106" t="s">
        <v>528</v>
      </c>
      <c r="W290" s="104"/>
      <c r="X290" s="104"/>
      <c r="Y290" s="105"/>
    </row>
    <row r="291" spans="1:25" x14ac:dyDescent="0.25">
      <c r="A291" s="107" t="s">
        <v>406</v>
      </c>
      <c r="B291" s="103">
        <f>_xlfn.XLOOKUP(A291,'[2]FRV Output'!$B:$B,'[2]FRV Output'!$F:$F)</f>
        <v>1568454262</v>
      </c>
      <c r="C291" s="104">
        <v>3</v>
      </c>
      <c r="D291" s="104">
        <v>2016</v>
      </c>
      <c r="E291" s="105">
        <v>119243</v>
      </c>
      <c r="F291" s="106" t="s">
        <v>528</v>
      </c>
      <c r="G291" s="104">
        <v>1</v>
      </c>
      <c r="H291" s="104">
        <v>2017</v>
      </c>
      <c r="I291" s="105">
        <v>16</v>
      </c>
      <c r="J291" s="106" t="s">
        <v>528</v>
      </c>
      <c r="K291" s="104">
        <v>2</v>
      </c>
      <c r="L291" s="104">
        <v>2017</v>
      </c>
      <c r="M291" s="105">
        <v>84</v>
      </c>
      <c r="N291" s="106" t="s">
        <v>528</v>
      </c>
      <c r="O291" s="104">
        <v>3</v>
      </c>
      <c r="P291" s="104">
        <v>2017</v>
      </c>
      <c r="Q291" s="105">
        <v>62998</v>
      </c>
      <c r="R291" s="106" t="s">
        <v>528</v>
      </c>
      <c r="S291" s="104">
        <v>3</v>
      </c>
      <c r="T291" s="104">
        <v>2019</v>
      </c>
      <c r="U291" s="105">
        <v>65491</v>
      </c>
      <c r="V291" s="106" t="s">
        <v>528</v>
      </c>
      <c r="W291" s="104"/>
      <c r="X291" s="104"/>
      <c r="Y291" s="105"/>
    </row>
    <row r="292" spans="1:25" x14ac:dyDescent="0.25">
      <c r="A292" s="103" t="s">
        <v>665</v>
      </c>
      <c r="B292" s="103">
        <f>_xlfn.XLOOKUP(A292,'[2]FRV Output'!$B:$B,'[2]FRV Output'!$F:$F)</f>
        <v>1187450150</v>
      </c>
      <c r="C292" s="104"/>
      <c r="D292" s="104"/>
      <c r="E292" s="105"/>
      <c r="F292" s="106" t="s">
        <v>528</v>
      </c>
      <c r="G292" s="104"/>
      <c r="H292" s="104"/>
      <c r="I292" s="105"/>
      <c r="J292" s="106" t="s">
        <v>528</v>
      </c>
      <c r="K292" s="104"/>
      <c r="L292" s="104"/>
      <c r="M292" s="105"/>
      <c r="N292" s="106" t="s">
        <v>528</v>
      </c>
      <c r="O292" s="104"/>
      <c r="P292" s="104"/>
      <c r="Q292" s="105"/>
      <c r="R292" s="106" t="s">
        <v>528</v>
      </c>
      <c r="S292" s="104"/>
      <c r="T292" s="104"/>
      <c r="U292" s="105"/>
      <c r="V292" s="106" t="s">
        <v>528</v>
      </c>
      <c r="W292" s="104"/>
      <c r="X292" s="104"/>
      <c r="Y292" s="105"/>
    </row>
    <row r="293" spans="1:25" x14ac:dyDescent="0.25">
      <c r="A293" s="107" t="s">
        <v>407</v>
      </c>
      <c r="B293" s="103">
        <f>_xlfn.XLOOKUP(A293,'[2]FRV Output'!$B:$B,'[2]FRV Output'!$F:$F)</f>
        <v>1811920267</v>
      </c>
      <c r="C293" s="104">
        <v>3</v>
      </c>
      <c r="D293" s="104">
        <v>2016</v>
      </c>
      <c r="E293" s="105">
        <v>171512</v>
      </c>
      <c r="F293" s="106" t="s">
        <v>528</v>
      </c>
      <c r="G293" s="104">
        <v>3</v>
      </c>
      <c r="H293" s="104">
        <v>2018</v>
      </c>
      <c r="I293" s="105">
        <v>103088</v>
      </c>
      <c r="J293" s="106" t="s">
        <v>528</v>
      </c>
      <c r="K293" s="104">
        <v>3</v>
      </c>
      <c r="L293" s="104">
        <v>2019</v>
      </c>
      <c r="M293" s="105">
        <v>202166</v>
      </c>
      <c r="N293" s="106" t="s">
        <v>528</v>
      </c>
      <c r="O293" s="104">
        <v>3</v>
      </c>
      <c r="P293" s="104">
        <v>2020</v>
      </c>
      <c r="Q293" s="105">
        <v>90027</v>
      </c>
      <c r="R293" s="106" t="s">
        <v>528</v>
      </c>
      <c r="S293" s="104">
        <v>3</v>
      </c>
      <c r="T293" s="104">
        <v>2021</v>
      </c>
      <c r="U293" s="105">
        <v>175526</v>
      </c>
      <c r="V293" s="106" t="s">
        <v>528</v>
      </c>
      <c r="W293" s="104"/>
      <c r="X293" s="104"/>
      <c r="Y293" s="105"/>
    </row>
    <row r="294" spans="1:25" x14ac:dyDescent="0.25">
      <c r="A294" s="107" t="s">
        <v>408</v>
      </c>
      <c r="B294" s="103">
        <f>_xlfn.XLOOKUP(A294,'[2]FRV Output'!$B:$B,'[2]FRV Output'!$F:$F)</f>
        <v>1669023685</v>
      </c>
      <c r="C294" s="104">
        <v>3</v>
      </c>
      <c r="D294" s="104">
        <v>2016</v>
      </c>
      <c r="E294" s="105">
        <v>94205</v>
      </c>
      <c r="F294" s="106" t="s">
        <v>528</v>
      </c>
      <c r="G294" s="104">
        <v>3</v>
      </c>
      <c r="H294" s="104">
        <v>2017</v>
      </c>
      <c r="I294" s="105">
        <v>163461</v>
      </c>
      <c r="J294" s="106" t="s">
        <v>528</v>
      </c>
      <c r="K294" s="104">
        <v>3</v>
      </c>
      <c r="L294" s="104">
        <v>2018</v>
      </c>
      <c r="M294" s="105">
        <v>120103</v>
      </c>
      <c r="N294" s="106" t="s">
        <v>528</v>
      </c>
      <c r="O294" s="104">
        <v>3</v>
      </c>
      <c r="P294" s="104">
        <v>2019</v>
      </c>
      <c r="Q294" s="105">
        <v>563590</v>
      </c>
      <c r="R294" s="106" t="s">
        <v>528</v>
      </c>
      <c r="S294" s="104">
        <v>3</v>
      </c>
      <c r="T294" s="104">
        <v>2020</v>
      </c>
      <c r="U294" s="105">
        <v>421921</v>
      </c>
      <c r="V294" s="106" t="s">
        <v>528</v>
      </c>
      <c r="W294" s="104"/>
      <c r="X294" s="104"/>
      <c r="Y294" s="105"/>
    </row>
    <row r="295" spans="1:25" x14ac:dyDescent="0.25">
      <c r="A295" s="107" t="s">
        <v>409</v>
      </c>
      <c r="B295" s="103">
        <f>_xlfn.XLOOKUP(A295,'[2]FRV Output'!$B:$B,'[2]FRV Output'!$F:$F)</f>
        <v>1053380626</v>
      </c>
      <c r="C295" s="104">
        <v>3</v>
      </c>
      <c r="D295" s="104">
        <v>2016</v>
      </c>
      <c r="E295" s="105">
        <v>75226</v>
      </c>
      <c r="F295" s="106" t="s">
        <v>528</v>
      </c>
      <c r="G295" s="104">
        <v>3</v>
      </c>
      <c r="H295" s="104">
        <v>2019</v>
      </c>
      <c r="I295" s="105">
        <v>184670</v>
      </c>
      <c r="J295" s="106" t="s">
        <v>528</v>
      </c>
      <c r="K295" s="104"/>
      <c r="L295" s="104"/>
      <c r="M295" s="105"/>
      <c r="N295" s="106" t="s">
        <v>528</v>
      </c>
      <c r="O295" s="104"/>
      <c r="P295" s="104"/>
      <c r="Q295" s="105"/>
      <c r="R295" s="106" t="s">
        <v>528</v>
      </c>
      <c r="S295" s="104"/>
      <c r="T295" s="104"/>
      <c r="U295" s="105"/>
      <c r="V295" s="106" t="s">
        <v>528</v>
      </c>
      <c r="W295" s="104"/>
      <c r="X295" s="104"/>
      <c r="Y295" s="105"/>
    </row>
    <row r="296" spans="1:25" x14ac:dyDescent="0.25">
      <c r="A296" s="103" t="s">
        <v>410</v>
      </c>
      <c r="B296" s="103">
        <f>_xlfn.XLOOKUP(A296,'[2]FRV Output'!$B:$B,'[2]FRV Output'!$F:$F)</f>
        <v>1346241627</v>
      </c>
      <c r="C296" s="104">
        <v>2</v>
      </c>
      <c r="D296" s="104">
        <v>2017</v>
      </c>
      <c r="E296" s="105">
        <v>58</v>
      </c>
      <c r="F296" s="106" t="s">
        <v>528</v>
      </c>
      <c r="G296" s="104"/>
      <c r="H296" s="104"/>
      <c r="I296" s="105"/>
      <c r="J296" s="106" t="s">
        <v>528</v>
      </c>
      <c r="K296" s="104"/>
      <c r="L296" s="104"/>
      <c r="M296" s="105"/>
      <c r="N296" s="106" t="s">
        <v>528</v>
      </c>
      <c r="O296" s="104"/>
      <c r="P296" s="104"/>
      <c r="Q296" s="105"/>
      <c r="R296" s="106" t="s">
        <v>528</v>
      </c>
      <c r="S296" s="104"/>
      <c r="T296" s="104"/>
      <c r="U296" s="105"/>
      <c r="V296" s="106" t="s">
        <v>528</v>
      </c>
      <c r="W296" s="104"/>
      <c r="X296" s="104"/>
      <c r="Y296" s="105"/>
    </row>
    <row r="297" spans="1:25" x14ac:dyDescent="0.25">
      <c r="A297" s="103" t="s">
        <v>666</v>
      </c>
      <c r="B297" s="103">
        <f>_xlfn.XLOOKUP(A297,'[2]FRV Output'!$B:$B,'[2]FRV Output'!$F:$F)</f>
        <v>1316921190</v>
      </c>
      <c r="C297" s="104"/>
      <c r="D297" s="104"/>
      <c r="E297" s="105"/>
      <c r="F297" s="106" t="s">
        <v>528</v>
      </c>
      <c r="G297" s="104"/>
      <c r="H297" s="104"/>
      <c r="I297" s="105"/>
      <c r="J297" s="106" t="s">
        <v>528</v>
      </c>
      <c r="K297" s="104"/>
      <c r="L297" s="104"/>
      <c r="M297" s="105"/>
      <c r="N297" s="106" t="s">
        <v>528</v>
      </c>
      <c r="O297" s="104"/>
      <c r="P297" s="104"/>
      <c r="Q297" s="105"/>
      <c r="R297" s="106" t="s">
        <v>528</v>
      </c>
      <c r="S297" s="104"/>
      <c r="T297" s="104"/>
      <c r="U297" s="105"/>
      <c r="V297" s="106" t="s">
        <v>528</v>
      </c>
      <c r="W297" s="104"/>
      <c r="X297" s="104"/>
      <c r="Y297" s="105"/>
    </row>
    <row r="298" spans="1:25" x14ac:dyDescent="0.25">
      <c r="A298" s="103" t="s">
        <v>667</v>
      </c>
      <c r="B298" s="103">
        <f>_xlfn.XLOOKUP(A298,'[2]FRV Output'!$B:$B,'[2]FRV Output'!$F:$F)</f>
        <v>1740278126</v>
      </c>
      <c r="C298" s="104"/>
      <c r="D298" s="104"/>
      <c r="E298" s="105"/>
      <c r="F298" s="106" t="s">
        <v>528</v>
      </c>
      <c r="G298" s="104"/>
      <c r="H298" s="104"/>
      <c r="I298" s="105"/>
      <c r="J298" s="106" t="s">
        <v>528</v>
      </c>
      <c r="K298" s="104"/>
      <c r="L298" s="104"/>
      <c r="M298" s="105"/>
      <c r="N298" s="106" t="s">
        <v>528</v>
      </c>
      <c r="O298" s="104"/>
      <c r="P298" s="104"/>
      <c r="Q298" s="105"/>
      <c r="R298" s="106" t="s">
        <v>528</v>
      </c>
      <c r="S298" s="104"/>
      <c r="T298" s="104"/>
      <c r="U298" s="105"/>
      <c r="V298" s="106" t="s">
        <v>528</v>
      </c>
      <c r="W298" s="104"/>
      <c r="X298" s="104"/>
      <c r="Y298" s="105"/>
    </row>
    <row r="299" spans="1:25" x14ac:dyDescent="0.25">
      <c r="A299" s="107" t="s">
        <v>413</v>
      </c>
      <c r="B299" s="103">
        <f>_xlfn.XLOOKUP(A299,'[2]FRV Output'!$B:$B,'[2]FRV Output'!$F:$F)</f>
        <v>1740386473</v>
      </c>
      <c r="C299" s="104">
        <v>3</v>
      </c>
      <c r="D299" s="104">
        <v>2016</v>
      </c>
      <c r="E299" s="105">
        <v>41854</v>
      </c>
      <c r="F299" s="106" t="s">
        <v>528</v>
      </c>
      <c r="G299" s="104">
        <v>3</v>
      </c>
      <c r="H299" s="104">
        <v>2019</v>
      </c>
      <c r="I299" s="105">
        <v>272849</v>
      </c>
      <c r="J299" s="106" t="s">
        <v>528</v>
      </c>
      <c r="K299" s="104">
        <v>3</v>
      </c>
      <c r="L299" s="104">
        <v>2020</v>
      </c>
      <c r="M299" s="105">
        <v>2172941</v>
      </c>
      <c r="N299" s="106" t="s">
        <v>528</v>
      </c>
      <c r="O299" s="104">
        <v>3</v>
      </c>
      <c r="P299" s="104">
        <v>2021</v>
      </c>
      <c r="Q299" s="105">
        <v>95175</v>
      </c>
      <c r="R299" s="106" t="s">
        <v>528</v>
      </c>
      <c r="S299" s="104"/>
      <c r="T299" s="104"/>
      <c r="U299" s="105"/>
      <c r="V299" s="106" t="s">
        <v>528</v>
      </c>
      <c r="W299" s="104"/>
      <c r="X299" s="104"/>
      <c r="Y299" s="105"/>
    </row>
    <row r="300" spans="1:25" x14ac:dyDescent="0.25">
      <c r="A300" s="107" t="s">
        <v>414</v>
      </c>
      <c r="B300" s="103">
        <f>_xlfn.XLOOKUP(A300,'[2]FRV Output'!$B:$B,'[2]FRV Output'!$F:$F)</f>
        <v>1689628141</v>
      </c>
      <c r="C300" s="104">
        <v>3</v>
      </c>
      <c r="D300" s="104">
        <v>2019</v>
      </c>
      <c r="E300" s="105">
        <v>376372</v>
      </c>
      <c r="F300" s="106" t="s">
        <v>528</v>
      </c>
      <c r="G300" s="104">
        <v>3</v>
      </c>
      <c r="H300" s="104">
        <v>2020</v>
      </c>
      <c r="I300" s="105">
        <v>2060562</v>
      </c>
      <c r="J300" s="106" t="s">
        <v>528</v>
      </c>
      <c r="K300" s="104"/>
      <c r="L300" s="104"/>
      <c r="M300" s="105"/>
      <c r="N300" s="106" t="s">
        <v>528</v>
      </c>
      <c r="O300" s="104"/>
      <c r="P300" s="104"/>
      <c r="Q300" s="105"/>
      <c r="R300" s="106" t="s">
        <v>528</v>
      </c>
      <c r="S300" s="104"/>
      <c r="T300" s="104"/>
      <c r="U300" s="105"/>
      <c r="V300" s="106" t="s">
        <v>528</v>
      </c>
      <c r="W300" s="104"/>
      <c r="X300" s="104"/>
      <c r="Y300" s="105"/>
    </row>
    <row r="301" spans="1:25" x14ac:dyDescent="0.25">
      <c r="A301" s="107" t="s">
        <v>668</v>
      </c>
      <c r="B301" s="103">
        <f>_xlfn.XLOOKUP(A301,'[2]FRV Output'!$B:$B,'[2]FRV Output'!$F:$F)</f>
        <v>1316351034</v>
      </c>
      <c r="C301" s="104">
        <v>3</v>
      </c>
      <c r="D301" s="104">
        <v>2016</v>
      </c>
      <c r="E301" s="105">
        <v>247780</v>
      </c>
      <c r="F301" s="106" t="s">
        <v>528</v>
      </c>
      <c r="G301" s="104">
        <v>3</v>
      </c>
      <c r="H301" s="104">
        <v>2017</v>
      </c>
      <c r="I301" s="105">
        <v>484285</v>
      </c>
      <c r="J301" s="106" t="s">
        <v>528</v>
      </c>
      <c r="K301" s="104">
        <v>3</v>
      </c>
      <c r="L301" s="104">
        <v>2018</v>
      </c>
      <c r="M301" s="105">
        <v>167925</v>
      </c>
      <c r="N301" s="106" t="s">
        <v>528</v>
      </c>
      <c r="O301" s="104">
        <v>3</v>
      </c>
      <c r="P301" s="104">
        <v>2019</v>
      </c>
      <c r="Q301" s="105">
        <v>127143</v>
      </c>
      <c r="R301" s="106" t="s">
        <v>528</v>
      </c>
      <c r="S301" s="104">
        <v>3</v>
      </c>
      <c r="T301" s="104">
        <v>2020</v>
      </c>
      <c r="U301" s="105">
        <v>151558</v>
      </c>
      <c r="V301" s="106" t="s">
        <v>528</v>
      </c>
      <c r="W301" s="104">
        <v>3</v>
      </c>
      <c r="X301" s="104">
        <v>2021</v>
      </c>
      <c r="Y301" s="105">
        <v>85423</v>
      </c>
    </row>
    <row r="302" spans="1:25" x14ac:dyDescent="0.25">
      <c r="A302" s="107" t="s">
        <v>669</v>
      </c>
      <c r="B302" s="103">
        <f>_xlfn.XLOOKUP(A302,'[2]FRV Output'!$B:$B,'[2]FRV Output'!$F:$F)</f>
        <v>1437564739</v>
      </c>
      <c r="C302" s="104">
        <v>3</v>
      </c>
      <c r="D302" s="104">
        <v>2016</v>
      </c>
      <c r="E302" s="105">
        <v>490753</v>
      </c>
      <c r="F302" s="106" t="s">
        <v>528</v>
      </c>
      <c r="G302" s="104">
        <v>3</v>
      </c>
      <c r="H302" s="104">
        <v>2019</v>
      </c>
      <c r="I302" s="105">
        <v>160606</v>
      </c>
      <c r="J302" s="106" t="s">
        <v>528</v>
      </c>
      <c r="K302" s="104">
        <v>3</v>
      </c>
      <c r="L302" s="104">
        <v>2020</v>
      </c>
      <c r="M302" s="105">
        <v>68158</v>
      </c>
      <c r="N302" s="106" t="s">
        <v>528</v>
      </c>
      <c r="O302" s="104">
        <v>3</v>
      </c>
      <c r="P302" s="104">
        <v>2021</v>
      </c>
      <c r="Q302" s="105">
        <v>97519</v>
      </c>
      <c r="R302" s="106" t="s">
        <v>528</v>
      </c>
      <c r="S302" s="104"/>
      <c r="T302" s="104"/>
      <c r="U302" s="105"/>
      <c r="V302" s="106" t="s">
        <v>528</v>
      </c>
      <c r="W302" s="104"/>
      <c r="X302" s="104"/>
      <c r="Y302" s="105"/>
    </row>
    <row r="303" spans="1:25" x14ac:dyDescent="0.25">
      <c r="A303" s="107" t="s">
        <v>670</v>
      </c>
      <c r="B303" s="103">
        <f>_xlfn.XLOOKUP(A303,'[2]FRV Output'!$B:$B,'[2]FRV Output'!$F:$F)</f>
        <v>1649685132</v>
      </c>
      <c r="C303" s="104">
        <v>3</v>
      </c>
      <c r="D303" s="104">
        <v>2016</v>
      </c>
      <c r="E303" s="105">
        <v>524476</v>
      </c>
      <c r="F303" s="106" t="s">
        <v>528</v>
      </c>
      <c r="G303" s="104">
        <v>3</v>
      </c>
      <c r="H303" s="104">
        <v>2019</v>
      </c>
      <c r="I303" s="105">
        <v>276347</v>
      </c>
      <c r="J303" s="106" t="s">
        <v>528</v>
      </c>
      <c r="K303" s="104">
        <v>3</v>
      </c>
      <c r="L303" s="104">
        <v>2020</v>
      </c>
      <c r="M303" s="105">
        <v>77584</v>
      </c>
      <c r="N303" s="106" t="s">
        <v>528</v>
      </c>
      <c r="O303" s="104">
        <v>3</v>
      </c>
      <c r="P303" s="104">
        <v>2021</v>
      </c>
      <c r="Q303" s="105">
        <v>87509</v>
      </c>
      <c r="R303" s="106" t="s">
        <v>528</v>
      </c>
      <c r="S303" s="104"/>
      <c r="T303" s="104"/>
      <c r="U303" s="105"/>
      <c r="V303" s="106" t="s">
        <v>528</v>
      </c>
      <c r="W303" s="104"/>
      <c r="X303" s="104"/>
      <c r="Y303" s="105"/>
    </row>
    <row r="304" spans="1:25" x14ac:dyDescent="0.25">
      <c r="A304" s="107" t="s">
        <v>418</v>
      </c>
      <c r="B304" s="103">
        <f>_xlfn.XLOOKUP(A304,'[2]FRV Output'!$B:$B,'[2]FRV Output'!$F:$F)</f>
        <v>1063838381</v>
      </c>
      <c r="C304" s="104">
        <v>3</v>
      </c>
      <c r="D304" s="104">
        <v>2019</v>
      </c>
      <c r="E304" s="105">
        <v>61521</v>
      </c>
      <c r="F304" s="106" t="s">
        <v>528</v>
      </c>
      <c r="G304" s="104">
        <v>3</v>
      </c>
      <c r="H304" s="104">
        <v>2020</v>
      </c>
      <c r="I304" s="105">
        <v>84478</v>
      </c>
      <c r="J304" s="106" t="s">
        <v>528</v>
      </c>
      <c r="K304" s="104">
        <v>3</v>
      </c>
      <c r="L304" s="104">
        <v>2021</v>
      </c>
      <c r="M304" s="105">
        <v>291646</v>
      </c>
      <c r="N304" s="106" t="s">
        <v>528</v>
      </c>
      <c r="O304" s="104"/>
      <c r="P304" s="104"/>
      <c r="Q304" s="105"/>
      <c r="R304" s="106" t="s">
        <v>528</v>
      </c>
      <c r="S304" s="104"/>
      <c r="T304" s="104"/>
      <c r="U304" s="105"/>
      <c r="V304" s="106" t="s">
        <v>528</v>
      </c>
      <c r="W304" s="104"/>
      <c r="X304" s="104"/>
      <c r="Y304" s="105"/>
    </row>
    <row r="305" spans="1:25" x14ac:dyDescent="0.25">
      <c r="A305" s="103" t="s">
        <v>671</v>
      </c>
      <c r="B305" s="103">
        <f>_xlfn.XLOOKUP(A305,'[2]FRV Output'!$B:$B,'[2]FRV Output'!$F:$F)</f>
        <v>1003869983</v>
      </c>
      <c r="C305" s="104">
        <v>3</v>
      </c>
      <c r="D305" s="104">
        <v>2020</v>
      </c>
      <c r="E305" s="105">
        <v>279073</v>
      </c>
      <c r="F305" s="106" t="s">
        <v>528</v>
      </c>
      <c r="G305" s="104">
        <v>3</v>
      </c>
      <c r="H305" s="104">
        <v>2021</v>
      </c>
      <c r="I305" s="105">
        <v>203809</v>
      </c>
      <c r="J305" s="106" t="s">
        <v>528</v>
      </c>
      <c r="K305" s="104"/>
      <c r="L305" s="104"/>
      <c r="M305" s="105"/>
      <c r="N305" s="106" t="s">
        <v>528</v>
      </c>
      <c r="O305" s="104"/>
      <c r="P305" s="104"/>
      <c r="Q305" s="105"/>
      <c r="R305" s="106" t="s">
        <v>528</v>
      </c>
      <c r="S305" s="104"/>
      <c r="T305" s="104"/>
      <c r="U305" s="105"/>
      <c r="V305" s="106" t="s">
        <v>528</v>
      </c>
      <c r="W305" s="104"/>
      <c r="X305" s="104"/>
      <c r="Y305" s="105"/>
    </row>
    <row r="306" spans="1:25" x14ac:dyDescent="0.25">
      <c r="A306" s="107" t="s">
        <v>420</v>
      </c>
      <c r="B306" s="103">
        <f>_xlfn.XLOOKUP(A306,'[2]FRV Output'!$B:$B,'[2]FRV Output'!$F:$F)</f>
        <v>1093708497</v>
      </c>
      <c r="C306" s="104">
        <v>3</v>
      </c>
      <c r="D306" s="104">
        <v>2017</v>
      </c>
      <c r="E306" s="105">
        <v>215034</v>
      </c>
      <c r="F306" s="106" t="s">
        <v>528</v>
      </c>
      <c r="G306" s="104">
        <v>3</v>
      </c>
      <c r="H306" s="104">
        <v>2018</v>
      </c>
      <c r="I306" s="105">
        <v>267748</v>
      </c>
      <c r="J306" s="106" t="s">
        <v>528</v>
      </c>
      <c r="K306" s="104">
        <v>3</v>
      </c>
      <c r="L306" s="104">
        <v>2019</v>
      </c>
      <c r="M306" s="105">
        <v>199321</v>
      </c>
      <c r="N306" s="106" t="s">
        <v>528</v>
      </c>
      <c r="O306" s="104">
        <v>3</v>
      </c>
      <c r="P306" s="104">
        <v>2020</v>
      </c>
      <c r="Q306" s="105">
        <v>65839</v>
      </c>
      <c r="R306" s="106" t="s">
        <v>528</v>
      </c>
      <c r="S306" s="104"/>
      <c r="T306" s="104"/>
      <c r="U306" s="105"/>
      <c r="V306" s="106" t="s">
        <v>528</v>
      </c>
      <c r="W306" s="104"/>
      <c r="X306" s="104"/>
      <c r="Y306" s="105"/>
    </row>
    <row r="307" spans="1:25" x14ac:dyDescent="0.25">
      <c r="A307" s="107" t="s">
        <v>421</v>
      </c>
      <c r="B307" s="103">
        <f>_xlfn.XLOOKUP(A307,'[2]FRV Output'!$B:$B,'[2]FRV Output'!$F:$F)</f>
        <v>1295733517</v>
      </c>
      <c r="C307" s="104">
        <v>3</v>
      </c>
      <c r="D307" s="104">
        <v>2016</v>
      </c>
      <c r="E307" s="105">
        <v>350278</v>
      </c>
      <c r="F307" s="106" t="s">
        <v>528</v>
      </c>
      <c r="G307" s="104">
        <v>3</v>
      </c>
      <c r="H307" s="104">
        <v>2017</v>
      </c>
      <c r="I307" s="105">
        <v>103881</v>
      </c>
      <c r="J307" s="106" t="s">
        <v>528</v>
      </c>
      <c r="K307" s="104">
        <v>3</v>
      </c>
      <c r="L307" s="104">
        <v>2018</v>
      </c>
      <c r="M307" s="105">
        <v>3656620</v>
      </c>
      <c r="N307" s="106" t="s">
        <v>528</v>
      </c>
      <c r="O307" s="104">
        <v>3</v>
      </c>
      <c r="P307" s="104">
        <v>2019</v>
      </c>
      <c r="Q307" s="105">
        <v>136952</v>
      </c>
      <c r="R307" s="106" t="s">
        <v>528</v>
      </c>
      <c r="S307" s="104">
        <v>3</v>
      </c>
      <c r="T307" s="104">
        <v>2020</v>
      </c>
      <c r="U307" s="105">
        <v>54703</v>
      </c>
      <c r="V307" s="106" t="s">
        <v>528</v>
      </c>
      <c r="W307" s="104"/>
      <c r="X307" s="104"/>
      <c r="Y307" s="105"/>
    </row>
    <row r="308" spans="1:25" x14ac:dyDescent="0.25">
      <c r="A308" s="103" t="s">
        <v>672</v>
      </c>
      <c r="B308" s="103">
        <f>_xlfn.XLOOKUP(A308,'[2]FRV Output'!$B:$B,'[2]FRV Output'!$F:$F)</f>
        <v>1649268335</v>
      </c>
      <c r="C308" s="104">
        <v>3</v>
      </c>
      <c r="D308" s="104">
        <v>2016</v>
      </c>
      <c r="E308" s="105">
        <v>141906</v>
      </c>
      <c r="F308" s="106" t="s">
        <v>528</v>
      </c>
      <c r="G308" s="104">
        <v>3</v>
      </c>
      <c r="H308" s="104">
        <v>2017</v>
      </c>
      <c r="I308" s="105">
        <v>201251</v>
      </c>
      <c r="J308" s="106" t="s">
        <v>528</v>
      </c>
      <c r="K308" s="104">
        <v>3</v>
      </c>
      <c r="L308" s="104">
        <v>2018</v>
      </c>
      <c r="M308" s="105">
        <v>100640</v>
      </c>
      <c r="N308" s="106" t="s">
        <v>528</v>
      </c>
      <c r="O308" s="104">
        <v>3</v>
      </c>
      <c r="P308" s="104">
        <v>2021</v>
      </c>
      <c r="Q308" s="105">
        <v>104207</v>
      </c>
      <c r="R308" s="106" t="s">
        <v>528</v>
      </c>
      <c r="S308" s="104"/>
      <c r="T308" s="104"/>
      <c r="U308" s="105"/>
      <c r="V308" s="106" t="s">
        <v>528</v>
      </c>
      <c r="W308" s="104"/>
      <c r="X308" s="104"/>
      <c r="Y308" s="105"/>
    </row>
    <row r="309" spans="1:25" x14ac:dyDescent="0.25">
      <c r="A309" s="103" t="s">
        <v>673</v>
      </c>
      <c r="B309" s="103">
        <f>_xlfn.XLOOKUP(A309,'[2]FRV Output'!$B:$B,'[2]FRV Output'!$F:$F)</f>
        <v>1861504946</v>
      </c>
      <c r="C309" s="104">
        <v>3</v>
      </c>
      <c r="D309" s="104">
        <v>2021</v>
      </c>
      <c r="E309" s="105">
        <v>69721</v>
      </c>
      <c r="F309" s="106" t="s">
        <v>528</v>
      </c>
      <c r="G309" s="104"/>
      <c r="H309" s="104"/>
      <c r="I309" s="105"/>
      <c r="J309" s="106" t="s">
        <v>528</v>
      </c>
      <c r="K309" s="104"/>
      <c r="L309" s="104"/>
      <c r="M309" s="105"/>
      <c r="N309" s="106" t="s">
        <v>528</v>
      </c>
      <c r="O309" s="104"/>
      <c r="P309" s="104"/>
      <c r="Q309" s="105"/>
      <c r="R309" s="106" t="s">
        <v>528</v>
      </c>
      <c r="S309" s="104"/>
      <c r="T309" s="104"/>
      <c r="U309" s="105"/>
      <c r="V309" s="106" t="s">
        <v>528</v>
      </c>
      <c r="W309" s="104"/>
      <c r="X309" s="104"/>
      <c r="Y309" s="105"/>
    </row>
    <row r="310" spans="1:25" x14ac:dyDescent="0.25">
      <c r="A310" s="103" t="s">
        <v>424</v>
      </c>
      <c r="B310" s="103">
        <f>_xlfn.XLOOKUP(A310,'[2]FRV Output'!$B:$B,'[2]FRV Output'!$F:$F)</f>
        <v>1053395210</v>
      </c>
      <c r="C310" s="104"/>
      <c r="D310" s="104"/>
      <c r="E310" s="105"/>
      <c r="F310" s="106" t="s">
        <v>528</v>
      </c>
      <c r="G310" s="104"/>
      <c r="H310" s="104"/>
      <c r="I310" s="105"/>
      <c r="J310" s="106" t="s">
        <v>528</v>
      </c>
      <c r="K310" s="104"/>
      <c r="L310" s="104"/>
      <c r="M310" s="105"/>
      <c r="N310" s="106" t="s">
        <v>528</v>
      </c>
      <c r="O310" s="104"/>
      <c r="P310" s="104"/>
      <c r="Q310" s="105"/>
      <c r="R310" s="106" t="s">
        <v>528</v>
      </c>
      <c r="S310" s="104"/>
      <c r="T310" s="104"/>
      <c r="U310" s="105"/>
      <c r="V310" s="106" t="s">
        <v>528</v>
      </c>
      <c r="W310" s="104"/>
      <c r="X310" s="104"/>
      <c r="Y310" s="105"/>
    </row>
    <row r="311" spans="1:25" x14ac:dyDescent="0.25">
      <c r="A311" s="107" t="s">
        <v>674</v>
      </c>
      <c r="B311" s="103">
        <f>_xlfn.XLOOKUP(A311,'[2]FRV Output'!$B:$B,'[2]FRV Output'!$F:$F)</f>
        <v>1437110913</v>
      </c>
      <c r="C311" s="104"/>
      <c r="D311" s="104"/>
      <c r="E311" s="105"/>
      <c r="F311" s="106" t="s">
        <v>528</v>
      </c>
      <c r="G311" s="104"/>
      <c r="H311" s="104"/>
      <c r="I311" s="105"/>
      <c r="J311" s="106" t="s">
        <v>528</v>
      </c>
      <c r="K311" s="104"/>
      <c r="L311" s="104"/>
      <c r="M311" s="105"/>
      <c r="N311" s="106" t="s">
        <v>528</v>
      </c>
      <c r="O311" s="104"/>
      <c r="P311" s="104"/>
      <c r="Q311" s="105"/>
      <c r="R311" s="106" t="s">
        <v>528</v>
      </c>
      <c r="S311" s="104"/>
      <c r="T311" s="104"/>
      <c r="U311" s="105"/>
      <c r="V311" s="106" t="s">
        <v>528</v>
      </c>
      <c r="W311" s="104"/>
      <c r="X311" s="104"/>
      <c r="Y311" s="105"/>
    </row>
    <row r="312" spans="1:25" x14ac:dyDescent="0.25">
      <c r="A312" s="103" t="s">
        <v>675</v>
      </c>
      <c r="B312" s="103">
        <f>_xlfn.XLOOKUP(A312,'[2]FRV Output'!$B:$B,'[2]FRV Output'!$F:$F)</f>
        <v>1457709891</v>
      </c>
      <c r="C312" s="104"/>
      <c r="D312" s="104"/>
      <c r="E312" s="105"/>
      <c r="F312" s="106" t="s">
        <v>528</v>
      </c>
      <c r="G312" s="104"/>
      <c r="H312" s="104"/>
      <c r="I312" s="105"/>
      <c r="J312" s="106" t="s">
        <v>528</v>
      </c>
      <c r="K312" s="104"/>
      <c r="L312" s="104"/>
      <c r="M312" s="105"/>
      <c r="N312" s="106" t="s">
        <v>528</v>
      </c>
      <c r="O312" s="104"/>
      <c r="P312" s="104"/>
      <c r="Q312" s="105"/>
      <c r="R312" s="106" t="s">
        <v>528</v>
      </c>
      <c r="S312" s="104"/>
      <c r="T312" s="104"/>
      <c r="U312" s="105"/>
      <c r="V312" s="106" t="s">
        <v>528</v>
      </c>
      <c r="W312" s="104"/>
      <c r="X312" s="104"/>
      <c r="Y312" s="105"/>
    </row>
    <row r="313" spans="1:25" x14ac:dyDescent="0.25">
      <c r="A313" s="103" t="s">
        <v>425</v>
      </c>
      <c r="B313" s="103">
        <f>_xlfn.XLOOKUP(A313,'[2]FRV Output'!$B:$B,'[2]FRV Output'!$F:$F)</f>
        <v>1043263981</v>
      </c>
      <c r="C313" s="104">
        <v>3</v>
      </c>
      <c r="D313" s="104">
        <v>2021</v>
      </c>
      <c r="E313" s="105">
        <v>608384</v>
      </c>
      <c r="F313" s="106" t="s">
        <v>528</v>
      </c>
      <c r="G313" s="104"/>
      <c r="H313" s="104"/>
      <c r="I313" s="105"/>
      <c r="J313" s="106" t="s">
        <v>528</v>
      </c>
      <c r="K313" s="104"/>
      <c r="L313" s="104"/>
      <c r="M313" s="105"/>
      <c r="N313" s="106" t="s">
        <v>528</v>
      </c>
      <c r="O313" s="104"/>
      <c r="P313" s="104"/>
      <c r="Q313" s="105"/>
      <c r="R313" s="106" t="s">
        <v>528</v>
      </c>
      <c r="S313" s="104"/>
      <c r="T313" s="104"/>
      <c r="U313" s="105"/>
      <c r="V313" s="106" t="s">
        <v>528</v>
      </c>
      <c r="W313" s="104"/>
      <c r="X313" s="104"/>
      <c r="Y313" s="105"/>
    </row>
    <row r="314" spans="1:25" x14ac:dyDescent="0.25">
      <c r="A314" s="107" t="s">
        <v>676</v>
      </c>
      <c r="B314" s="103">
        <f>_xlfn.XLOOKUP(A314,'[2]FRV Output'!$B:$B,'[2]FRV Output'!$F:$F)</f>
        <v>1003205337</v>
      </c>
      <c r="C314" s="104"/>
      <c r="D314" s="104"/>
      <c r="E314" s="105"/>
      <c r="F314" s="113" t="s">
        <v>528</v>
      </c>
      <c r="G314" s="104"/>
      <c r="H314" s="104"/>
      <c r="I314" s="105"/>
      <c r="J314" s="113" t="s">
        <v>528</v>
      </c>
      <c r="K314" s="104"/>
      <c r="L314" s="104"/>
      <c r="M314" s="105"/>
      <c r="N314" s="113" t="s">
        <v>528</v>
      </c>
      <c r="O314" s="104"/>
      <c r="P314" s="104"/>
      <c r="Q314" s="105"/>
      <c r="R314" s="113" t="s">
        <v>528</v>
      </c>
      <c r="S314" s="104"/>
      <c r="T314" s="104"/>
      <c r="U314" s="105"/>
      <c r="V314" s="106" t="s">
        <v>528</v>
      </c>
      <c r="W314" s="104"/>
      <c r="X314" s="104"/>
      <c r="Y314" s="105"/>
    </row>
    <row r="315" spans="1:25" x14ac:dyDescent="0.25">
      <c r="A315" s="103" t="s">
        <v>427</v>
      </c>
      <c r="B315" s="103">
        <f>_xlfn.XLOOKUP(A315,'[2]FRV Output'!$B:$B,'[2]FRV Output'!$F:$F)</f>
        <v>1184712580</v>
      </c>
      <c r="C315" s="104"/>
      <c r="D315" s="104"/>
      <c r="E315" s="105"/>
      <c r="F315" s="106" t="s">
        <v>528</v>
      </c>
      <c r="G315" s="104"/>
      <c r="H315" s="104"/>
      <c r="I315" s="105"/>
      <c r="J315" s="106" t="s">
        <v>528</v>
      </c>
      <c r="K315" s="104"/>
      <c r="L315" s="104"/>
      <c r="M315" s="105"/>
      <c r="N315" s="106" t="s">
        <v>528</v>
      </c>
      <c r="O315" s="104"/>
      <c r="P315" s="104"/>
      <c r="Q315" s="105"/>
      <c r="R315" s="106" t="s">
        <v>528</v>
      </c>
      <c r="S315" s="104"/>
      <c r="T315" s="104"/>
      <c r="U315" s="105"/>
      <c r="V315" s="106" t="s">
        <v>528</v>
      </c>
      <c r="W315" s="104"/>
      <c r="X315" s="104"/>
      <c r="Y315" s="105"/>
    </row>
    <row r="316" spans="1:25" x14ac:dyDescent="0.25">
      <c r="A316" s="107" t="s">
        <v>428</v>
      </c>
      <c r="B316" s="103">
        <f>_xlfn.XLOOKUP(A316,'[2]FRV Output'!$B:$B,'[2]FRV Output'!$F:$F)</f>
        <v>1407843097</v>
      </c>
      <c r="C316" s="104">
        <v>3</v>
      </c>
      <c r="D316" s="104">
        <v>2016</v>
      </c>
      <c r="E316" s="105">
        <v>517730</v>
      </c>
      <c r="F316" s="106" t="s">
        <v>528</v>
      </c>
      <c r="G316" s="104">
        <v>3</v>
      </c>
      <c r="H316" s="104">
        <v>2017</v>
      </c>
      <c r="I316" s="105">
        <v>1413348</v>
      </c>
      <c r="J316" s="106" t="s">
        <v>528</v>
      </c>
      <c r="K316" s="104">
        <v>3</v>
      </c>
      <c r="L316" s="104">
        <v>2018</v>
      </c>
      <c r="M316" s="105">
        <v>1123012</v>
      </c>
      <c r="N316" s="106" t="s">
        <v>528</v>
      </c>
      <c r="O316" s="104">
        <v>3</v>
      </c>
      <c r="P316" s="104">
        <v>2019</v>
      </c>
      <c r="Q316" s="105">
        <v>217110</v>
      </c>
      <c r="R316" s="106" t="s">
        <v>528</v>
      </c>
      <c r="S316" s="104">
        <v>3</v>
      </c>
      <c r="T316" s="104">
        <v>2020</v>
      </c>
      <c r="U316" s="105">
        <v>412593</v>
      </c>
      <c r="V316" s="106" t="s">
        <v>528</v>
      </c>
      <c r="W316" s="104"/>
      <c r="X316" s="104"/>
      <c r="Y316" s="105"/>
    </row>
    <row r="317" spans="1:25" x14ac:dyDescent="0.25">
      <c r="A317" s="107" t="s">
        <v>429</v>
      </c>
      <c r="B317" s="103">
        <f>_xlfn.XLOOKUP(A317,'[2]FRV Output'!$B:$B,'[2]FRV Output'!$F:$F)</f>
        <v>1891346797</v>
      </c>
      <c r="C317" s="104">
        <v>3</v>
      </c>
      <c r="D317" s="104">
        <v>2017</v>
      </c>
      <c r="E317" s="105">
        <v>219419</v>
      </c>
      <c r="F317" s="106" t="s">
        <v>528</v>
      </c>
      <c r="G317" s="104">
        <v>3</v>
      </c>
      <c r="H317" s="104">
        <v>2018</v>
      </c>
      <c r="I317" s="105">
        <v>570779</v>
      </c>
      <c r="J317" s="106" t="s">
        <v>528</v>
      </c>
      <c r="K317" s="104">
        <v>3</v>
      </c>
      <c r="L317" s="104">
        <v>2019</v>
      </c>
      <c r="M317" s="105">
        <v>1186477</v>
      </c>
      <c r="N317" s="106" t="s">
        <v>528</v>
      </c>
      <c r="O317" s="104">
        <v>3</v>
      </c>
      <c r="P317" s="104">
        <v>2020</v>
      </c>
      <c r="Q317" s="105">
        <v>81860</v>
      </c>
      <c r="R317" s="106" t="s">
        <v>528</v>
      </c>
      <c r="S317" s="104"/>
      <c r="T317" s="104"/>
      <c r="U317" s="105"/>
      <c r="V317" s="106" t="s">
        <v>528</v>
      </c>
      <c r="W317" s="104"/>
      <c r="X317" s="104"/>
      <c r="Y317" s="105"/>
    </row>
    <row r="318" spans="1:25" x14ac:dyDescent="0.25">
      <c r="A318" s="113" t="s">
        <v>430</v>
      </c>
      <c r="B318" s="103">
        <f>_xlfn.XLOOKUP(A318,'[2]FRV Output'!$B:$B,'[2]FRV Output'!$F:$F)</f>
        <v>1629511597</v>
      </c>
      <c r="C318" s="104"/>
      <c r="D318" s="104"/>
      <c r="E318" s="105"/>
      <c r="F318" s="106" t="s">
        <v>528</v>
      </c>
      <c r="G318" s="104"/>
      <c r="H318" s="104"/>
      <c r="I318" s="105"/>
      <c r="J318" s="106" t="s">
        <v>528</v>
      </c>
      <c r="K318" s="104"/>
      <c r="L318" s="104"/>
      <c r="M318" s="105"/>
      <c r="N318" s="106" t="s">
        <v>528</v>
      </c>
      <c r="O318" s="104"/>
      <c r="P318" s="104"/>
      <c r="Q318" s="105"/>
      <c r="R318" s="106" t="s">
        <v>528</v>
      </c>
      <c r="S318" s="104"/>
      <c r="T318" s="104"/>
      <c r="U318" s="105"/>
      <c r="V318" s="106" t="s">
        <v>528</v>
      </c>
      <c r="W318" s="104"/>
      <c r="X318" s="104"/>
      <c r="Y318" s="105"/>
    </row>
    <row r="319" spans="1:25" x14ac:dyDescent="0.25">
      <c r="A319" s="107" t="s">
        <v>677</v>
      </c>
      <c r="B319" s="103">
        <f>_xlfn.XLOOKUP(A319,'[2]FRV Output'!$B:$B,'[2]FRV Output'!$F:$F)</f>
        <v>1164725198</v>
      </c>
      <c r="C319" s="104">
        <v>3</v>
      </c>
      <c r="D319" s="104">
        <v>2016</v>
      </c>
      <c r="E319" s="105">
        <v>238920</v>
      </c>
      <c r="F319" s="106" t="s">
        <v>528</v>
      </c>
      <c r="G319" s="104">
        <v>3</v>
      </c>
      <c r="H319" s="104">
        <v>2018</v>
      </c>
      <c r="I319" s="105">
        <v>152356</v>
      </c>
      <c r="J319" s="106" t="s">
        <v>528</v>
      </c>
      <c r="K319" s="104">
        <v>3</v>
      </c>
      <c r="L319" s="104">
        <v>2019</v>
      </c>
      <c r="M319" s="105">
        <v>92669</v>
      </c>
      <c r="N319" s="106" t="s">
        <v>528</v>
      </c>
      <c r="O319" s="104">
        <v>3</v>
      </c>
      <c r="P319" s="104">
        <v>2021</v>
      </c>
      <c r="Q319" s="105">
        <v>306740.8</v>
      </c>
      <c r="R319" s="106" t="s">
        <v>528</v>
      </c>
      <c r="S319" s="104"/>
      <c r="T319" s="104"/>
      <c r="U319" s="105"/>
      <c r="V319" s="106" t="s">
        <v>528</v>
      </c>
      <c r="W319" s="104"/>
      <c r="X319" s="104"/>
      <c r="Y319" s="105"/>
    </row>
    <row r="320" spans="1:25" x14ac:dyDescent="0.25">
      <c r="A320" s="107" t="s">
        <v>678</v>
      </c>
      <c r="B320" s="103">
        <f>_xlfn.XLOOKUP(A320,'[2]FRV Output'!$B:$B,'[2]FRV Output'!$F:$F)</f>
        <v>1710244827</v>
      </c>
      <c r="C320" s="104">
        <v>2</v>
      </c>
      <c r="D320" s="104">
        <v>2017</v>
      </c>
      <c r="E320" s="105">
        <v>200</v>
      </c>
      <c r="F320" s="106" t="s">
        <v>528</v>
      </c>
      <c r="G320" s="104">
        <v>1</v>
      </c>
      <c r="H320" s="104">
        <v>2017</v>
      </c>
      <c r="I320" s="105">
        <v>-100</v>
      </c>
      <c r="J320" s="106" t="s">
        <v>528</v>
      </c>
      <c r="K320" s="104">
        <v>1</v>
      </c>
      <c r="L320" s="104">
        <v>2018</v>
      </c>
      <c r="M320" s="105">
        <v>20</v>
      </c>
      <c r="N320" s="106" t="s">
        <v>528</v>
      </c>
      <c r="O320" s="104">
        <v>3</v>
      </c>
      <c r="P320" s="104">
        <v>2019</v>
      </c>
      <c r="Q320" s="105">
        <v>68342</v>
      </c>
      <c r="R320" s="106" t="s">
        <v>528</v>
      </c>
      <c r="S320" s="104">
        <v>3</v>
      </c>
      <c r="T320" s="104">
        <v>2021</v>
      </c>
      <c r="U320" s="105">
        <v>94958</v>
      </c>
      <c r="V320" s="106" t="s">
        <v>528</v>
      </c>
      <c r="W320" s="104"/>
      <c r="X320" s="104"/>
      <c r="Y320" s="105"/>
    </row>
    <row r="321" spans="1:25" x14ac:dyDescent="0.25">
      <c r="A321" s="107" t="s">
        <v>433</v>
      </c>
      <c r="B321" s="103">
        <f>_xlfn.XLOOKUP(A321,'[2]FRV Output'!$B:$B,'[2]FRV Output'!$F:$F)</f>
        <v>1821414269</v>
      </c>
      <c r="C321" s="104">
        <v>3</v>
      </c>
      <c r="D321" s="104">
        <v>2016</v>
      </c>
      <c r="E321" s="105">
        <v>83905</v>
      </c>
      <c r="F321" s="106" t="s">
        <v>528</v>
      </c>
      <c r="G321" s="104">
        <v>3</v>
      </c>
      <c r="H321" s="104">
        <v>2019</v>
      </c>
      <c r="I321" s="105">
        <v>101976</v>
      </c>
      <c r="J321" s="106" t="s">
        <v>528</v>
      </c>
      <c r="K321" s="104">
        <v>3</v>
      </c>
      <c r="L321" s="104">
        <v>2021</v>
      </c>
      <c r="M321" s="105">
        <v>81948</v>
      </c>
      <c r="N321" s="106" t="s">
        <v>528</v>
      </c>
      <c r="O321" s="104"/>
      <c r="P321" s="104"/>
      <c r="Q321" s="105"/>
      <c r="R321" s="106" t="s">
        <v>528</v>
      </c>
      <c r="S321" s="104"/>
      <c r="T321" s="104"/>
      <c r="U321" s="105"/>
      <c r="V321" s="106" t="s">
        <v>528</v>
      </c>
      <c r="W321" s="104"/>
      <c r="X321" s="104"/>
      <c r="Y321" s="105"/>
    </row>
    <row r="322" spans="1:25" x14ac:dyDescent="0.25">
      <c r="A322" s="103" t="s">
        <v>679</v>
      </c>
      <c r="B322" s="103">
        <f>_xlfn.XLOOKUP(A322,'[2]FRV Output'!$B:$B,'[2]FRV Output'!$F:$F)</f>
        <v>1225588536</v>
      </c>
      <c r="C322" s="104">
        <v>3</v>
      </c>
      <c r="D322" s="104">
        <v>2017</v>
      </c>
      <c r="E322" s="105">
        <v>87378.4</v>
      </c>
      <c r="F322" s="106" t="s">
        <v>528</v>
      </c>
      <c r="G322" s="104">
        <v>3</v>
      </c>
      <c r="H322" s="104">
        <v>2021</v>
      </c>
      <c r="I322" s="105">
        <v>352164</v>
      </c>
      <c r="J322" s="106" t="s">
        <v>528</v>
      </c>
      <c r="K322" s="104"/>
      <c r="L322" s="104"/>
      <c r="M322" s="105"/>
      <c r="N322" s="106" t="s">
        <v>528</v>
      </c>
      <c r="O322" s="104"/>
      <c r="P322" s="104"/>
      <c r="Q322" s="105"/>
      <c r="R322" s="106" t="s">
        <v>528</v>
      </c>
      <c r="S322" s="104"/>
      <c r="T322" s="104"/>
      <c r="U322" s="105"/>
      <c r="V322" s="106" t="s">
        <v>528</v>
      </c>
      <c r="W322" s="104"/>
      <c r="X322" s="104"/>
      <c r="Y322" s="105"/>
    </row>
    <row r="323" spans="1:25" x14ac:dyDescent="0.25">
      <c r="A323" s="103" t="s">
        <v>437</v>
      </c>
      <c r="B323" s="103">
        <f>_xlfn.XLOOKUP(A323,'[2]FRV Output'!$B:$B,'[2]FRV Output'!$F:$F)</f>
        <v>1861003485</v>
      </c>
      <c r="C323" s="104"/>
      <c r="D323" s="104"/>
      <c r="E323" s="105"/>
      <c r="F323" s="106" t="s">
        <v>528</v>
      </c>
      <c r="G323" s="104"/>
      <c r="H323" s="104"/>
      <c r="I323" s="105"/>
      <c r="J323" s="106" t="s">
        <v>528</v>
      </c>
      <c r="K323" s="104"/>
      <c r="L323" s="104"/>
      <c r="M323" s="105"/>
      <c r="N323" s="106" t="s">
        <v>528</v>
      </c>
      <c r="O323" s="104"/>
      <c r="P323" s="104"/>
      <c r="Q323" s="105"/>
      <c r="R323" s="106" t="s">
        <v>528</v>
      </c>
      <c r="S323" s="104"/>
      <c r="T323" s="104"/>
      <c r="U323" s="105"/>
      <c r="V323" s="106" t="s">
        <v>528</v>
      </c>
      <c r="W323" s="104"/>
      <c r="X323" s="104"/>
      <c r="Y323" s="105"/>
    </row>
    <row r="324" spans="1:25" x14ac:dyDescent="0.25">
      <c r="A324" s="107" t="s">
        <v>439</v>
      </c>
      <c r="B324" s="103">
        <f>_xlfn.XLOOKUP(A324,'[2]FRV Output'!$B:$B,'[2]FRV Output'!$F:$F)</f>
        <v>1699313544</v>
      </c>
      <c r="C324" s="104">
        <v>3</v>
      </c>
      <c r="D324" s="104">
        <v>2017</v>
      </c>
      <c r="E324" s="105">
        <v>120709</v>
      </c>
      <c r="F324" s="106" t="s">
        <v>528</v>
      </c>
      <c r="G324" s="104">
        <v>1</v>
      </c>
      <c r="H324" s="104">
        <v>2020</v>
      </c>
      <c r="I324" s="105">
        <v>30</v>
      </c>
      <c r="J324" s="106" t="s">
        <v>603</v>
      </c>
      <c r="K324" s="104">
        <v>3</v>
      </c>
      <c r="L324" s="104">
        <v>2020</v>
      </c>
      <c r="M324" s="105">
        <v>333894</v>
      </c>
      <c r="N324" s="106" t="s">
        <v>528</v>
      </c>
      <c r="O324" s="104"/>
      <c r="P324" s="104"/>
      <c r="Q324" s="105"/>
      <c r="R324" s="106" t="s">
        <v>528</v>
      </c>
      <c r="S324" s="104"/>
      <c r="T324" s="104"/>
      <c r="U324" s="105"/>
      <c r="V324" s="106" t="s">
        <v>528</v>
      </c>
      <c r="W324" s="104"/>
      <c r="X324" s="104"/>
      <c r="Y324" s="105"/>
    </row>
    <row r="325" spans="1:25" x14ac:dyDescent="0.25">
      <c r="A325" s="107" t="s">
        <v>440</v>
      </c>
      <c r="B325" s="103">
        <f>_xlfn.XLOOKUP(A325,'[2]FRV Output'!$B:$B,'[2]FRV Output'!$F:$F)</f>
        <v>1336602358</v>
      </c>
      <c r="C325" s="104">
        <v>3</v>
      </c>
      <c r="D325" s="104">
        <v>2018</v>
      </c>
      <c r="E325" s="105">
        <v>406147</v>
      </c>
      <c r="F325" s="106" t="s">
        <v>528</v>
      </c>
      <c r="G325" s="104">
        <v>3</v>
      </c>
      <c r="H325" s="104">
        <v>2019</v>
      </c>
      <c r="I325" s="105">
        <v>149877</v>
      </c>
      <c r="J325" s="106" t="s">
        <v>528</v>
      </c>
      <c r="K325" s="104">
        <v>3</v>
      </c>
      <c r="L325" s="104">
        <v>2020</v>
      </c>
      <c r="M325" s="105">
        <v>865682</v>
      </c>
      <c r="N325" s="106" t="s">
        <v>528</v>
      </c>
      <c r="O325" s="104">
        <v>3</v>
      </c>
      <c r="P325" s="104">
        <v>2021</v>
      </c>
      <c r="Q325" s="105">
        <v>1631433</v>
      </c>
      <c r="R325" s="106" t="s">
        <v>528</v>
      </c>
      <c r="S325" s="104"/>
      <c r="T325" s="104"/>
      <c r="U325" s="105"/>
      <c r="V325" s="106" t="s">
        <v>528</v>
      </c>
      <c r="W325" s="104"/>
      <c r="X325" s="104"/>
      <c r="Y325" s="105"/>
    </row>
    <row r="326" spans="1:25" x14ac:dyDescent="0.25">
      <c r="A326" s="103" t="s">
        <v>441</v>
      </c>
      <c r="B326" s="103">
        <f>_xlfn.XLOOKUP(A326,'[2]FRV Output'!$B:$B,'[2]FRV Output'!$F:$F)</f>
        <v>1144868092</v>
      </c>
      <c r="C326" s="104">
        <v>3</v>
      </c>
      <c r="D326" s="104">
        <v>2017</v>
      </c>
      <c r="E326" s="105">
        <v>307975</v>
      </c>
      <c r="F326" s="106" t="s">
        <v>528</v>
      </c>
      <c r="G326" s="104">
        <v>3</v>
      </c>
      <c r="H326" s="104">
        <v>2020</v>
      </c>
      <c r="I326" s="105">
        <v>219950</v>
      </c>
      <c r="J326" s="106" t="s">
        <v>528</v>
      </c>
      <c r="K326" s="104">
        <v>3</v>
      </c>
      <c r="L326" s="104">
        <v>2021</v>
      </c>
      <c r="M326" s="105">
        <v>462065</v>
      </c>
      <c r="N326" s="106" t="s">
        <v>528</v>
      </c>
      <c r="O326" s="104"/>
      <c r="P326" s="104"/>
      <c r="Q326" s="105"/>
      <c r="R326" s="106" t="s">
        <v>528</v>
      </c>
      <c r="S326" s="104"/>
      <c r="T326" s="104"/>
      <c r="U326" s="105"/>
      <c r="V326" s="106" t="s">
        <v>528</v>
      </c>
      <c r="W326" s="104"/>
      <c r="X326" s="104"/>
      <c r="Y326" s="105"/>
    </row>
    <row r="327" spans="1:25" x14ac:dyDescent="0.25">
      <c r="A327" s="107" t="s">
        <v>442</v>
      </c>
      <c r="B327" s="103">
        <f>_xlfn.XLOOKUP(A327,'[2]FRV Output'!$B:$B,'[2]FRV Output'!$F:$F)</f>
        <v>1821551797</v>
      </c>
      <c r="C327" s="104">
        <v>3</v>
      </c>
      <c r="D327" s="104">
        <v>2018</v>
      </c>
      <c r="E327" s="105">
        <v>183500</v>
      </c>
      <c r="F327" s="106" t="s">
        <v>528</v>
      </c>
      <c r="G327" s="104">
        <v>3</v>
      </c>
      <c r="H327" s="104">
        <v>2019</v>
      </c>
      <c r="I327" s="105">
        <v>289248</v>
      </c>
      <c r="J327" s="106" t="s">
        <v>528</v>
      </c>
      <c r="K327" s="104">
        <v>3</v>
      </c>
      <c r="L327" s="104">
        <v>2020</v>
      </c>
      <c r="M327" s="105">
        <v>202746</v>
      </c>
      <c r="N327" s="106" t="s">
        <v>528</v>
      </c>
      <c r="O327" s="104">
        <v>3</v>
      </c>
      <c r="P327" s="104">
        <v>2021</v>
      </c>
      <c r="Q327" s="105">
        <v>1712648</v>
      </c>
      <c r="R327" s="106" t="s">
        <v>528</v>
      </c>
      <c r="S327" s="104"/>
      <c r="T327" s="104"/>
      <c r="U327" s="105"/>
      <c r="V327" s="106" t="s">
        <v>528</v>
      </c>
      <c r="W327" s="104"/>
      <c r="X327" s="104"/>
      <c r="Y327" s="105"/>
    </row>
    <row r="328" spans="1:25" x14ac:dyDescent="0.25">
      <c r="A328" s="107" t="s">
        <v>443</v>
      </c>
      <c r="B328" s="103">
        <f>_xlfn.XLOOKUP(A328,'[2]FRV Output'!$B:$B,'[2]FRV Output'!$F:$F)</f>
        <v>1194381681</v>
      </c>
      <c r="C328" s="104">
        <v>3</v>
      </c>
      <c r="D328" s="104">
        <v>2016</v>
      </c>
      <c r="E328" s="105">
        <v>137734</v>
      </c>
      <c r="F328" s="106" t="s">
        <v>528</v>
      </c>
      <c r="G328" s="104">
        <v>3</v>
      </c>
      <c r="H328" s="104">
        <v>2019</v>
      </c>
      <c r="I328" s="105">
        <v>121892</v>
      </c>
      <c r="J328" s="106" t="s">
        <v>528</v>
      </c>
      <c r="K328" s="104">
        <v>3</v>
      </c>
      <c r="L328" s="104">
        <v>2020</v>
      </c>
      <c r="M328" s="105">
        <v>535224</v>
      </c>
      <c r="N328" s="106" t="s">
        <v>528</v>
      </c>
      <c r="O328" s="104">
        <v>3</v>
      </c>
      <c r="P328" s="104">
        <v>2021</v>
      </c>
      <c r="Q328" s="105">
        <v>924621</v>
      </c>
      <c r="R328" s="106" t="s">
        <v>528</v>
      </c>
      <c r="S328" s="104"/>
      <c r="T328" s="104"/>
      <c r="U328" s="105"/>
      <c r="V328" s="106" t="s">
        <v>528</v>
      </c>
      <c r="W328" s="104"/>
      <c r="X328" s="104"/>
      <c r="Y328" s="105"/>
    </row>
    <row r="329" spans="1:25" x14ac:dyDescent="0.25">
      <c r="A329" s="103" t="s">
        <v>680</v>
      </c>
      <c r="B329" s="103">
        <f>_xlfn.XLOOKUP(A329,'[2]FRV Output'!$B:$B,'[2]FRV Output'!$F:$F)</f>
        <v>1528544145</v>
      </c>
      <c r="C329" s="104"/>
      <c r="D329" s="104"/>
      <c r="E329" s="105"/>
      <c r="F329" s="106" t="s">
        <v>528</v>
      </c>
      <c r="G329" s="104"/>
      <c r="H329" s="104"/>
      <c r="I329" s="105"/>
      <c r="J329" s="106" t="s">
        <v>528</v>
      </c>
      <c r="K329" s="104"/>
      <c r="L329" s="104"/>
      <c r="M329" s="105"/>
      <c r="N329" s="106" t="s">
        <v>528</v>
      </c>
      <c r="O329" s="104"/>
      <c r="P329" s="104"/>
      <c r="Q329" s="105"/>
      <c r="R329" s="106" t="s">
        <v>528</v>
      </c>
      <c r="S329" s="104"/>
      <c r="T329" s="104"/>
      <c r="U329" s="105"/>
      <c r="V329" s="106" t="s">
        <v>528</v>
      </c>
      <c r="W329" s="104"/>
      <c r="X329" s="104"/>
      <c r="Y329" s="105"/>
    </row>
    <row r="330" spans="1:25" x14ac:dyDescent="0.25">
      <c r="A330" s="103" t="s">
        <v>445</v>
      </c>
      <c r="B330" s="103">
        <f>_xlfn.XLOOKUP(A330,'[2]FRV Output'!$B:$B,'[2]FRV Output'!$F:$F)</f>
        <v>1699336776</v>
      </c>
      <c r="C330" s="104"/>
      <c r="D330" s="104"/>
      <c r="E330" s="105"/>
      <c r="F330" s="106" t="s">
        <v>528</v>
      </c>
      <c r="G330" s="104"/>
      <c r="H330" s="104"/>
      <c r="I330" s="105"/>
      <c r="J330" s="106" t="s">
        <v>528</v>
      </c>
      <c r="K330" s="104"/>
      <c r="L330" s="104"/>
      <c r="M330" s="105"/>
      <c r="N330" s="106" t="s">
        <v>528</v>
      </c>
      <c r="O330" s="104"/>
      <c r="P330" s="104"/>
      <c r="Q330" s="105"/>
      <c r="R330" s="106" t="s">
        <v>528</v>
      </c>
      <c r="S330" s="104"/>
      <c r="T330" s="104"/>
      <c r="U330" s="105"/>
      <c r="V330" s="106" t="s">
        <v>528</v>
      </c>
      <c r="W330" s="104"/>
      <c r="X330" s="104"/>
      <c r="Y330" s="105"/>
    </row>
    <row r="331" spans="1:25" x14ac:dyDescent="0.25">
      <c r="A331" s="103" t="s">
        <v>446</v>
      </c>
      <c r="B331" s="103">
        <f>_xlfn.XLOOKUP(A331,'[2]FRV Output'!$B:$B,'[2]FRV Output'!$F:$F)</f>
        <v>1215982525</v>
      </c>
      <c r="C331" s="104">
        <v>3</v>
      </c>
      <c r="D331" s="104">
        <v>2016</v>
      </c>
      <c r="E331" s="105">
        <v>277401</v>
      </c>
      <c r="F331" s="106" t="s">
        <v>528</v>
      </c>
      <c r="G331" s="104">
        <v>3</v>
      </c>
      <c r="H331" s="104">
        <v>2017</v>
      </c>
      <c r="I331" s="105">
        <v>89917</v>
      </c>
      <c r="J331" s="106" t="s">
        <v>528</v>
      </c>
      <c r="K331" s="104">
        <v>3</v>
      </c>
      <c r="L331" s="104">
        <v>2018</v>
      </c>
      <c r="M331" s="105">
        <v>134544</v>
      </c>
      <c r="N331" s="106" t="s">
        <v>528</v>
      </c>
      <c r="O331" s="104">
        <v>3</v>
      </c>
      <c r="P331" s="104">
        <v>2021</v>
      </c>
      <c r="Q331" s="105">
        <v>77322</v>
      </c>
      <c r="R331" s="106" t="s">
        <v>528</v>
      </c>
      <c r="S331" s="104"/>
      <c r="T331" s="104"/>
      <c r="U331" s="105"/>
      <c r="V331" s="106" t="s">
        <v>528</v>
      </c>
      <c r="W331" s="104"/>
      <c r="X331" s="104"/>
      <c r="Y331" s="105"/>
    </row>
    <row r="332" spans="1:25" x14ac:dyDescent="0.25">
      <c r="A332" s="107" t="s">
        <v>447</v>
      </c>
      <c r="B332" s="103">
        <f>_xlfn.XLOOKUP(A332,'[2]FRV Output'!$B:$B,'[2]FRV Output'!$F:$F)</f>
        <v>1427003110</v>
      </c>
      <c r="C332" s="104">
        <v>3</v>
      </c>
      <c r="D332" s="104">
        <v>2016</v>
      </c>
      <c r="E332" s="105">
        <v>127193</v>
      </c>
      <c r="F332" s="106" t="s">
        <v>528</v>
      </c>
      <c r="G332" s="104">
        <v>3</v>
      </c>
      <c r="H332" s="104">
        <v>2017</v>
      </c>
      <c r="I332" s="105">
        <v>208907</v>
      </c>
      <c r="J332" s="106" t="s">
        <v>528</v>
      </c>
      <c r="K332" s="104">
        <v>3</v>
      </c>
      <c r="L332" s="104">
        <v>2018</v>
      </c>
      <c r="M332" s="105">
        <v>65794</v>
      </c>
      <c r="N332" s="106" t="s">
        <v>528</v>
      </c>
      <c r="O332" s="104">
        <v>3</v>
      </c>
      <c r="P332" s="104">
        <v>2019</v>
      </c>
      <c r="Q332" s="105">
        <v>112272</v>
      </c>
      <c r="R332" s="106" t="s">
        <v>528</v>
      </c>
      <c r="S332" s="104"/>
      <c r="T332" s="104"/>
      <c r="U332" s="105"/>
      <c r="V332" s="106" t="s">
        <v>528</v>
      </c>
      <c r="W332" s="104"/>
      <c r="X332" s="104"/>
      <c r="Y332" s="105"/>
    </row>
    <row r="333" spans="1:25" x14ac:dyDescent="0.25">
      <c r="A333" s="107" t="s">
        <v>448</v>
      </c>
      <c r="B333" s="103">
        <f>_xlfn.XLOOKUP(A333,'[2]FRV Output'!$B:$B,'[2]FRV Output'!$F:$F)</f>
        <v>1598710949</v>
      </c>
      <c r="C333" s="104">
        <v>3</v>
      </c>
      <c r="D333" s="104">
        <v>2016</v>
      </c>
      <c r="E333" s="105">
        <v>102969</v>
      </c>
      <c r="F333" s="106" t="s">
        <v>528</v>
      </c>
      <c r="G333" s="104">
        <v>3</v>
      </c>
      <c r="H333" s="104">
        <v>2017</v>
      </c>
      <c r="I333" s="105">
        <v>103054</v>
      </c>
      <c r="J333" s="106" t="s">
        <v>528</v>
      </c>
      <c r="K333" s="104">
        <v>3</v>
      </c>
      <c r="L333" s="104">
        <v>2018</v>
      </c>
      <c r="M333" s="105">
        <v>1205729</v>
      </c>
      <c r="N333" s="106" t="s">
        <v>528</v>
      </c>
      <c r="O333" s="104">
        <v>3</v>
      </c>
      <c r="P333" s="104">
        <v>2019</v>
      </c>
      <c r="Q333" s="105">
        <v>76265</v>
      </c>
      <c r="R333" s="106" t="s">
        <v>528</v>
      </c>
      <c r="S333" s="104"/>
      <c r="T333" s="104"/>
      <c r="U333" s="105"/>
      <c r="V333" s="106" t="s">
        <v>528</v>
      </c>
      <c r="W333" s="104"/>
      <c r="X333" s="104"/>
      <c r="Y333" s="105"/>
    </row>
    <row r="334" spans="1:25" x14ac:dyDescent="0.25">
      <c r="A334" s="103" t="s">
        <v>449</v>
      </c>
      <c r="B334" s="103">
        <f>_xlfn.XLOOKUP(A334,'[2]FRV Output'!$B:$B,'[2]FRV Output'!$F:$F)</f>
        <v>1770538092</v>
      </c>
      <c r="C334" s="104">
        <v>3</v>
      </c>
      <c r="D334" s="104">
        <v>2016</v>
      </c>
      <c r="E334" s="105">
        <v>188913</v>
      </c>
      <c r="F334" s="106" t="s">
        <v>528</v>
      </c>
      <c r="G334" s="104">
        <v>3</v>
      </c>
      <c r="H334" s="104">
        <v>2018</v>
      </c>
      <c r="I334" s="105">
        <v>152097</v>
      </c>
      <c r="J334" s="106" t="s">
        <v>528</v>
      </c>
      <c r="K334" s="104"/>
      <c r="L334" s="104"/>
      <c r="M334" s="105"/>
      <c r="N334" s="106" t="s">
        <v>528</v>
      </c>
      <c r="O334" s="104"/>
      <c r="P334" s="104"/>
      <c r="Q334" s="105"/>
      <c r="R334" s="106" t="s">
        <v>528</v>
      </c>
      <c r="S334" s="104"/>
      <c r="T334" s="104"/>
      <c r="U334" s="105"/>
      <c r="V334" s="106" t="s">
        <v>528</v>
      </c>
      <c r="W334" s="104"/>
      <c r="X334" s="104"/>
      <c r="Y334" s="105"/>
    </row>
    <row r="335" spans="1:25" x14ac:dyDescent="0.25">
      <c r="A335" s="107" t="s">
        <v>681</v>
      </c>
      <c r="B335" s="103">
        <f>_xlfn.XLOOKUP(A335,'[2]FRV Output'!$B:$B,'[2]FRV Output'!$F:$F)</f>
        <v>1851836118</v>
      </c>
      <c r="C335" s="104">
        <v>3</v>
      </c>
      <c r="D335" s="104">
        <v>2017</v>
      </c>
      <c r="E335" s="105">
        <v>197813</v>
      </c>
      <c r="F335" s="106" t="s">
        <v>528</v>
      </c>
      <c r="G335" s="104">
        <v>3</v>
      </c>
      <c r="H335" s="104">
        <v>2018</v>
      </c>
      <c r="I335" s="105">
        <v>104911</v>
      </c>
      <c r="J335" s="106" t="s">
        <v>528</v>
      </c>
      <c r="K335" s="104">
        <v>3</v>
      </c>
      <c r="L335" s="104">
        <v>2019</v>
      </c>
      <c r="M335" s="105">
        <v>92102</v>
      </c>
      <c r="N335" s="106" t="s">
        <v>528</v>
      </c>
      <c r="O335" s="104">
        <v>3</v>
      </c>
      <c r="P335" s="104">
        <v>2020</v>
      </c>
      <c r="Q335" s="105">
        <v>67983</v>
      </c>
      <c r="R335" s="106" t="s">
        <v>528</v>
      </c>
      <c r="S335" s="104"/>
      <c r="T335" s="104"/>
      <c r="U335" s="105"/>
      <c r="V335" s="106" t="s">
        <v>528</v>
      </c>
      <c r="W335" s="104"/>
      <c r="X335" s="104"/>
      <c r="Y335" s="105"/>
    </row>
    <row r="336" spans="1:25" x14ac:dyDescent="0.25">
      <c r="A336" s="103" t="s">
        <v>451</v>
      </c>
      <c r="B336" s="103">
        <f>_xlfn.XLOOKUP(A336,'[2]FRV Output'!$B:$B,'[2]FRV Output'!$F:$F)</f>
        <v>1871548487</v>
      </c>
      <c r="C336" s="104">
        <v>3</v>
      </c>
      <c r="D336" s="104">
        <v>2016</v>
      </c>
      <c r="E336" s="105">
        <v>75088</v>
      </c>
      <c r="F336" s="106" t="s">
        <v>528</v>
      </c>
      <c r="G336" s="104">
        <v>3</v>
      </c>
      <c r="H336" s="104">
        <v>2020</v>
      </c>
      <c r="I336" s="105">
        <v>32404</v>
      </c>
      <c r="J336" s="106" t="s">
        <v>528</v>
      </c>
      <c r="K336" s="104">
        <v>3</v>
      </c>
      <c r="L336" s="104">
        <v>2021</v>
      </c>
      <c r="M336" s="105">
        <v>52340</v>
      </c>
      <c r="N336" s="106" t="s">
        <v>528</v>
      </c>
      <c r="O336" s="104"/>
      <c r="P336" s="104"/>
      <c r="Q336" s="105"/>
      <c r="R336" s="106" t="s">
        <v>528</v>
      </c>
      <c r="S336" s="104"/>
      <c r="T336" s="104"/>
      <c r="U336" s="105"/>
      <c r="V336" s="106" t="s">
        <v>528</v>
      </c>
      <c r="W336" s="104"/>
      <c r="X336" s="104"/>
      <c r="Y336" s="105"/>
    </row>
    <row r="337" spans="1:25" x14ac:dyDescent="0.25">
      <c r="A337" s="107" t="s">
        <v>452</v>
      </c>
      <c r="B337" s="103">
        <f>_xlfn.XLOOKUP(A337,'[2]FRV Output'!$B:$B,'[2]FRV Output'!$F:$F)</f>
        <v>1467407775</v>
      </c>
      <c r="C337" s="104">
        <v>3</v>
      </c>
      <c r="D337" s="104">
        <v>2016</v>
      </c>
      <c r="E337" s="105">
        <v>140807</v>
      </c>
      <c r="F337" s="106" t="s">
        <v>528</v>
      </c>
      <c r="G337" s="104">
        <v>2</v>
      </c>
      <c r="H337" s="104">
        <v>2017</v>
      </c>
      <c r="I337" s="105">
        <v>9</v>
      </c>
      <c r="J337" s="106" t="s">
        <v>528</v>
      </c>
      <c r="K337" s="104">
        <v>3</v>
      </c>
      <c r="L337" s="104">
        <v>2018</v>
      </c>
      <c r="M337" s="105">
        <v>294560</v>
      </c>
      <c r="N337" s="106" t="s">
        <v>528</v>
      </c>
      <c r="O337" s="104">
        <v>3</v>
      </c>
      <c r="P337" s="104">
        <v>2019</v>
      </c>
      <c r="Q337" s="105">
        <v>86281</v>
      </c>
      <c r="R337" s="106" t="s">
        <v>528</v>
      </c>
      <c r="S337" s="104">
        <v>3</v>
      </c>
      <c r="T337" s="104">
        <v>2021</v>
      </c>
      <c r="U337" s="105">
        <v>56360</v>
      </c>
      <c r="V337" s="106" t="s">
        <v>528</v>
      </c>
      <c r="W337" s="104"/>
      <c r="X337" s="104"/>
      <c r="Y337" s="105"/>
    </row>
    <row r="338" spans="1:25" x14ac:dyDescent="0.25">
      <c r="A338" s="103" t="s">
        <v>682</v>
      </c>
      <c r="B338" s="103">
        <f>_xlfn.XLOOKUP(A338,'[2]FRV Output'!$B:$B,'[2]FRV Output'!$F:$F)</f>
        <v>1548293988</v>
      </c>
      <c r="C338" s="104">
        <v>3</v>
      </c>
      <c r="D338" s="104">
        <v>2016</v>
      </c>
      <c r="E338" s="105">
        <v>44616</v>
      </c>
      <c r="F338" s="106" t="s">
        <v>528</v>
      </c>
      <c r="G338" s="104">
        <v>3</v>
      </c>
      <c r="H338" s="104">
        <v>2021</v>
      </c>
      <c r="I338" s="105">
        <v>39973</v>
      </c>
      <c r="J338" s="106" t="s">
        <v>528</v>
      </c>
      <c r="K338" s="104"/>
      <c r="L338" s="104"/>
      <c r="M338" s="105"/>
      <c r="N338" s="106" t="s">
        <v>528</v>
      </c>
      <c r="O338" s="104"/>
      <c r="P338" s="104"/>
      <c r="Q338" s="105"/>
      <c r="R338" s="106" t="s">
        <v>528</v>
      </c>
      <c r="S338" s="104"/>
      <c r="T338" s="104"/>
      <c r="U338" s="105"/>
      <c r="V338" s="106" t="s">
        <v>528</v>
      </c>
      <c r="W338" s="104"/>
      <c r="X338" s="104"/>
      <c r="Y338" s="105"/>
    </row>
    <row r="339" spans="1:25" x14ac:dyDescent="0.25">
      <c r="A339" s="107" t="s">
        <v>454</v>
      </c>
      <c r="B339" s="103">
        <f>_xlfn.XLOOKUP(A339,'[2]FRV Output'!$B:$B,'[2]FRV Output'!$F:$F)</f>
        <v>1417368143</v>
      </c>
      <c r="C339" s="104">
        <v>3</v>
      </c>
      <c r="D339" s="104">
        <v>2016</v>
      </c>
      <c r="E339" s="105">
        <v>65674</v>
      </c>
      <c r="F339" s="106" t="s">
        <v>528</v>
      </c>
      <c r="G339" s="104">
        <v>2</v>
      </c>
      <c r="H339" s="104">
        <v>2019</v>
      </c>
      <c r="I339" s="105">
        <v>100</v>
      </c>
      <c r="J339" s="106" t="s">
        <v>528</v>
      </c>
      <c r="K339" s="104">
        <v>3</v>
      </c>
      <c r="L339" s="104">
        <v>2020</v>
      </c>
      <c r="M339" s="105">
        <v>154963</v>
      </c>
      <c r="N339" s="106" t="s">
        <v>528</v>
      </c>
      <c r="O339" s="104"/>
      <c r="P339" s="104"/>
      <c r="Q339" s="105"/>
      <c r="R339" s="106" t="s">
        <v>528</v>
      </c>
      <c r="S339" s="104"/>
      <c r="T339" s="104"/>
      <c r="U339" s="105"/>
      <c r="V339" s="106" t="s">
        <v>528</v>
      </c>
      <c r="W339" s="104"/>
      <c r="X339" s="104"/>
      <c r="Y339" s="105"/>
    </row>
    <row r="340" spans="1:25" x14ac:dyDescent="0.25">
      <c r="A340" s="107" t="s">
        <v>456</v>
      </c>
      <c r="B340" s="103">
        <f>_xlfn.XLOOKUP(A340,'[2]FRV Output'!$B:$B,'[2]FRV Output'!$F:$F)</f>
        <v>1881993079</v>
      </c>
      <c r="C340" s="104">
        <v>3</v>
      </c>
      <c r="D340" s="104">
        <v>2016</v>
      </c>
      <c r="E340" s="105">
        <v>718425</v>
      </c>
      <c r="F340" s="106" t="s">
        <v>528</v>
      </c>
      <c r="G340" s="104">
        <v>1</v>
      </c>
      <c r="H340" s="104">
        <v>2019</v>
      </c>
      <c r="I340" s="105">
        <v>-20</v>
      </c>
      <c r="J340" s="106" t="s">
        <v>625</v>
      </c>
      <c r="K340" s="104">
        <v>3</v>
      </c>
      <c r="L340" s="104">
        <v>2019</v>
      </c>
      <c r="M340" s="105">
        <v>369397</v>
      </c>
      <c r="N340" s="106" t="s">
        <v>528</v>
      </c>
      <c r="O340" s="104">
        <v>3</v>
      </c>
      <c r="P340" s="104">
        <v>2020</v>
      </c>
      <c r="Q340" s="105">
        <v>89840</v>
      </c>
      <c r="R340" s="106" t="s">
        <v>528</v>
      </c>
      <c r="S340" s="104">
        <v>3</v>
      </c>
      <c r="T340" s="104">
        <v>2021</v>
      </c>
      <c r="U340" s="105">
        <v>105778</v>
      </c>
      <c r="V340" s="106" t="s">
        <v>528</v>
      </c>
      <c r="W340" s="104"/>
      <c r="X340" s="104"/>
      <c r="Y340" s="105"/>
    </row>
    <row r="341" spans="1:25" x14ac:dyDescent="0.25">
      <c r="A341" s="103" t="s">
        <v>457</v>
      </c>
      <c r="B341" s="103">
        <f>_xlfn.XLOOKUP(A341,'[2]FRV Output'!$B:$B,'[2]FRV Output'!$F:$F)</f>
        <v>1255379293</v>
      </c>
      <c r="C341" s="104">
        <v>3</v>
      </c>
      <c r="D341" s="104">
        <v>2018</v>
      </c>
      <c r="E341" s="105">
        <v>102072</v>
      </c>
      <c r="F341" s="106" t="s">
        <v>528</v>
      </c>
      <c r="G341" s="104">
        <v>3</v>
      </c>
      <c r="H341" s="104">
        <v>2021</v>
      </c>
      <c r="I341" s="105">
        <v>185179</v>
      </c>
      <c r="J341" s="106" t="s">
        <v>528</v>
      </c>
      <c r="K341" s="104"/>
      <c r="L341" s="104"/>
      <c r="M341" s="105"/>
      <c r="N341" s="106" t="s">
        <v>528</v>
      </c>
      <c r="O341" s="104"/>
      <c r="P341" s="104"/>
      <c r="Q341" s="105"/>
      <c r="R341" s="106" t="s">
        <v>528</v>
      </c>
      <c r="S341" s="104"/>
      <c r="T341" s="104"/>
      <c r="U341" s="105"/>
      <c r="V341" s="106" t="s">
        <v>528</v>
      </c>
      <c r="W341" s="104"/>
      <c r="X341" s="104"/>
      <c r="Y341" s="105"/>
    </row>
    <row r="342" spans="1:25" x14ac:dyDescent="0.25">
      <c r="A342" s="107" t="s">
        <v>683</v>
      </c>
      <c r="B342" s="103">
        <f>_xlfn.XLOOKUP(A342,'[2]FRV Output'!$B:$B,'[2]FRV Output'!$F:$F)</f>
        <v>1366529406</v>
      </c>
      <c r="C342" s="104">
        <v>3</v>
      </c>
      <c r="D342" s="104">
        <v>2016</v>
      </c>
      <c r="E342" s="105">
        <v>55926</v>
      </c>
      <c r="F342" s="106" t="s">
        <v>528</v>
      </c>
      <c r="G342" s="104">
        <v>3</v>
      </c>
      <c r="H342" s="104">
        <v>2017</v>
      </c>
      <c r="I342" s="105">
        <v>295827</v>
      </c>
      <c r="J342" s="106" t="s">
        <v>528</v>
      </c>
      <c r="K342" s="104">
        <v>3</v>
      </c>
      <c r="L342" s="104">
        <v>2018</v>
      </c>
      <c r="M342" s="105">
        <v>112994</v>
      </c>
      <c r="N342" s="106" t="s">
        <v>528</v>
      </c>
      <c r="O342" s="104">
        <v>3</v>
      </c>
      <c r="P342" s="104">
        <v>2019</v>
      </c>
      <c r="Q342" s="105">
        <v>68803</v>
      </c>
      <c r="R342" s="106" t="s">
        <v>528</v>
      </c>
      <c r="S342" s="104">
        <v>3</v>
      </c>
      <c r="T342" s="104">
        <v>2020</v>
      </c>
      <c r="U342" s="105">
        <v>82453</v>
      </c>
      <c r="V342" s="106" t="s">
        <v>528</v>
      </c>
      <c r="W342" s="104"/>
      <c r="X342" s="104"/>
      <c r="Y342" s="105"/>
    </row>
    <row r="343" spans="1:25" x14ac:dyDescent="0.25">
      <c r="A343" s="107" t="s">
        <v>459</v>
      </c>
      <c r="B343" s="103">
        <f>_xlfn.XLOOKUP(A343,'[2]FRV Output'!$B:$B,'[2]FRV Output'!$F:$F)</f>
        <v>1598704504</v>
      </c>
      <c r="C343" s="104">
        <v>3</v>
      </c>
      <c r="D343" s="104">
        <v>2016</v>
      </c>
      <c r="E343" s="105">
        <v>162467</v>
      </c>
      <c r="F343" s="106" t="s">
        <v>528</v>
      </c>
      <c r="G343" s="104">
        <v>3</v>
      </c>
      <c r="H343" s="104">
        <v>2017</v>
      </c>
      <c r="I343" s="105">
        <v>123368</v>
      </c>
      <c r="J343" s="106" t="s">
        <v>528</v>
      </c>
      <c r="K343" s="104">
        <v>3</v>
      </c>
      <c r="L343" s="104">
        <v>2019</v>
      </c>
      <c r="M343" s="105">
        <v>93278</v>
      </c>
      <c r="N343" s="106" t="s">
        <v>528</v>
      </c>
      <c r="O343" s="104">
        <v>3</v>
      </c>
      <c r="P343" s="104">
        <v>2020</v>
      </c>
      <c r="Q343" s="105">
        <v>114412</v>
      </c>
      <c r="R343" s="106" t="s">
        <v>528</v>
      </c>
      <c r="S343" s="104"/>
      <c r="T343" s="104"/>
      <c r="U343" s="105"/>
      <c r="V343" s="106" t="s">
        <v>528</v>
      </c>
      <c r="W343" s="104"/>
      <c r="X343" s="104"/>
      <c r="Y343" s="105"/>
    </row>
    <row r="344" spans="1:25" x14ac:dyDescent="0.25">
      <c r="A344" s="107" t="s">
        <v>460</v>
      </c>
      <c r="B344" s="103">
        <f>_xlfn.XLOOKUP(A344,'[2]FRV Output'!$B:$B,'[2]FRV Output'!$F:$F)</f>
        <v>1669613071</v>
      </c>
      <c r="C344" s="104"/>
      <c r="D344" s="104"/>
      <c r="E344" s="105"/>
      <c r="F344" s="106" t="s">
        <v>528</v>
      </c>
      <c r="G344" s="104"/>
      <c r="H344" s="104"/>
      <c r="I344" s="105"/>
      <c r="J344" s="106" t="s">
        <v>528</v>
      </c>
      <c r="K344" s="104"/>
      <c r="L344" s="104"/>
      <c r="M344" s="105"/>
      <c r="N344" s="106" t="s">
        <v>528</v>
      </c>
      <c r="O344" s="104"/>
      <c r="P344" s="104"/>
      <c r="Q344" s="105"/>
      <c r="R344" s="106" t="s">
        <v>528</v>
      </c>
      <c r="S344" s="104"/>
      <c r="T344" s="104"/>
      <c r="U344" s="105"/>
      <c r="V344" s="106" t="s">
        <v>528</v>
      </c>
      <c r="W344" s="104"/>
      <c r="X344" s="104"/>
      <c r="Y344" s="105"/>
    </row>
    <row r="345" spans="1:25" x14ac:dyDescent="0.25">
      <c r="A345" s="107" t="s">
        <v>461</v>
      </c>
      <c r="B345" s="103">
        <f>_xlfn.XLOOKUP(A345,'[2]FRV Output'!$B:$B,'[2]FRV Output'!$F:$F)</f>
        <v>1881648350</v>
      </c>
      <c r="C345" s="104">
        <v>3</v>
      </c>
      <c r="D345" s="104">
        <v>2019</v>
      </c>
      <c r="E345" s="105">
        <v>87859</v>
      </c>
      <c r="F345" s="106" t="s">
        <v>528</v>
      </c>
      <c r="G345" s="104">
        <v>3</v>
      </c>
      <c r="H345" s="104">
        <v>2020</v>
      </c>
      <c r="I345" s="105">
        <v>36240</v>
      </c>
      <c r="J345" s="106" t="s">
        <v>528</v>
      </c>
      <c r="K345" s="104">
        <v>3</v>
      </c>
      <c r="L345" s="104">
        <v>2021</v>
      </c>
      <c r="M345" s="105">
        <v>48126</v>
      </c>
      <c r="N345" s="106" t="s">
        <v>528</v>
      </c>
      <c r="O345" s="104"/>
      <c r="P345" s="104"/>
      <c r="Q345" s="105"/>
      <c r="R345" s="106" t="s">
        <v>528</v>
      </c>
      <c r="S345" s="104"/>
      <c r="T345" s="104"/>
      <c r="U345" s="105"/>
      <c r="V345" s="106" t="s">
        <v>528</v>
      </c>
      <c r="W345" s="104"/>
      <c r="X345" s="104"/>
      <c r="Y345" s="105"/>
    </row>
    <row r="346" spans="1:25" x14ac:dyDescent="0.25">
      <c r="A346" s="103" t="s">
        <v>462</v>
      </c>
      <c r="B346" s="103">
        <f>_xlfn.XLOOKUP(A346,'[2]FRV Output'!$B:$B,'[2]FRV Output'!$F:$F)</f>
        <v>1669410312</v>
      </c>
      <c r="C346" s="104">
        <v>3</v>
      </c>
      <c r="D346" s="104">
        <v>2021</v>
      </c>
      <c r="E346" s="105">
        <v>69809</v>
      </c>
      <c r="F346" s="106" t="s">
        <v>528</v>
      </c>
      <c r="G346" s="104"/>
      <c r="H346" s="104"/>
      <c r="I346" s="105"/>
      <c r="J346" s="106" t="s">
        <v>528</v>
      </c>
      <c r="K346" s="104"/>
      <c r="L346" s="104"/>
      <c r="M346" s="105"/>
      <c r="N346" s="106" t="s">
        <v>528</v>
      </c>
      <c r="O346" s="104"/>
      <c r="P346" s="104"/>
      <c r="Q346" s="105"/>
      <c r="R346" s="106" t="s">
        <v>528</v>
      </c>
      <c r="S346" s="104"/>
      <c r="T346" s="104"/>
      <c r="U346" s="105"/>
      <c r="V346" s="106" t="s">
        <v>528</v>
      </c>
      <c r="W346" s="104"/>
      <c r="X346" s="104"/>
      <c r="Y346" s="105"/>
    </row>
    <row r="347" spans="1:25" x14ac:dyDescent="0.25">
      <c r="A347" s="107" t="s">
        <v>684</v>
      </c>
      <c r="B347" s="103">
        <f>_xlfn.XLOOKUP(A347,'[2]FRV Output'!$B:$B,'[2]FRV Output'!$F:$F)</f>
        <v>1356387153</v>
      </c>
      <c r="C347" s="104">
        <v>3</v>
      </c>
      <c r="D347" s="104">
        <v>2017</v>
      </c>
      <c r="E347" s="105">
        <v>143868</v>
      </c>
      <c r="F347" s="106" t="s">
        <v>528</v>
      </c>
      <c r="G347" s="104">
        <v>3</v>
      </c>
      <c r="H347" s="104">
        <v>2019</v>
      </c>
      <c r="I347" s="105">
        <v>638679</v>
      </c>
      <c r="J347" s="106" t="s">
        <v>528</v>
      </c>
      <c r="K347" s="104">
        <v>3</v>
      </c>
      <c r="L347" s="104">
        <v>2020</v>
      </c>
      <c r="M347" s="105">
        <v>93055</v>
      </c>
      <c r="N347" s="106" t="s">
        <v>528</v>
      </c>
      <c r="O347" s="104"/>
      <c r="P347" s="104"/>
      <c r="Q347" s="105"/>
      <c r="R347" s="106" t="s">
        <v>528</v>
      </c>
      <c r="S347" s="104"/>
      <c r="T347" s="104"/>
      <c r="U347" s="105"/>
      <c r="V347" s="106" t="s">
        <v>528</v>
      </c>
      <c r="W347" s="104"/>
      <c r="X347" s="104"/>
      <c r="Y347" s="105"/>
    </row>
    <row r="348" spans="1:25" x14ac:dyDescent="0.25">
      <c r="A348" s="103" t="s">
        <v>464</v>
      </c>
      <c r="B348" s="103">
        <f>_xlfn.XLOOKUP(A348,'[2]FRV Output'!$B:$B,'[2]FRV Output'!$F:$F)</f>
        <v>1184705048</v>
      </c>
      <c r="C348" s="104"/>
      <c r="D348" s="104"/>
      <c r="E348" s="105"/>
      <c r="F348" s="106" t="s">
        <v>528</v>
      </c>
      <c r="G348" s="104"/>
      <c r="H348" s="104"/>
      <c r="I348" s="105"/>
      <c r="J348" s="106" t="s">
        <v>528</v>
      </c>
      <c r="K348" s="104"/>
      <c r="L348" s="104"/>
      <c r="M348" s="105"/>
      <c r="N348" s="106" t="s">
        <v>528</v>
      </c>
      <c r="O348" s="104"/>
      <c r="P348" s="104"/>
      <c r="Q348" s="105"/>
      <c r="R348" s="106" t="s">
        <v>528</v>
      </c>
      <c r="S348" s="104"/>
      <c r="T348" s="104"/>
      <c r="U348" s="105"/>
      <c r="V348" s="106" t="s">
        <v>528</v>
      </c>
      <c r="W348" s="104"/>
      <c r="X348" s="104"/>
      <c r="Y348" s="105"/>
    </row>
    <row r="349" spans="1:25" x14ac:dyDescent="0.25">
      <c r="A349" s="107" t="s">
        <v>465</v>
      </c>
      <c r="B349" s="103">
        <f>_xlfn.XLOOKUP(A349,'[2]FRV Output'!$B:$B,'[2]FRV Output'!$F:$F)</f>
        <v>1386187813</v>
      </c>
      <c r="C349" s="104">
        <v>3</v>
      </c>
      <c r="D349" s="104">
        <v>2019</v>
      </c>
      <c r="E349" s="105">
        <v>128776</v>
      </c>
      <c r="F349" s="106" t="s">
        <v>528</v>
      </c>
      <c r="G349" s="104">
        <v>3</v>
      </c>
      <c r="H349" s="104">
        <v>2021</v>
      </c>
      <c r="I349" s="105">
        <v>187817</v>
      </c>
      <c r="J349" s="106" t="s">
        <v>528</v>
      </c>
      <c r="K349" s="104"/>
      <c r="L349" s="104"/>
      <c r="M349" s="105"/>
      <c r="N349" s="106" t="s">
        <v>528</v>
      </c>
      <c r="O349" s="104"/>
      <c r="P349" s="104"/>
      <c r="Q349" s="105"/>
      <c r="R349" s="106" t="s">
        <v>528</v>
      </c>
      <c r="S349" s="104"/>
      <c r="T349" s="104"/>
      <c r="U349" s="105"/>
      <c r="V349" s="106" t="s">
        <v>528</v>
      </c>
      <c r="W349" s="104"/>
      <c r="X349" s="104"/>
      <c r="Y349" s="105"/>
    </row>
    <row r="350" spans="1:25" x14ac:dyDescent="0.25">
      <c r="A350" s="103" t="s">
        <v>685</v>
      </c>
      <c r="B350" s="103">
        <f>_xlfn.XLOOKUP(A350,'[2]FRV Output'!$B:$B,'[2]FRV Output'!$F:$F)</f>
        <v>1952354565</v>
      </c>
      <c r="C350" s="104">
        <v>3</v>
      </c>
      <c r="D350" s="104">
        <v>2020</v>
      </c>
      <c r="E350" s="105">
        <v>29949</v>
      </c>
      <c r="F350" s="106" t="s">
        <v>528</v>
      </c>
      <c r="G350" s="104"/>
      <c r="H350" s="104"/>
      <c r="I350" s="105"/>
      <c r="J350" s="106" t="s">
        <v>528</v>
      </c>
      <c r="K350" s="104"/>
      <c r="L350" s="104"/>
      <c r="M350" s="105"/>
      <c r="N350" s="106" t="s">
        <v>528</v>
      </c>
      <c r="O350" s="104"/>
      <c r="P350" s="104"/>
      <c r="Q350" s="105"/>
      <c r="R350" s="106" t="s">
        <v>528</v>
      </c>
      <c r="S350" s="104"/>
      <c r="T350" s="104"/>
      <c r="U350" s="105"/>
      <c r="V350" s="106" t="s">
        <v>528</v>
      </c>
      <c r="W350" s="104"/>
      <c r="X350" s="104"/>
      <c r="Y350" s="105"/>
    </row>
    <row r="351" spans="1:25" x14ac:dyDescent="0.25">
      <c r="A351" s="107" t="s">
        <v>467</v>
      </c>
      <c r="B351" s="103">
        <f>_xlfn.XLOOKUP(A351,'[2]FRV Output'!$B:$B,'[2]FRV Output'!$F:$F)</f>
        <v>1912323635</v>
      </c>
      <c r="C351" s="104"/>
      <c r="D351" s="104"/>
      <c r="E351" s="105"/>
      <c r="F351" s="113" t="s">
        <v>528</v>
      </c>
      <c r="G351" s="104"/>
      <c r="H351" s="104"/>
      <c r="I351" s="105"/>
      <c r="J351" s="113" t="s">
        <v>528</v>
      </c>
      <c r="K351" s="104"/>
      <c r="L351" s="104"/>
      <c r="M351" s="105"/>
      <c r="N351" s="113" t="s">
        <v>528</v>
      </c>
      <c r="O351" s="104"/>
      <c r="P351" s="104"/>
      <c r="Q351" s="105"/>
      <c r="R351" s="113" t="s">
        <v>528</v>
      </c>
      <c r="S351" s="104"/>
      <c r="T351" s="104"/>
      <c r="U351" s="105"/>
      <c r="V351" s="106" t="s">
        <v>528</v>
      </c>
      <c r="W351" s="104"/>
      <c r="X351" s="104"/>
      <c r="Y351" s="105"/>
    </row>
    <row r="352" spans="1:25" x14ac:dyDescent="0.25">
      <c r="A352" s="107" t="s">
        <v>468</v>
      </c>
      <c r="B352" s="103">
        <f>_xlfn.XLOOKUP(A352,'[2]FRV Output'!$B:$B,'[2]FRV Output'!$F:$F)</f>
        <v>1912902230</v>
      </c>
      <c r="C352" s="104">
        <v>3</v>
      </c>
      <c r="D352" s="104">
        <v>2017</v>
      </c>
      <c r="E352" s="105">
        <v>79357</v>
      </c>
      <c r="F352" s="106" t="s">
        <v>528</v>
      </c>
      <c r="G352" s="104">
        <v>3</v>
      </c>
      <c r="H352" s="104">
        <v>2018</v>
      </c>
      <c r="I352" s="105">
        <v>295001</v>
      </c>
      <c r="J352" s="106" t="s">
        <v>528</v>
      </c>
      <c r="K352" s="104">
        <v>3</v>
      </c>
      <c r="L352" s="104">
        <v>2019</v>
      </c>
      <c r="M352" s="105">
        <v>83514</v>
      </c>
      <c r="N352" s="106" t="s">
        <v>528</v>
      </c>
      <c r="O352" s="104"/>
      <c r="P352" s="104"/>
      <c r="Q352" s="105"/>
      <c r="R352" s="106" t="s">
        <v>528</v>
      </c>
      <c r="S352" s="104"/>
      <c r="T352" s="104"/>
      <c r="U352" s="105"/>
      <c r="V352" s="106" t="s">
        <v>528</v>
      </c>
      <c r="W352" s="104"/>
      <c r="X352" s="104"/>
      <c r="Y352" s="105"/>
    </row>
    <row r="353" spans="1:25" x14ac:dyDescent="0.25">
      <c r="A353" s="107" t="s">
        <v>469</v>
      </c>
      <c r="B353" s="103">
        <f>_xlfn.XLOOKUP(A353,'[2]FRV Output'!$B:$B,'[2]FRV Output'!$F:$F)</f>
        <v>1194028118</v>
      </c>
      <c r="C353" s="104">
        <v>3</v>
      </c>
      <c r="D353" s="104">
        <v>2019</v>
      </c>
      <c r="E353" s="105">
        <v>95304</v>
      </c>
      <c r="F353" s="106" t="s">
        <v>528</v>
      </c>
      <c r="G353" s="104">
        <v>3</v>
      </c>
      <c r="H353" s="104">
        <v>2021</v>
      </c>
      <c r="I353" s="105">
        <v>117028</v>
      </c>
      <c r="J353" s="106" t="s">
        <v>528</v>
      </c>
      <c r="K353" s="104"/>
      <c r="L353" s="104"/>
      <c r="M353" s="105"/>
      <c r="N353" s="106" t="s">
        <v>528</v>
      </c>
      <c r="O353" s="104"/>
      <c r="P353" s="104"/>
      <c r="Q353" s="105"/>
      <c r="R353" s="106" t="s">
        <v>528</v>
      </c>
      <c r="S353" s="104"/>
      <c r="T353" s="104"/>
      <c r="U353" s="105"/>
      <c r="V353" s="106" t="s">
        <v>528</v>
      </c>
      <c r="W353" s="104"/>
      <c r="X353" s="104"/>
      <c r="Y353" s="105"/>
    </row>
    <row r="354" spans="1:25" x14ac:dyDescent="0.25">
      <c r="A354" s="107" t="s">
        <v>470</v>
      </c>
      <c r="B354" s="103">
        <f>_xlfn.XLOOKUP(A354,'[2]FRV Output'!$B:$B,'[2]FRV Output'!$F:$F)</f>
        <v>1215931977</v>
      </c>
      <c r="C354" s="104">
        <v>3</v>
      </c>
      <c r="D354" s="104">
        <v>2016</v>
      </c>
      <c r="E354" s="105">
        <v>915314</v>
      </c>
      <c r="F354" s="106" t="s">
        <v>528</v>
      </c>
      <c r="G354" s="104">
        <v>3</v>
      </c>
      <c r="H354" s="104">
        <v>2017</v>
      </c>
      <c r="I354" s="105">
        <v>63849</v>
      </c>
      <c r="J354" s="106" t="s">
        <v>528</v>
      </c>
      <c r="K354" s="104">
        <v>3</v>
      </c>
      <c r="L354" s="104">
        <v>2019</v>
      </c>
      <c r="M354" s="105">
        <v>155418</v>
      </c>
      <c r="N354" s="106" t="s">
        <v>528</v>
      </c>
      <c r="O354" s="104">
        <v>3</v>
      </c>
      <c r="P354" s="104">
        <v>2020</v>
      </c>
      <c r="Q354" s="105">
        <v>579336</v>
      </c>
      <c r="R354" s="106" t="s">
        <v>528</v>
      </c>
      <c r="S354" s="104">
        <v>3</v>
      </c>
      <c r="T354" s="104">
        <v>2021</v>
      </c>
      <c r="U354" s="105">
        <v>45991</v>
      </c>
      <c r="V354" s="106" t="s">
        <v>528</v>
      </c>
      <c r="W354" s="104"/>
      <c r="X354" s="104"/>
      <c r="Y354" s="105"/>
    </row>
    <row r="355" spans="1:25" x14ac:dyDescent="0.25">
      <c r="A355" s="103" t="s">
        <v>471</v>
      </c>
      <c r="B355" s="103">
        <f>_xlfn.XLOOKUP(A355,'[2]FRV Output'!$B:$B,'[2]FRV Output'!$F:$F)</f>
        <v>1508864323</v>
      </c>
      <c r="C355" s="104">
        <v>3</v>
      </c>
      <c r="D355" s="104">
        <v>2021</v>
      </c>
      <c r="E355" s="105">
        <v>64939</v>
      </c>
      <c r="F355" s="106" t="s">
        <v>528</v>
      </c>
      <c r="G355" s="104"/>
      <c r="H355" s="104"/>
      <c r="I355" s="105"/>
      <c r="J355" s="106" t="s">
        <v>528</v>
      </c>
      <c r="K355" s="104"/>
      <c r="L355" s="104"/>
      <c r="M355" s="105"/>
      <c r="N355" s="106" t="s">
        <v>528</v>
      </c>
      <c r="O355" s="104"/>
      <c r="P355" s="104"/>
      <c r="Q355" s="105"/>
      <c r="R355" s="106" t="s">
        <v>528</v>
      </c>
      <c r="S355" s="104"/>
      <c r="T355" s="104"/>
      <c r="U355" s="105"/>
      <c r="V355" s="106" t="s">
        <v>528</v>
      </c>
      <c r="W355" s="104"/>
      <c r="X355" s="104"/>
      <c r="Y355" s="105"/>
    </row>
    <row r="356" spans="1:25" x14ac:dyDescent="0.25">
      <c r="A356" s="107" t="s">
        <v>472</v>
      </c>
      <c r="B356" s="103">
        <f>_xlfn.XLOOKUP(A356,'[2]FRV Output'!$B:$B,'[2]FRV Output'!$F:$F)</f>
        <v>1427052067</v>
      </c>
      <c r="C356" s="104">
        <v>3</v>
      </c>
      <c r="D356" s="104">
        <v>2016</v>
      </c>
      <c r="E356" s="105">
        <v>82413</v>
      </c>
      <c r="F356" s="106" t="s">
        <v>528</v>
      </c>
      <c r="G356" s="104">
        <v>3</v>
      </c>
      <c r="H356" s="104">
        <v>2017</v>
      </c>
      <c r="I356" s="105">
        <v>301373</v>
      </c>
      <c r="J356" s="106" t="s">
        <v>528</v>
      </c>
      <c r="K356" s="104">
        <v>3</v>
      </c>
      <c r="L356" s="104">
        <v>2018</v>
      </c>
      <c r="M356" s="105">
        <v>154324</v>
      </c>
      <c r="N356" s="106" t="s">
        <v>528</v>
      </c>
      <c r="O356" s="104">
        <v>3</v>
      </c>
      <c r="P356" s="104">
        <v>2019</v>
      </c>
      <c r="Q356" s="105">
        <v>299760</v>
      </c>
      <c r="R356" s="106" t="s">
        <v>528</v>
      </c>
      <c r="S356" s="104">
        <v>3</v>
      </c>
      <c r="T356" s="104">
        <v>2020</v>
      </c>
      <c r="U356" s="105">
        <v>80908</v>
      </c>
      <c r="V356" s="106" t="s">
        <v>528</v>
      </c>
      <c r="W356" s="104">
        <v>3</v>
      </c>
      <c r="X356" s="104">
        <v>2021</v>
      </c>
      <c r="Y356" s="105">
        <v>83775</v>
      </c>
    </row>
    <row r="357" spans="1:25" x14ac:dyDescent="0.25">
      <c r="A357" s="103" t="s">
        <v>686</v>
      </c>
      <c r="B357" s="103" t="e">
        <f>_xlfn.XLOOKUP(A357,'[2]FRV Output'!$B:$B,'[2]FRV Output'!$F:$F)</f>
        <v>#N/A</v>
      </c>
      <c r="C357" s="104" t="s">
        <v>579</v>
      </c>
      <c r="D357" s="104"/>
      <c r="E357" s="105"/>
      <c r="F357" s="106" t="s">
        <v>528</v>
      </c>
      <c r="G357" s="104"/>
      <c r="H357" s="104"/>
      <c r="I357" s="105"/>
      <c r="J357" s="106" t="s">
        <v>528</v>
      </c>
      <c r="K357" s="104"/>
      <c r="L357" s="104"/>
      <c r="M357" s="105"/>
      <c r="N357" s="106" t="s">
        <v>528</v>
      </c>
      <c r="O357" s="104"/>
      <c r="P357" s="104"/>
      <c r="Q357" s="105"/>
      <c r="R357" s="106" t="s">
        <v>528</v>
      </c>
      <c r="S357" s="104"/>
      <c r="T357" s="104"/>
      <c r="U357" s="105"/>
      <c r="V357" s="106" t="s">
        <v>528</v>
      </c>
      <c r="W357" s="104"/>
      <c r="X357" s="104"/>
      <c r="Y357" s="105"/>
    </row>
    <row r="358" spans="1:25" x14ac:dyDescent="0.25">
      <c r="A358" s="107" t="s">
        <v>473</v>
      </c>
      <c r="B358" s="103">
        <f>_xlfn.XLOOKUP(A358,'[2]FRV Output'!$B:$B,'[2]FRV Output'!$F:$F)</f>
        <v>1669449799</v>
      </c>
      <c r="C358" s="104">
        <v>3</v>
      </c>
      <c r="D358" s="104">
        <v>2016</v>
      </c>
      <c r="E358" s="105">
        <v>54239</v>
      </c>
      <c r="F358" s="106" t="s">
        <v>528</v>
      </c>
      <c r="G358" s="104">
        <v>3</v>
      </c>
      <c r="H358" s="104">
        <v>2017</v>
      </c>
      <c r="I358" s="105">
        <v>56770</v>
      </c>
      <c r="J358" s="106" t="s">
        <v>528</v>
      </c>
      <c r="K358" s="104">
        <v>3</v>
      </c>
      <c r="L358" s="104">
        <v>2018</v>
      </c>
      <c r="M358" s="105">
        <v>106632</v>
      </c>
      <c r="N358" s="106" t="s">
        <v>528</v>
      </c>
      <c r="O358" s="104">
        <v>3</v>
      </c>
      <c r="P358" s="104">
        <v>2019</v>
      </c>
      <c r="Q358" s="105">
        <v>248757</v>
      </c>
      <c r="R358" s="106" t="s">
        <v>528</v>
      </c>
      <c r="S358" s="104"/>
      <c r="T358" s="104"/>
      <c r="U358" s="105"/>
      <c r="V358" s="106" t="s">
        <v>528</v>
      </c>
      <c r="W358" s="104"/>
      <c r="X358" s="104"/>
      <c r="Y358" s="105"/>
    </row>
    <row r="359" spans="1:25" x14ac:dyDescent="0.25">
      <c r="A359" s="107" t="s">
        <v>687</v>
      </c>
      <c r="B359" s="103">
        <f>_xlfn.XLOOKUP(A359,'[2]FRV Output'!$B:$B,'[2]FRV Output'!$F:$F)</f>
        <v>1932368586</v>
      </c>
      <c r="C359" s="104">
        <v>3</v>
      </c>
      <c r="D359" s="104">
        <v>2016</v>
      </c>
      <c r="E359" s="105">
        <v>42052</v>
      </c>
      <c r="F359" s="106" t="s">
        <v>528</v>
      </c>
      <c r="G359" s="104">
        <v>3</v>
      </c>
      <c r="H359" s="104">
        <v>2017</v>
      </c>
      <c r="I359" s="105">
        <v>12814</v>
      </c>
      <c r="J359" s="106" t="s">
        <v>528</v>
      </c>
      <c r="K359" s="104">
        <v>3</v>
      </c>
      <c r="L359" s="104">
        <v>2018</v>
      </c>
      <c r="M359" s="105">
        <v>30077</v>
      </c>
      <c r="N359" s="106" t="s">
        <v>528</v>
      </c>
      <c r="O359" s="104">
        <v>3</v>
      </c>
      <c r="P359" s="104">
        <v>2019</v>
      </c>
      <c r="Q359" s="105">
        <v>92275</v>
      </c>
      <c r="R359" s="106" t="s">
        <v>528</v>
      </c>
      <c r="S359" s="104">
        <v>3</v>
      </c>
      <c r="T359" s="104">
        <v>2020</v>
      </c>
      <c r="U359" s="105">
        <v>40061</v>
      </c>
      <c r="V359" s="106" t="s">
        <v>528</v>
      </c>
      <c r="W359" s="104"/>
      <c r="X359" s="104"/>
      <c r="Y359" s="105"/>
    </row>
    <row r="360" spans="1:25" x14ac:dyDescent="0.25">
      <c r="A360" s="103" t="s">
        <v>474</v>
      </c>
      <c r="B360" s="103">
        <f>_xlfn.XLOOKUP(A360,'[2]FRV Output'!$B:$B,'[2]FRV Output'!$F:$F)</f>
        <v>1720088339</v>
      </c>
      <c r="C360" s="104">
        <v>3</v>
      </c>
      <c r="D360" s="104">
        <v>2018</v>
      </c>
      <c r="E360" s="105">
        <v>182839</v>
      </c>
      <c r="F360" s="106" t="s">
        <v>528</v>
      </c>
      <c r="G360" s="104">
        <v>3</v>
      </c>
      <c r="H360" s="104">
        <v>2021</v>
      </c>
      <c r="I360" s="105">
        <v>86370</v>
      </c>
      <c r="J360" s="106" t="s">
        <v>528</v>
      </c>
      <c r="K360" s="104"/>
      <c r="L360" s="104"/>
      <c r="M360" s="105"/>
      <c r="N360" s="106" t="s">
        <v>528</v>
      </c>
      <c r="O360" s="104"/>
      <c r="P360" s="104"/>
      <c r="Q360" s="105"/>
      <c r="R360" s="106" t="s">
        <v>528</v>
      </c>
      <c r="S360" s="104"/>
      <c r="T360" s="104"/>
      <c r="U360" s="105"/>
      <c r="V360" s="106" t="s">
        <v>528</v>
      </c>
      <c r="W360" s="104"/>
      <c r="X360" s="104"/>
      <c r="Y360" s="105"/>
    </row>
    <row r="361" spans="1:25" x14ac:dyDescent="0.25">
      <c r="A361" s="103" t="s">
        <v>688</v>
      </c>
      <c r="B361" s="103">
        <f>_xlfn.XLOOKUP(A361,'[2]FRV Output'!$B:$B,'[2]FRV Output'!$F:$F)</f>
        <v>1891007506</v>
      </c>
      <c r="C361" s="104"/>
      <c r="D361" s="104"/>
      <c r="E361" s="105"/>
      <c r="F361" s="106" t="s">
        <v>528</v>
      </c>
      <c r="G361" s="104"/>
      <c r="H361" s="104"/>
      <c r="I361" s="105"/>
      <c r="J361" s="106" t="s">
        <v>528</v>
      </c>
      <c r="K361" s="104"/>
      <c r="L361" s="104"/>
      <c r="M361" s="105"/>
      <c r="N361" s="106" t="s">
        <v>528</v>
      </c>
      <c r="O361" s="104"/>
      <c r="P361" s="104"/>
      <c r="Q361" s="105"/>
      <c r="R361" s="106" t="s">
        <v>528</v>
      </c>
      <c r="S361" s="104"/>
      <c r="T361" s="104"/>
      <c r="U361" s="105"/>
      <c r="V361" s="106" t="s">
        <v>528</v>
      </c>
      <c r="W361" s="104"/>
      <c r="X361" s="104"/>
      <c r="Y361" s="105"/>
    </row>
    <row r="362" spans="1:25" x14ac:dyDescent="0.25">
      <c r="A362" s="107" t="s">
        <v>475</v>
      </c>
      <c r="B362" s="103">
        <f>_xlfn.XLOOKUP(A362,'[2]FRV Output'!$B:$B,'[2]FRV Output'!$F:$F)</f>
        <v>1225279755</v>
      </c>
      <c r="C362" s="104">
        <v>3</v>
      </c>
      <c r="D362" s="104">
        <v>2016</v>
      </c>
      <c r="E362" s="105">
        <v>67894</v>
      </c>
      <c r="F362" s="106" t="s">
        <v>528</v>
      </c>
      <c r="G362" s="104">
        <v>3</v>
      </c>
      <c r="H362" s="104">
        <v>2019</v>
      </c>
      <c r="I362" s="105">
        <v>69957</v>
      </c>
      <c r="J362" s="106" t="s">
        <v>528</v>
      </c>
      <c r="K362" s="104"/>
      <c r="L362" s="104"/>
      <c r="M362" s="105"/>
      <c r="N362" s="106" t="s">
        <v>528</v>
      </c>
      <c r="O362" s="104"/>
      <c r="P362" s="104"/>
      <c r="Q362" s="105"/>
      <c r="R362" s="106" t="s">
        <v>528</v>
      </c>
      <c r="S362" s="104"/>
      <c r="T362" s="104"/>
      <c r="U362" s="105"/>
      <c r="V362" s="106" t="s">
        <v>528</v>
      </c>
      <c r="W362" s="104"/>
      <c r="X362" s="104"/>
      <c r="Y362" s="105"/>
    </row>
    <row r="363" spans="1:25" x14ac:dyDescent="0.25">
      <c r="A363" s="103" t="s">
        <v>476</v>
      </c>
      <c r="B363" s="103">
        <f>_xlfn.XLOOKUP(A363,'[2]FRV Output'!$B:$B,'[2]FRV Output'!$F:$F)</f>
        <v>1235370750</v>
      </c>
      <c r="C363" s="104">
        <v>3</v>
      </c>
      <c r="D363" s="104">
        <v>2017</v>
      </c>
      <c r="E363" s="105">
        <v>313750</v>
      </c>
      <c r="F363" s="106" t="s">
        <v>528</v>
      </c>
      <c r="G363" s="104"/>
      <c r="H363" s="104"/>
      <c r="I363" s="105"/>
      <c r="J363" s="106" t="s">
        <v>528</v>
      </c>
      <c r="K363" s="104"/>
      <c r="L363" s="104"/>
      <c r="M363" s="105"/>
      <c r="N363" s="106" t="s">
        <v>528</v>
      </c>
      <c r="O363" s="104"/>
      <c r="P363" s="104"/>
      <c r="Q363" s="105"/>
      <c r="R363" s="106" t="s">
        <v>528</v>
      </c>
      <c r="S363" s="104"/>
      <c r="T363" s="104"/>
      <c r="U363" s="105"/>
      <c r="V363" s="106" t="s">
        <v>528</v>
      </c>
      <c r="W363" s="104"/>
      <c r="X363" s="104"/>
      <c r="Y363" s="105"/>
    </row>
    <row r="364" spans="1:25" x14ac:dyDescent="0.25">
      <c r="A364" s="107" t="s">
        <v>477</v>
      </c>
      <c r="B364" s="103">
        <f>_xlfn.XLOOKUP(A364,'[2]FRV Output'!$B:$B,'[2]FRV Output'!$F:$F)</f>
        <v>1497996920</v>
      </c>
      <c r="C364" s="104">
        <v>3</v>
      </c>
      <c r="D364" s="104">
        <v>2019</v>
      </c>
      <c r="E364" s="105">
        <v>91225</v>
      </c>
      <c r="F364" s="106" t="s">
        <v>528</v>
      </c>
      <c r="G364" s="104"/>
      <c r="H364" s="104"/>
      <c r="I364" s="105"/>
      <c r="J364" s="106" t="s">
        <v>528</v>
      </c>
      <c r="K364" s="104"/>
      <c r="L364" s="104"/>
      <c r="M364" s="105"/>
      <c r="N364" s="106" t="s">
        <v>528</v>
      </c>
      <c r="O364" s="104"/>
      <c r="P364" s="104"/>
      <c r="Q364" s="105"/>
      <c r="R364" s="106" t="s">
        <v>528</v>
      </c>
      <c r="S364" s="104"/>
      <c r="T364" s="104"/>
      <c r="U364" s="105"/>
      <c r="V364" s="106" t="s">
        <v>528</v>
      </c>
      <c r="W364" s="104"/>
      <c r="X364" s="104"/>
      <c r="Y364" s="105"/>
    </row>
    <row r="365" spans="1:25" x14ac:dyDescent="0.25">
      <c r="A365" s="107" t="s">
        <v>478</v>
      </c>
      <c r="B365" s="103">
        <f>_xlfn.XLOOKUP(A365,'[2]FRV Output'!$B:$B,'[2]FRV Output'!$F:$F)</f>
        <v>1295704997</v>
      </c>
      <c r="C365" s="104">
        <v>2</v>
      </c>
      <c r="D365" s="104">
        <v>2016</v>
      </c>
      <c r="E365" s="105">
        <v>20</v>
      </c>
      <c r="F365" s="106" t="s">
        <v>528</v>
      </c>
      <c r="G365" s="104">
        <v>3</v>
      </c>
      <c r="H365" s="104">
        <v>2017</v>
      </c>
      <c r="I365" s="105">
        <v>159182</v>
      </c>
      <c r="J365" s="106" t="s">
        <v>528</v>
      </c>
      <c r="K365" s="104">
        <v>3</v>
      </c>
      <c r="L365" s="104">
        <v>2019</v>
      </c>
      <c r="M365" s="105">
        <v>92110</v>
      </c>
      <c r="N365" s="106" t="s">
        <v>528</v>
      </c>
      <c r="O365" s="104"/>
      <c r="P365" s="104"/>
      <c r="Q365" s="105"/>
      <c r="R365" s="106" t="s">
        <v>528</v>
      </c>
      <c r="S365" s="104"/>
      <c r="T365" s="104"/>
      <c r="U365" s="105"/>
      <c r="V365" s="106" t="s">
        <v>528</v>
      </c>
      <c r="W365" s="104"/>
      <c r="X365" s="104"/>
      <c r="Y365" s="105"/>
    </row>
    <row r="366" spans="1:25" x14ac:dyDescent="0.25">
      <c r="A366" s="103" t="s">
        <v>479</v>
      </c>
      <c r="B366" s="103">
        <f>_xlfn.XLOOKUP(A366,'[2]FRV Output'!$B:$B,'[2]FRV Output'!$F:$F)</f>
        <v>1629047279</v>
      </c>
      <c r="C366" s="104">
        <v>3</v>
      </c>
      <c r="D366" s="104">
        <v>2016</v>
      </c>
      <c r="E366" s="105">
        <v>114188</v>
      </c>
      <c r="F366" s="106" t="s">
        <v>528</v>
      </c>
      <c r="G366" s="104">
        <v>3</v>
      </c>
      <c r="H366" s="104">
        <v>2021</v>
      </c>
      <c r="I366" s="105">
        <v>64663</v>
      </c>
      <c r="J366" s="106" t="s">
        <v>528</v>
      </c>
      <c r="K366" s="104"/>
      <c r="L366" s="104"/>
      <c r="M366" s="105"/>
      <c r="N366" s="106" t="s">
        <v>528</v>
      </c>
      <c r="O366" s="104"/>
      <c r="P366" s="104"/>
      <c r="Q366" s="105"/>
      <c r="R366" s="106" t="s">
        <v>528</v>
      </c>
      <c r="S366" s="104"/>
      <c r="T366" s="104"/>
      <c r="U366" s="105"/>
      <c r="V366" s="106" t="s">
        <v>528</v>
      </c>
      <c r="W366" s="104"/>
      <c r="X366" s="104"/>
      <c r="Y366" s="105"/>
    </row>
    <row r="367" spans="1:25" x14ac:dyDescent="0.25">
      <c r="A367" s="103" t="s">
        <v>480</v>
      </c>
      <c r="B367" s="103">
        <f>_xlfn.XLOOKUP(A367,'[2]FRV Output'!$B:$B,'[2]FRV Output'!$F:$F)</f>
        <v>1144299702</v>
      </c>
      <c r="C367" s="104">
        <v>3</v>
      </c>
      <c r="D367" s="104">
        <v>2016</v>
      </c>
      <c r="E367" s="105">
        <v>98761</v>
      </c>
      <c r="F367" s="106" t="s">
        <v>528</v>
      </c>
      <c r="G367" s="104">
        <v>1</v>
      </c>
      <c r="H367" s="104">
        <v>2016</v>
      </c>
      <c r="I367" s="105">
        <v>20</v>
      </c>
      <c r="J367" s="106" t="s">
        <v>528</v>
      </c>
      <c r="K367" s="104">
        <v>3</v>
      </c>
      <c r="L367" s="104">
        <v>2021</v>
      </c>
      <c r="M367" s="105">
        <v>67159</v>
      </c>
      <c r="N367" s="106" t="s">
        <v>528</v>
      </c>
      <c r="O367" s="104"/>
      <c r="P367" s="104"/>
      <c r="Q367" s="105"/>
      <c r="R367" s="106" t="s">
        <v>528</v>
      </c>
      <c r="S367" s="104"/>
      <c r="T367" s="104"/>
      <c r="U367" s="105"/>
      <c r="V367" s="106" t="s">
        <v>528</v>
      </c>
      <c r="W367" s="104"/>
      <c r="X367" s="104"/>
      <c r="Y367" s="105"/>
    </row>
    <row r="368" spans="1:25" x14ac:dyDescent="0.25">
      <c r="A368" s="107" t="s">
        <v>481</v>
      </c>
      <c r="B368" s="103">
        <f>_xlfn.XLOOKUP(A368,'[2]FRV Output'!$B:$B,'[2]FRV Output'!$F:$F)</f>
        <v>1437484672</v>
      </c>
      <c r="C368" s="104">
        <v>3</v>
      </c>
      <c r="D368" s="104">
        <v>2016</v>
      </c>
      <c r="E368" s="105">
        <v>56465</v>
      </c>
      <c r="F368" s="106" t="s">
        <v>528</v>
      </c>
      <c r="G368" s="104"/>
      <c r="H368" s="104"/>
      <c r="I368" s="105"/>
      <c r="J368" s="106" t="s">
        <v>528</v>
      </c>
      <c r="K368" s="104"/>
      <c r="L368" s="104"/>
      <c r="M368" s="105"/>
      <c r="N368" s="106" t="s">
        <v>528</v>
      </c>
      <c r="O368" s="104"/>
      <c r="P368" s="104"/>
      <c r="Q368" s="105"/>
      <c r="R368" s="106" t="s">
        <v>528</v>
      </c>
      <c r="S368" s="104"/>
      <c r="T368" s="104"/>
      <c r="U368" s="105"/>
      <c r="V368" s="106" t="s">
        <v>528</v>
      </c>
      <c r="W368" s="104"/>
      <c r="X368" s="104"/>
      <c r="Y368" s="105"/>
    </row>
    <row r="369" spans="1:25" x14ac:dyDescent="0.25">
      <c r="A369" s="120" t="s">
        <v>482</v>
      </c>
      <c r="B369" s="103">
        <f>_xlfn.XLOOKUP(A369,'[2]FRV Output'!$B:$B,'[2]FRV Output'!$F:$F)</f>
        <v>1942279609</v>
      </c>
      <c r="C369" s="104">
        <v>3</v>
      </c>
      <c r="D369" s="104">
        <v>2020</v>
      </c>
      <c r="E369" s="105">
        <v>105770</v>
      </c>
      <c r="F369" s="106" t="s">
        <v>528</v>
      </c>
      <c r="G369" s="104"/>
      <c r="H369" s="104"/>
      <c r="I369" s="105"/>
      <c r="J369" s="106" t="s">
        <v>528</v>
      </c>
      <c r="K369" s="104"/>
      <c r="L369" s="104"/>
      <c r="M369" s="105"/>
      <c r="N369" s="106" t="s">
        <v>528</v>
      </c>
      <c r="O369" s="104"/>
      <c r="P369" s="104"/>
      <c r="Q369" s="105"/>
      <c r="R369" s="106" t="s">
        <v>528</v>
      </c>
      <c r="S369" s="104"/>
      <c r="T369" s="104"/>
      <c r="U369" s="105"/>
      <c r="V369" s="106" t="s">
        <v>528</v>
      </c>
      <c r="W369" s="104"/>
      <c r="X369" s="104"/>
      <c r="Y369" s="105"/>
    </row>
    <row r="370" spans="1:25" x14ac:dyDescent="0.25">
      <c r="A370" s="120" t="s">
        <v>689</v>
      </c>
      <c r="B370" s="103">
        <f>_xlfn.XLOOKUP(A370,'[2]FRV Output'!$B:$B,'[2]FRV Output'!$F:$F)</f>
        <v>1114996758</v>
      </c>
      <c r="C370" s="104">
        <v>3</v>
      </c>
      <c r="D370" s="104">
        <v>2016</v>
      </c>
      <c r="E370" s="105">
        <v>58352</v>
      </c>
      <c r="F370" s="106" t="s">
        <v>528</v>
      </c>
      <c r="G370" s="104"/>
      <c r="H370" s="104"/>
      <c r="I370" s="105"/>
      <c r="J370" s="106" t="s">
        <v>528</v>
      </c>
      <c r="K370" s="104"/>
      <c r="L370" s="104"/>
      <c r="M370" s="105"/>
      <c r="N370" s="106" t="s">
        <v>528</v>
      </c>
      <c r="O370" s="104"/>
      <c r="P370" s="104"/>
      <c r="Q370" s="105"/>
      <c r="R370" s="106" t="s">
        <v>528</v>
      </c>
      <c r="S370" s="104"/>
      <c r="T370" s="104"/>
      <c r="U370" s="105"/>
      <c r="V370" s="106" t="s">
        <v>528</v>
      </c>
      <c r="W370" s="104"/>
      <c r="X370" s="104"/>
      <c r="Y370" s="105"/>
    </row>
    <row r="371" spans="1:25" x14ac:dyDescent="0.25">
      <c r="A371" s="103" t="s">
        <v>690</v>
      </c>
      <c r="B371" s="103">
        <f>_xlfn.XLOOKUP(A371,'[2]FRV Output'!$B:$B,'[2]FRV Output'!$F:$F)</f>
        <v>1902875578</v>
      </c>
      <c r="C371" s="104"/>
      <c r="D371" s="104"/>
      <c r="E371" s="105"/>
      <c r="F371" s="106" t="s">
        <v>528</v>
      </c>
      <c r="G371" s="104"/>
      <c r="H371" s="104"/>
      <c r="I371" s="105"/>
      <c r="J371" s="106" t="s">
        <v>528</v>
      </c>
      <c r="K371" s="104"/>
      <c r="L371" s="104"/>
      <c r="M371" s="105"/>
      <c r="N371" s="106" t="s">
        <v>528</v>
      </c>
      <c r="O371" s="104"/>
      <c r="P371" s="104"/>
      <c r="Q371" s="105"/>
      <c r="R371" s="106" t="s">
        <v>528</v>
      </c>
      <c r="S371" s="104"/>
      <c r="T371" s="104"/>
      <c r="U371" s="105"/>
      <c r="V371" s="106" t="s">
        <v>528</v>
      </c>
      <c r="W371" s="104"/>
      <c r="X371" s="104"/>
      <c r="Y371" s="105"/>
    </row>
    <row r="372" spans="1:25" x14ac:dyDescent="0.25">
      <c r="A372" s="121" t="s">
        <v>485</v>
      </c>
      <c r="B372" s="103">
        <f>_xlfn.XLOOKUP(A372,'[2]FRV Output'!$B:$B,'[2]FRV Output'!$F:$F)</f>
        <v>1588805014</v>
      </c>
      <c r="C372" s="104">
        <v>3</v>
      </c>
      <c r="D372" s="104">
        <v>2016</v>
      </c>
      <c r="E372" s="105">
        <v>95117</v>
      </c>
      <c r="F372" s="106" t="s">
        <v>528</v>
      </c>
      <c r="G372" s="104"/>
      <c r="H372" s="104"/>
      <c r="I372" s="105"/>
      <c r="J372" s="106" t="s">
        <v>528</v>
      </c>
      <c r="K372" s="104"/>
      <c r="L372" s="104"/>
      <c r="M372" s="105"/>
      <c r="N372" s="106" t="s">
        <v>528</v>
      </c>
      <c r="O372" s="104"/>
      <c r="P372" s="104"/>
      <c r="Q372" s="105"/>
      <c r="R372" s="106" t="s">
        <v>528</v>
      </c>
      <c r="S372" s="104"/>
      <c r="T372" s="104"/>
      <c r="U372" s="105"/>
      <c r="V372" s="106" t="s">
        <v>528</v>
      </c>
      <c r="W372" s="104"/>
      <c r="X372" s="104"/>
      <c r="Y372" s="105"/>
    </row>
    <row r="373" spans="1:25" x14ac:dyDescent="0.25">
      <c r="A373" s="103" t="s">
        <v>691</v>
      </c>
      <c r="B373" s="103">
        <f>_xlfn.XLOOKUP(A373,'[2]FRV Output'!$B:$B,'[2]FRV Output'!$F:$F)</f>
        <v>1669408969</v>
      </c>
      <c r="C373" s="104">
        <v>3</v>
      </c>
      <c r="D373" s="104">
        <v>2020</v>
      </c>
      <c r="E373" s="105">
        <v>2770833</v>
      </c>
      <c r="F373" s="106" t="s">
        <v>528</v>
      </c>
      <c r="G373" s="104"/>
      <c r="H373" s="104"/>
      <c r="I373" s="105"/>
      <c r="J373" s="106" t="s">
        <v>528</v>
      </c>
      <c r="K373" s="104"/>
      <c r="L373" s="104"/>
      <c r="M373" s="105"/>
      <c r="N373" s="106" t="s">
        <v>528</v>
      </c>
      <c r="O373" s="104"/>
      <c r="P373" s="104"/>
      <c r="Q373" s="105"/>
      <c r="R373" s="106" t="s">
        <v>528</v>
      </c>
      <c r="S373" s="104"/>
      <c r="T373" s="104"/>
      <c r="U373" s="105"/>
      <c r="V373" s="106" t="s">
        <v>528</v>
      </c>
      <c r="W373" s="104"/>
      <c r="X373" s="104"/>
      <c r="Y373" s="105"/>
    </row>
    <row r="374" spans="1:25" x14ac:dyDescent="0.25">
      <c r="A374" s="103" t="s">
        <v>487</v>
      </c>
      <c r="B374" s="103">
        <f>_xlfn.XLOOKUP(A374,'[2]FRV Output'!$B:$B,'[2]FRV Output'!$F:$F)</f>
        <v>1689640583</v>
      </c>
      <c r="C374" s="104">
        <v>3</v>
      </c>
      <c r="D374" s="104">
        <v>2018</v>
      </c>
      <c r="E374" s="105">
        <v>128868</v>
      </c>
      <c r="F374" s="106" t="s">
        <v>528</v>
      </c>
      <c r="G374" s="104">
        <v>3</v>
      </c>
      <c r="H374" s="104">
        <v>2021</v>
      </c>
      <c r="I374" s="105">
        <v>71274</v>
      </c>
      <c r="J374" s="106" t="s">
        <v>528</v>
      </c>
      <c r="K374" s="104"/>
      <c r="L374" s="104"/>
      <c r="M374" s="105"/>
      <c r="N374" s="106" t="s">
        <v>528</v>
      </c>
      <c r="O374" s="104"/>
      <c r="P374" s="104"/>
      <c r="Q374" s="105"/>
      <c r="R374" s="106" t="s">
        <v>528</v>
      </c>
      <c r="S374" s="104"/>
      <c r="T374" s="104"/>
      <c r="U374" s="105"/>
      <c r="V374" s="106" t="s">
        <v>528</v>
      </c>
      <c r="W374" s="104"/>
      <c r="X374" s="104"/>
      <c r="Y374" s="105"/>
    </row>
    <row r="375" spans="1:25" x14ac:dyDescent="0.25">
      <c r="A375" s="103" t="s">
        <v>488</v>
      </c>
      <c r="B375" s="103">
        <f>_xlfn.XLOOKUP(A375,'[2]FRV Output'!$B:$B,'[2]FRV Output'!$F:$F)</f>
        <v>1831125285</v>
      </c>
      <c r="C375" s="104">
        <v>3</v>
      </c>
      <c r="D375" s="104">
        <v>2016</v>
      </c>
      <c r="E375" s="105">
        <v>42465</v>
      </c>
      <c r="F375" s="106" t="s">
        <v>528</v>
      </c>
      <c r="G375" s="104">
        <v>3</v>
      </c>
      <c r="H375" s="104">
        <v>2017</v>
      </c>
      <c r="I375" s="105">
        <v>47234</v>
      </c>
      <c r="J375" s="106" t="s">
        <v>528</v>
      </c>
      <c r="K375" s="104">
        <v>3</v>
      </c>
      <c r="L375" s="104">
        <v>2020</v>
      </c>
      <c r="M375" s="105">
        <v>48348</v>
      </c>
      <c r="N375" s="106" t="s">
        <v>528</v>
      </c>
      <c r="O375" s="104"/>
      <c r="P375" s="104"/>
      <c r="Q375" s="105"/>
      <c r="R375" s="106" t="s">
        <v>528</v>
      </c>
      <c r="S375" s="104"/>
      <c r="T375" s="104"/>
      <c r="U375" s="105"/>
      <c r="V375" s="106" t="s">
        <v>528</v>
      </c>
      <c r="W375" s="104"/>
      <c r="X375" s="104"/>
      <c r="Y375" s="105"/>
    </row>
    <row r="376" spans="1:25" x14ac:dyDescent="0.25">
      <c r="A376" s="103" t="s">
        <v>489</v>
      </c>
      <c r="B376" s="103">
        <f>_xlfn.XLOOKUP(A376,'[2]FRV Output'!$B:$B,'[2]FRV Output'!$F:$F)</f>
        <v>1871063214</v>
      </c>
      <c r="C376" s="104">
        <v>3</v>
      </c>
      <c r="D376" s="104">
        <v>2016</v>
      </c>
      <c r="E376" s="105">
        <v>123096</v>
      </c>
      <c r="F376" s="106" t="s">
        <v>528</v>
      </c>
      <c r="G376" s="104">
        <v>3</v>
      </c>
      <c r="H376" s="104">
        <v>2017</v>
      </c>
      <c r="I376" s="105">
        <v>290865</v>
      </c>
      <c r="J376" s="106" t="s">
        <v>528</v>
      </c>
      <c r="K376" s="104">
        <v>3</v>
      </c>
      <c r="L376" s="104">
        <v>2018</v>
      </c>
      <c r="M376" s="105">
        <v>59742</v>
      </c>
      <c r="N376" s="106" t="s">
        <v>528</v>
      </c>
      <c r="O376" s="104"/>
      <c r="P376" s="104"/>
      <c r="Q376" s="105"/>
      <c r="R376" s="106" t="s">
        <v>528</v>
      </c>
      <c r="S376" s="104"/>
      <c r="T376" s="104"/>
      <c r="U376" s="105"/>
      <c r="V376" s="106" t="s">
        <v>528</v>
      </c>
      <c r="W376" s="104"/>
      <c r="X376" s="104"/>
      <c r="Y376" s="105"/>
    </row>
    <row r="377" spans="1:25" x14ac:dyDescent="0.25">
      <c r="A377" s="107" t="s">
        <v>490</v>
      </c>
      <c r="B377" s="103">
        <f>_xlfn.XLOOKUP(A377,'[2]FRV Output'!$B:$B,'[2]FRV Output'!$F:$F)</f>
        <v>1629515499</v>
      </c>
      <c r="C377" s="104">
        <v>3</v>
      </c>
      <c r="D377" s="104">
        <v>2018</v>
      </c>
      <c r="E377" s="105">
        <v>147269</v>
      </c>
      <c r="F377" s="106" t="s">
        <v>528</v>
      </c>
      <c r="G377" s="104">
        <v>3</v>
      </c>
      <c r="H377" s="104">
        <v>2019</v>
      </c>
      <c r="I377" s="105">
        <v>64739</v>
      </c>
      <c r="J377" s="106" t="s">
        <v>528</v>
      </c>
      <c r="K377" s="104"/>
      <c r="L377" s="104"/>
      <c r="M377" s="105"/>
      <c r="N377" s="106" t="s">
        <v>528</v>
      </c>
      <c r="O377" s="104"/>
      <c r="P377" s="104"/>
      <c r="Q377" s="105"/>
      <c r="R377" s="106" t="s">
        <v>528</v>
      </c>
      <c r="S377" s="104"/>
      <c r="T377" s="104"/>
      <c r="U377" s="105"/>
      <c r="V377" s="106" t="s">
        <v>528</v>
      </c>
      <c r="W377" s="104"/>
      <c r="X377" s="104"/>
      <c r="Y377" s="105"/>
    </row>
    <row r="378" spans="1:25" x14ac:dyDescent="0.25">
      <c r="A378" s="107" t="s">
        <v>692</v>
      </c>
      <c r="B378" s="103">
        <f>_xlfn.XLOOKUP(A378,'[2]FRV Output'!$B:$B,'[2]FRV Output'!$F:$F)</f>
        <v>1134660103</v>
      </c>
      <c r="C378" s="104">
        <v>3</v>
      </c>
      <c r="D378" s="104">
        <v>2017</v>
      </c>
      <c r="E378" s="105">
        <v>118998</v>
      </c>
      <c r="F378" s="106" t="s">
        <v>528</v>
      </c>
      <c r="G378" s="104">
        <v>3</v>
      </c>
      <c r="H378" s="104">
        <v>2018</v>
      </c>
      <c r="I378" s="105">
        <v>594009</v>
      </c>
      <c r="J378" s="106" t="s">
        <v>528</v>
      </c>
      <c r="K378" s="104">
        <v>3</v>
      </c>
      <c r="L378" s="104">
        <v>2019</v>
      </c>
      <c r="M378" s="105">
        <v>993059</v>
      </c>
      <c r="N378" s="106" t="s">
        <v>528</v>
      </c>
      <c r="O378" s="104">
        <v>3</v>
      </c>
      <c r="P378" s="104">
        <v>2020</v>
      </c>
      <c r="Q378" s="105">
        <v>91112</v>
      </c>
      <c r="R378" s="106" t="s">
        <v>528</v>
      </c>
      <c r="S378" s="104"/>
      <c r="T378" s="104"/>
      <c r="U378" s="105"/>
      <c r="V378" s="106" t="s">
        <v>528</v>
      </c>
      <c r="W378" s="104"/>
      <c r="X378" s="104"/>
      <c r="Y378" s="105"/>
    </row>
    <row r="379" spans="1:25" x14ac:dyDescent="0.25">
      <c r="A379" s="103" t="s">
        <v>492</v>
      </c>
      <c r="B379" s="103">
        <f>_xlfn.XLOOKUP(A379,'[2]FRV Output'!$B:$B,'[2]FRV Output'!$F:$F)</f>
        <v>1447736087</v>
      </c>
      <c r="C379" s="104">
        <v>3</v>
      </c>
      <c r="D379" s="104">
        <v>2018</v>
      </c>
      <c r="E379" s="105">
        <v>218575</v>
      </c>
      <c r="F379" s="106" t="s">
        <v>528</v>
      </c>
      <c r="G379" s="104">
        <v>3</v>
      </c>
      <c r="H379" s="104">
        <v>2021</v>
      </c>
      <c r="I379" s="105">
        <v>46040</v>
      </c>
      <c r="J379" s="106" t="s">
        <v>528</v>
      </c>
      <c r="K379" s="104"/>
      <c r="L379" s="104"/>
      <c r="M379" s="105"/>
      <c r="N379" s="106" t="s">
        <v>528</v>
      </c>
      <c r="O379" s="104"/>
      <c r="P379" s="104"/>
      <c r="Q379" s="105"/>
      <c r="R379" s="106" t="s">
        <v>528</v>
      </c>
      <c r="S379" s="104"/>
      <c r="T379" s="104"/>
      <c r="U379" s="105"/>
      <c r="V379" s="106" t="s">
        <v>528</v>
      </c>
      <c r="W379" s="104"/>
      <c r="X379" s="104"/>
      <c r="Y379" s="105"/>
    </row>
    <row r="380" spans="1:25" x14ac:dyDescent="0.25">
      <c r="A380" s="107" t="s">
        <v>693</v>
      </c>
      <c r="B380" s="103">
        <f>_xlfn.XLOOKUP(A380,'[2]FRV Output'!$B:$B,'[2]FRV Output'!$F:$F)</f>
        <v>1366418246</v>
      </c>
      <c r="C380" s="104"/>
      <c r="D380" s="104"/>
      <c r="E380" s="105"/>
      <c r="F380" s="106" t="s">
        <v>528</v>
      </c>
      <c r="G380" s="104"/>
      <c r="H380" s="104"/>
      <c r="I380" s="105"/>
      <c r="J380" s="106" t="s">
        <v>528</v>
      </c>
      <c r="K380" s="104"/>
      <c r="L380" s="104"/>
      <c r="M380" s="105"/>
      <c r="N380" s="106" t="s">
        <v>528</v>
      </c>
      <c r="O380" s="104"/>
      <c r="P380" s="104"/>
      <c r="Q380" s="105"/>
      <c r="R380" s="106" t="s">
        <v>528</v>
      </c>
      <c r="S380" s="104"/>
      <c r="T380" s="104"/>
      <c r="U380" s="105"/>
      <c r="V380" s="106" t="s">
        <v>528</v>
      </c>
      <c r="W380" s="104"/>
      <c r="X380" s="104"/>
      <c r="Y380" s="105"/>
    </row>
    <row r="381" spans="1:25" x14ac:dyDescent="0.25">
      <c r="A381" s="107" t="s">
        <v>694</v>
      </c>
      <c r="B381" s="103">
        <f>_xlfn.XLOOKUP(A381,'[2]FRV Output'!$B:$B,'[2]FRV Output'!$F:$F)</f>
        <v>1124094008</v>
      </c>
      <c r="C381" s="104"/>
      <c r="D381" s="104"/>
      <c r="E381" s="105"/>
      <c r="F381" s="106" t="s">
        <v>528</v>
      </c>
      <c r="G381" s="104"/>
      <c r="H381" s="104"/>
      <c r="I381" s="105"/>
      <c r="J381" s="106" t="s">
        <v>528</v>
      </c>
      <c r="K381" s="104"/>
      <c r="L381" s="104"/>
      <c r="M381" s="105"/>
      <c r="N381" s="106" t="s">
        <v>528</v>
      </c>
      <c r="O381" s="104"/>
      <c r="P381" s="104"/>
      <c r="Q381" s="105"/>
      <c r="R381" s="106" t="s">
        <v>528</v>
      </c>
      <c r="S381" s="104"/>
      <c r="T381" s="104"/>
      <c r="U381" s="105"/>
      <c r="V381" s="106" t="s">
        <v>528</v>
      </c>
      <c r="W381" s="104"/>
      <c r="X381" s="104"/>
      <c r="Y381" s="105"/>
    </row>
    <row r="382" spans="1:25" x14ac:dyDescent="0.25">
      <c r="A382" s="103" t="s">
        <v>493</v>
      </c>
      <c r="B382" s="103">
        <f>_xlfn.XLOOKUP(A382,'[2]FRV Output'!$B:$B,'[2]FRV Output'!$F:$F)</f>
        <v>1659319366</v>
      </c>
      <c r="C382" s="104">
        <v>3</v>
      </c>
      <c r="D382" s="104">
        <v>2016</v>
      </c>
      <c r="E382" s="105">
        <v>0</v>
      </c>
      <c r="F382" s="106" t="s">
        <v>528</v>
      </c>
      <c r="G382" s="104">
        <v>3</v>
      </c>
      <c r="H382" s="104">
        <v>2017</v>
      </c>
      <c r="I382" s="105">
        <v>141755</v>
      </c>
      <c r="J382" s="106" t="s">
        <v>528</v>
      </c>
      <c r="K382" s="104">
        <v>3</v>
      </c>
      <c r="L382" s="104">
        <v>2018</v>
      </c>
      <c r="M382" s="105">
        <v>82784</v>
      </c>
      <c r="N382" s="106" t="s">
        <v>528</v>
      </c>
      <c r="O382" s="104"/>
      <c r="P382" s="104"/>
      <c r="Q382" s="105"/>
      <c r="R382" s="106" t="s">
        <v>528</v>
      </c>
      <c r="S382" s="104"/>
      <c r="T382" s="104"/>
      <c r="U382" s="105"/>
      <c r="V382" s="106" t="s">
        <v>528</v>
      </c>
      <c r="W382" s="104"/>
      <c r="X382" s="104"/>
      <c r="Y382" s="105"/>
    </row>
    <row r="383" spans="1:25" x14ac:dyDescent="0.25">
      <c r="A383" s="107" t="s">
        <v>494</v>
      </c>
      <c r="B383" s="103">
        <f>_xlfn.XLOOKUP(A383,'[2]FRV Output'!$B:$B,'[2]FRV Output'!$F:$F)</f>
        <v>1972050276</v>
      </c>
      <c r="C383" s="104">
        <v>3</v>
      </c>
      <c r="D383" s="104">
        <v>2019</v>
      </c>
      <c r="E383" s="105">
        <v>241620</v>
      </c>
      <c r="F383" s="106" t="s">
        <v>528</v>
      </c>
      <c r="G383" s="104">
        <v>3</v>
      </c>
      <c r="H383" s="104">
        <v>2021</v>
      </c>
      <c r="I383" s="105">
        <v>240285</v>
      </c>
      <c r="J383" s="106" t="s">
        <v>528</v>
      </c>
      <c r="K383" s="104"/>
      <c r="L383" s="104"/>
      <c r="M383" s="105"/>
      <c r="N383" s="106" t="s">
        <v>528</v>
      </c>
      <c r="O383" s="104"/>
      <c r="P383" s="104"/>
      <c r="Q383" s="105"/>
      <c r="R383" s="106" t="s">
        <v>528</v>
      </c>
      <c r="S383" s="104"/>
      <c r="T383" s="104"/>
      <c r="U383" s="105"/>
      <c r="V383" s="106" t="s">
        <v>528</v>
      </c>
      <c r="W383" s="104"/>
      <c r="X383" s="104"/>
      <c r="Y383" s="105"/>
    </row>
    <row r="384" spans="1:25" x14ac:dyDescent="0.25">
      <c r="A384" s="103" t="s">
        <v>695</v>
      </c>
      <c r="B384" s="103">
        <f>_xlfn.XLOOKUP(A384,'[2]FRV Output'!$B:$B,'[2]FRV Output'!$F:$F)</f>
        <v>1023386190</v>
      </c>
      <c r="C384" s="104"/>
      <c r="D384" s="104"/>
      <c r="E384" s="105"/>
      <c r="F384" s="106" t="s">
        <v>528</v>
      </c>
      <c r="G384" s="104"/>
      <c r="H384" s="104"/>
      <c r="I384" s="105"/>
      <c r="J384" s="106" t="s">
        <v>528</v>
      </c>
      <c r="K384" s="104"/>
      <c r="L384" s="104"/>
      <c r="M384" s="105"/>
      <c r="N384" s="106" t="s">
        <v>528</v>
      </c>
      <c r="O384" s="104"/>
      <c r="P384" s="104"/>
      <c r="Q384" s="105"/>
      <c r="R384" s="106" t="s">
        <v>528</v>
      </c>
      <c r="S384" s="104"/>
      <c r="T384" s="104"/>
      <c r="U384" s="105"/>
      <c r="V384" s="106" t="s">
        <v>528</v>
      </c>
      <c r="W384" s="104"/>
      <c r="X384" s="104"/>
      <c r="Y384" s="105"/>
    </row>
    <row r="385" spans="1:25" x14ac:dyDescent="0.25">
      <c r="A385" s="103" t="s">
        <v>696</v>
      </c>
      <c r="B385" s="103">
        <f>_xlfn.XLOOKUP(A385,'[2]FRV Output'!$B:$B,'[2]FRV Output'!$F:$F)</f>
        <v>1154369841</v>
      </c>
      <c r="C385" s="104">
        <v>3</v>
      </c>
      <c r="D385" s="104">
        <v>2016</v>
      </c>
      <c r="E385" s="105">
        <v>40585</v>
      </c>
      <c r="F385" s="106" t="s">
        <v>528</v>
      </c>
      <c r="G385" s="104">
        <v>3</v>
      </c>
      <c r="H385" s="104">
        <v>2018</v>
      </c>
      <c r="I385" s="105">
        <v>94699</v>
      </c>
      <c r="J385" s="106" t="s">
        <v>528</v>
      </c>
      <c r="K385" s="104">
        <v>3</v>
      </c>
      <c r="L385" s="104">
        <v>2020</v>
      </c>
      <c r="M385" s="105">
        <v>51908</v>
      </c>
      <c r="N385" s="106" t="s">
        <v>528</v>
      </c>
      <c r="O385" s="104">
        <v>3</v>
      </c>
      <c r="P385" s="104">
        <v>2021</v>
      </c>
      <c r="Q385" s="105">
        <v>61996</v>
      </c>
      <c r="R385" s="106" t="s">
        <v>528</v>
      </c>
      <c r="S385" s="104"/>
      <c r="T385" s="104"/>
      <c r="U385" s="105"/>
      <c r="V385" s="106" t="s">
        <v>528</v>
      </c>
      <c r="W385" s="104"/>
      <c r="X385" s="104"/>
      <c r="Y385" s="105"/>
    </row>
    <row r="386" spans="1:25" x14ac:dyDescent="0.25">
      <c r="A386" s="107" t="s">
        <v>497</v>
      </c>
      <c r="B386" s="103">
        <f>_xlfn.XLOOKUP(A386,'[2]FRV Output'!$B:$B,'[2]FRV Output'!$F:$F)</f>
        <v>1639153919</v>
      </c>
      <c r="C386" s="104">
        <v>3</v>
      </c>
      <c r="D386" s="104">
        <v>2016</v>
      </c>
      <c r="E386" s="105">
        <v>42469</v>
      </c>
      <c r="F386" s="106" t="s">
        <v>528</v>
      </c>
      <c r="G386" s="104">
        <v>3</v>
      </c>
      <c r="H386" s="104">
        <v>2017</v>
      </c>
      <c r="I386" s="105">
        <v>54361</v>
      </c>
      <c r="J386" s="106" t="s">
        <v>528</v>
      </c>
      <c r="K386" s="104">
        <v>3</v>
      </c>
      <c r="L386" s="104">
        <v>2018</v>
      </c>
      <c r="M386" s="105">
        <v>58672</v>
      </c>
      <c r="N386" s="106" t="s">
        <v>528</v>
      </c>
      <c r="O386" s="104">
        <v>3</v>
      </c>
      <c r="P386" s="104">
        <v>2019</v>
      </c>
      <c r="Q386" s="105">
        <v>47012</v>
      </c>
      <c r="R386" s="106" t="s">
        <v>528</v>
      </c>
      <c r="S386" s="104">
        <v>3</v>
      </c>
      <c r="T386" s="104">
        <v>2020</v>
      </c>
      <c r="U386" s="105">
        <v>32219</v>
      </c>
      <c r="V386" s="106" t="s">
        <v>528</v>
      </c>
      <c r="W386" s="104"/>
      <c r="X386" s="104"/>
      <c r="Y386" s="105"/>
    </row>
    <row r="387" spans="1:25" x14ac:dyDescent="0.25">
      <c r="A387" s="103" t="s">
        <v>498</v>
      </c>
      <c r="B387" s="103">
        <f>_xlfn.XLOOKUP(A387,'[2]FRV Output'!$B:$B,'[2]FRV Output'!$F:$F)</f>
        <v>1043314602</v>
      </c>
      <c r="C387" s="104">
        <v>3</v>
      </c>
      <c r="D387" s="104">
        <v>2017</v>
      </c>
      <c r="E387" s="105">
        <v>135625</v>
      </c>
      <c r="F387" s="106" t="s">
        <v>528</v>
      </c>
      <c r="G387" s="104">
        <v>3</v>
      </c>
      <c r="H387" s="104">
        <v>2018</v>
      </c>
      <c r="I387" s="105">
        <v>432063</v>
      </c>
      <c r="J387" s="106" t="s">
        <v>528</v>
      </c>
      <c r="K387" s="104">
        <v>3</v>
      </c>
      <c r="L387" s="104">
        <v>2021</v>
      </c>
      <c r="M387" s="105">
        <v>244839</v>
      </c>
      <c r="N387" s="106" t="s">
        <v>528</v>
      </c>
      <c r="O387" s="104"/>
      <c r="P387" s="104"/>
      <c r="Q387" s="105"/>
      <c r="R387" s="106" t="s">
        <v>528</v>
      </c>
      <c r="S387" s="104"/>
      <c r="T387" s="104"/>
      <c r="U387" s="105"/>
      <c r="V387" s="106" t="s">
        <v>528</v>
      </c>
      <c r="W387" s="104"/>
      <c r="X387" s="104"/>
      <c r="Y387" s="105"/>
    </row>
    <row r="388" spans="1:25" x14ac:dyDescent="0.25">
      <c r="A388" s="107" t="s">
        <v>697</v>
      </c>
      <c r="B388" s="103">
        <f>_xlfn.XLOOKUP(A388,'[2]FRV Output'!$B:$B,'[2]FRV Output'!$F:$F)</f>
        <v>1891740544</v>
      </c>
      <c r="C388" s="104">
        <v>3</v>
      </c>
      <c r="D388" s="104">
        <v>2019</v>
      </c>
      <c r="E388" s="105">
        <v>80421</v>
      </c>
      <c r="F388" s="106" t="s">
        <v>528</v>
      </c>
      <c r="G388" s="104">
        <v>3</v>
      </c>
      <c r="H388" s="104">
        <v>2021</v>
      </c>
      <c r="I388" s="105">
        <v>50912</v>
      </c>
      <c r="J388" s="106" t="s">
        <v>528</v>
      </c>
      <c r="K388" s="104"/>
      <c r="L388" s="104"/>
      <c r="M388" s="105"/>
      <c r="N388" s="106" t="s">
        <v>528</v>
      </c>
      <c r="O388" s="104"/>
      <c r="P388" s="104"/>
      <c r="Q388" s="105"/>
      <c r="R388" s="106" t="s">
        <v>528</v>
      </c>
      <c r="S388" s="104"/>
      <c r="T388" s="104"/>
      <c r="U388" s="105"/>
      <c r="V388" s="106" t="s">
        <v>528</v>
      </c>
      <c r="W388" s="104"/>
      <c r="X388" s="104"/>
      <c r="Y388" s="105"/>
    </row>
    <row r="389" spans="1:25" x14ac:dyDescent="0.25">
      <c r="A389" s="103" t="s">
        <v>500</v>
      </c>
      <c r="B389" s="103">
        <f>_xlfn.XLOOKUP(A389,'[2]FRV Output'!$B:$B,'[2]FRV Output'!$F:$F)</f>
        <v>1700821865</v>
      </c>
      <c r="C389" s="104">
        <v>3</v>
      </c>
      <c r="D389" s="104">
        <v>2017</v>
      </c>
      <c r="E389" s="105">
        <v>58596</v>
      </c>
      <c r="F389" s="106" t="s">
        <v>528</v>
      </c>
      <c r="G389" s="104">
        <v>3</v>
      </c>
      <c r="H389" s="104">
        <v>2018</v>
      </c>
      <c r="I389" s="105">
        <v>53896</v>
      </c>
      <c r="J389" s="106" t="s">
        <v>528</v>
      </c>
      <c r="K389" s="104">
        <v>3</v>
      </c>
      <c r="L389" s="104">
        <v>2021</v>
      </c>
      <c r="M389" s="105">
        <v>81032</v>
      </c>
      <c r="N389" s="106" t="s">
        <v>528</v>
      </c>
      <c r="O389" s="104"/>
      <c r="P389" s="104"/>
      <c r="Q389" s="105"/>
      <c r="R389" s="106" t="s">
        <v>528</v>
      </c>
      <c r="S389" s="104"/>
      <c r="T389" s="104"/>
      <c r="U389" s="105"/>
      <c r="V389" s="106" t="s">
        <v>528</v>
      </c>
      <c r="W389" s="104"/>
      <c r="X389" s="104"/>
      <c r="Y389" s="105"/>
    </row>
    <row r="390" spans="1:25" x14ac:dyDescent="0.25">
      <c r="A390" s="103" t="s">
        <v>698</v>
      </c>
      <c r="B390" s="103">
        <f>_xlfn.XLOOKUP(A390,'[2]FRV Output'!$B:$B,'[2]FRV Output'!$F:$F)</f>
        <v>1184650541</v>
      </c>
      <c r="C390" s="104">
        <v>3</v>
      </c>
      <c r="D390" s="104">
        <v>2017</v>
      </c>
      <c r="E390" s="105">
        <v>203573</v>
      </c>
      <c r="F390" s="106" t="s">
        <v>528</v>
      </c>
      <c r="G390" s="104"/>
      <c r="H390" s="104"/>
      <c r="I390" s="105"/>
      <c r="J390" s="106" t="s">
        <v>528</v>
      </c>
      <c r="K390" s="104"/>
      <c r="L390" s="104"/>
      <c r="M390" s="105"/>
      <c r="N390" s="106" t="s">
        <v>528</v>
      </c>
      <c r="O390" s="104"/>
      <c r="P390" s="104"/>
      <c r="Q390" s="105"/>
      <c r="R390" s="106" t="s">
        <v>528</v>
      </c>
      <c r="S390" s="104"/>
      <c r="T390" s="104"/>
      <c r="U390" s="105"/>
      <c r="V390" s="106" t="s">
        <v>528</v>
      </c>
      <c r="W390" s="104"/>
      <c r="X390" s="104"/>
      <c r="Y390" s="105"/>
    </row>
    <row r="391" spans="1:25" x14ac:dyDescent="0.25">
      <c r="A391" s="103" t="s">
        <v>502</v>
      </c>
      <c r="B391" s="103">
        <f>_xlfn.XLOOKUP(A391,'[2]FRV Output'!$B:$B,'[2]FRV Output'!$F:$F)</f>
        <v>1902853781</v>
      </c>
      <c r="C391" s="104">
        <v>3</v>
      </c>
      <c r="D391" s="104">
        <v>2016</v>
      </c>
      <c r="E391" s="105">
        <v>267359</v>
      </c>
      <c r="F391" s="106" t="s">
        <v>528</v>
      </c>
      <c r="G391" s="104">
        <v>3</v>
      </c>
      <c r="H391" s="104">
        <v>2017</v>
      </c>
      <c r="I391" s="105">
        <v>105007</v>
      </c>
      <c r="J391" s="106" t="s">
        <v>528</v>
      </c>
      <c r="K391" s="104">
        <v>3</v>
      </c>
      <c r="L391" s="104">
        <v>2018</v>
      </c>
      <c r="M391" s="105">
        <v>78733</v>
      </c>
      <c r="N391" s="106" t="s">
        <v>528</v>
      </c>
      <c r="O391" s="104">
        <v>3</v>
      </c>
      <c r="P391" s="104">
        <v>2020</v>
      </c>
      <c r="Q391" s="105">
        <v>95486</v>
      </c>
      <c r="R391" s="106" t="s">
        <v>528</v>
      </c>
      <c r="S391" s="104">
        <v>3</v>
      </c>
      <c r="T391" s="104">
        <v>2021</v>
      </c>
      <c r="U391" s="105">
        <v>130330</v>
      </c>
      <c r="V391" s="106" t="s">
        <v>528</v>
      </c>
      <c r="W391" s="104"/>
      <c r="X391" s="104"/>
      <c r="Y391" s="105"/>
    </row>
    <row r="392" spans="1:25" x14ac:dyDescent="0.25">
      <c r="A392" s="107" t="s">
        <v>503</v>
      </c>
      <c r="B392" s="103">
        <f>_xlfn.XLOOKUP(A392,'[2]FRV Output'!$B:$B,'[2]FRV Output'!$F:$F)</f>
        <v>1235264219</v>
      </c>
      <c r="C392" s="104">
        <v>3</v>
      </c>
      <c r="D392" s="104">
        <v>2016</v>
      </c>
      <c r="E392" s="105">
        <v>227903</v>
      </c>
      <c r="F392" s="106" t="s">
        <v>528</v>
      </c>
      <c r="G392" s="104">
        <v>3</v>
      </c>
      <c r="H392" s="104">
        <v>2017</v>
      </c>
      <c r="I392" s="105">
        <v>145608</v>
      </c>
      <c r="J392" s="106" t="s">
        <v>528</v>
      </c>
      <c r="K392" s="104">
        <v>3</v>
      </c>
      <c r="L392" s="104">
        <v>2018</v>
      </c>
      <c r="M392" s="105">
        <v>98790</v>
      </c>
      <c r="N392" s="106" t="s">
        <v>528</v>
      </c>
      <c r="O392" s="104">
        <v>3</v>
      </c>
      <c r="P392" s="104">
        <v>2019</v>
      </c>
      <c r="Q392" s="105">
        <v>618173</v>
      </c>
      <c r="R392" s="106" t="s">
        <v>528</v>
      </c>
      <c r="S392" s="104">
        <v>3</v>
      </c>
      <c r="T392" s="104">
        <v>2020</v>
      </c>
      <c r="U392" s="105">
        <v>89068</v>
      </c>
      <c r="V392" s="106" t="s">
        <v>528</v>
      </c>
      <c r="W392" s="104">
        <v>3</v>
      </c>
      <c r="X392" s="104">
        <v>2021</v>
      </c>
      <c r="Y392" s="105">
        <v>115553</v>
      </c>
    </row>
    <row r="393" spans="1:25" x14ac:dyDescent="0.25">
      <c r="A393" s="107" t="s">
        <v>504</v>
      </c>
      <c r="B393" s="103">
        <f>_xlfn.XLOOKUP(A393,'[2]FRV Output'!$B:$B,'[2]FRV Output'!$F:$F)</f>
        <v>1366577355</v>
      </c>
      <c r="C393" s="104">
        <v>3</v>
      </c>
      <c r="D393" s="104">
        <v>2016</v>
      </c>
      <c r="E393" s="105">
        <v>293981</v>
      </c>
      <c r="F393" s="106" t="s">
        <v>528</v>
      </c>
      <c r="G393" s="104">
        <v>3</v>
      </c>
      <c r="H393" s="104">
        <v>2017</v>
      </c>
      <c r="I393" s="105">
        <v>276094</v>
      </c>
      <c r="J393" s="106" t="s">
        <v>528</v>
      </c>
      <c r="K393" s="104">
        <v>3</v>
      </c>
      <c r="L393" s="104">
        <v>2018</v>
      </c>
      <c r="M393" s="105">
        <v>376835</v>
      </c>
      <c r="N393" s="106" t="s">
        <v>528</v>
      </c>
      <c r="O393" s="104">
        <v>3</v>
      </c>
      <c r="P393" s="104">
        <v>2019</v>
      </c>
      <c r="Q393" s="105">
        <v>147186</v>
      </c>
      <c r="R393" s="106" t="s">
        <v>528</v>
      </c>
      <c r="S393" s="104">
        <v>3</v>
      </c>
      <c r="T393" s="104">
        <v>2020</v>
      </c>
      <c r="U393" s="105">
        <v>176431</v>
      </c>
      <c r="V393" s="106" t="s">
        <v>528</v>
      </c>
      <c r="W393" s="104">
        <v>3</v>
      </c>
      <c r="X393" s="104">
        <v>2021</v>
      </c>
      <c r="Y393" s="105">
        <v>238626</v>
      </c>
    </row>
    <row r="394" spans="1:25" x14ac:dyDescent="0.25">
      <c r="A394" s="107" t="s">
        <v>505</v>
      </c>
      <c r="B394" s="103">
        <f>_xlfn.XLOOKUP(A394,'[2]FRV Output'!$B:$B,'[2]FRV Output'!$F:$F)</f>
        <v>1033244090</v>
      </c>
      <c r="C394" s="104">
        <v>3</v>
      </c>
      <c r="D394" s="104">
        <v>2016</v>
      </c>
      <c r="E394" s="105">
        <v>129521</v>
      </c>
      <c r="F394" s="106" t="s">
        <v>528</v>
      </c>
      <c r="G394" s="104">
        <v>3</v>
      </c>
      <c r="H394" s="104">
        <v>2017</v>
      </c>
      <c r="I394" s="105">
        <v>195624</v>
      </c>
      <c r="J394" s="106" t="s">
        <v>528</v>
      </c>
      <c r="K394" s="104">
        <v>3</v>
      </c>
      <c r="L394" s="104">
        <v>2018</v>
      </c>
      <c r="M394" s="105">
        <v>227969</v>
      </c>
      <c r="N394" s="106" t="s">
        <v>528</v>
      </c>
      <c r="O394" s="104">
        <v>3</v>
      </c>
      <c r="P394" s="104">
        <v>2019</v>
      </c>
      <c r="Q394" s="105">
        <v>336176</v>
      </c>
      <c r="R394" s="106" t="s">
        <v>528</v>
      </c>
      <c r="S394" s="104">
        <v>3</v>
      </c>
      <c r="T394" s="104">
        <v>2020</v>
      </c>
      <c r="U394" s="105">
        <v>172774</v>
      </c>
      <c r="V394" s="106" t="s">
        <v>528</v>
      </c>
      <c r="W394" s="104">
        <v>3</v>
      </c>
      <c r="X394" s="104">
        <v>2021</v>
      </c>
      <c r="Y394" s="105">
        <v>260286</v>
      </c>
    </row>
    <row r="395" spans="1:25" x14ac:dyDescent="0.25">
      <c r="A395" s="103" t="s">
        <v>506</v>
      </c>
      <c r="B395" s="103">
        <f>_xlfn.XLOOKUP(A395,'[2]FRV Output'!$B:$B,'[2]FRV Output'!$F:$F)</f>
        <v>1770618720</v>
      </c>
      <c r="C395" s="104">
        <v>3</v>
      </c>
      <c r="D395" s="104">
        <v>2016</v>
      </c>
      <c r="E395" s="105">
        <v>741898</v>
      </c>
      <c r="F395" s="106" t="s">
        <v>528</v>
      </c>
      <c r="G395" s="104">
        <v>3</v>
      </c>
      <c r="H395" s="104">
        <v>2017</v>
      </c>
      <c r="I395" s="105">
        <v>148076</v>
      </c>
      <c r="J395" s="106" t="s">
        <v>528</v>
      </c>
      <c r="K395" s="104">
        <v>3</v>
      </c>
      <c r="L395" s="104">
        <v>2018</v>
      </c>
      <c r="M395" s="105">
        <v>83512</v>
      </c>
      <c r="N395" s="106" t="s">
        <v>528</v>
      </c>
      <c r="O395" s="104">
        <v>3</v>
      </c>
      <c r="P395" s="104">
        <v>2020</v>
      </c>
      <c r="Q395" s="105">
        <v>87099</v>
      </c>
      <c r="R395" s="106" t="s">
        <v>528</v>
      </c>
      <c r="S395" s="104">
        <v>3</v>
      </c>
      <c r="T395" s="104">
        <v>2021</v>
      </c>
      <c r="U395" s="105">
        <v>108218</v>
      </c>
      <c r="V395" s="106" t="s">
        <v>528</v>
      </c>
      <c r="W395" s="104"/>
      <c r="X395" s="104"/>
      <c r="Y395" s="105"/>
    </row>
    <row r="396" spans="1:25" x14ac:dyDescent="0.25">
      <c r="A396" s="107" t="s">
        <v>507</v>
      </c>
      <c r="B396" s="103">
        <f>_xlfn.XLOOKUP(A396,'[2]FRV Output'!$B:$B,'[2]FRV Output'!$F:$F)</f>
        <v>1356476311</v>
      </c>
      <c r="C396" s="104">
        <v>3</v>
      </c>
      <c r="D396" s="104">
        <v>2016</v>
      </c>
      <c r="E396" s="105">
        <v>289885</v>
      </c>
      <c r="F396" s="106" t="s">
        <v>528</v>
      </c>
      <c r="G396" s="104">
        <v>3</v>
      </c>
      <c r="H396" s="104">
        <v>2017</v>
      </c>
      <c r="I396" s="105">
        <v>141051</v>
      </c>
      <c r="J396" s="106" t="s">
        <v>528</v>
      </c>
      <c r="K396" s="104">
        <v>3</v>
      </c>
      <c r="L396" s="104">
        <v>2018</v>
      </c>
      <c r="M396" s="105">
        <v>68079</v>
      </c>
      <c r="N396" s="106" t="s">
        <v>528</v>
      </c>
      <c r="O396" s="104">
        <v>3</v>
      </c>
      <c r="P396" s="104">
        <v>2019</v>
      </c>
      <c r="Q396" s="105">
        <v>62539</v>
      </c>
      <c r="R396" s="106" t="s">
        <v>528</v>
      </c>
      <c r="S396" s="104">
        <v>3</v>
      </c>
      <c r="T396" s="104">
        <v>2020</v>
      </c>
      <c r="U396" s="105">
        <v>111192</v>
      </c>
      <c r="V396" s="106" t="s">
        <v>528</v>
      </c>
      <c r="W396" s="104">
        <v>3</v>
      </c>
      <c r="X396" s="104">
        <v>2021</v>
      </c>
      <c r="Y396" s="105">
        <v>735855</v>
      </c>
    </row>
    <row r="397" spans="1:25" x14ac:dyDescent="0.25">
      <c r="A397" s="107" t="s">
        <v>699</v>
      </c>
      <c r="B397" s="103">
        <f>_xlfn.XLOOKUP(A397,'[2]FRV Output'!$B:$B,'[2]FRV Output'!$F:$F)</f>
        <v>1124342241</v>
      </c>
      <c r="C397" s="104">
        <v>3</v>
      </c>
      <c r="D397" s="104">
        <v>2016</v>
      </c>
      <c r="E397" s="105">
        <v>64105</v>
      </c>
      <c r="F397" s="106" t="s">
        <v>528</v>
      </c>
      <c r="G397" s="104">
        <v>3</v>
      </c>
      <c r="H397" s="104">
        <v>2018</v>
      </c>
      <c r="I397" s="105">
        <v>98930</v>
      </c>
      <c r="J397" s="106" t="s">
        <v>528</v>
      </c>
      <c r="K397" s="104">
        <v>3</v>
      </c>
      <c r="L397" s="104">
        <v>2019</v>
      </c>
      <c r="M397" s="105">
        <v>89527</v>
      </c>
      <c r="N397" s="106" t="s">
        <v>528</v>
      </c>
      <c r="O397" s="104">
        <v>3</v>
      </c>
      <c r="P397" s="104">
        <v>2020</v>
      </c>
      <c r="Q397" s="105">
        <v>80651</v>
      </c>
      <c r="R397" s="106" t="s">
        <v>528</v>
      </c>
      <c r="S397" s="104">
        <v>3</v>
      </c>
      <c r="T397" s="104">
        <v>2021</v>
      </c>
      <c r="U397" s="105">
        <v>119719</v>
      </c>
      <c r="V397" s="106" t="s">
        <v>528</v>
      </c>
      <c r="W397" s="104"/>
      <c r="X397" s="104"/>
      <c r="Y397" s="105"/>
    </row>
    <row r="398" spans="1:25" x14ac:dyDescent="0.25">
      <c r="A398" s="107" t="s">
        <v>700</v>
      </c>
      <c r="B398" s="103">
        <f>_xlfn.XLOOKUP(A398,'[2]FRV Output'!$B:$B,'[2]FRV Output'!$F:$F)</f>
        <v>1548230188</v>
      </c>
      <c r="C398" s="104"/>
      <c r="D398" s="104"/>
      <c r="E398" s="105"/>
      <c r="F398" s="106" t="s">
        <v>528</v>
      </c>
      <c r="G398" s="104"/>
      <c r="H398" s="104"/>
      <c r="I398" s="105"/>
      <c r="J398" s="106" t="s">
        <v>528</v>
      </c>
      <c r="K398" s="104"/>
      <c r="L398" s="104"/>
      <c r="M398" s="105"/>
      <c r="N398" s="106" t="s">
        <v>528</v>
      </c>
      <c r="O398" s="104"/>
      <c r="P398" s="104"/>
      <c r="Q398" s="105"/>
      <c r="R398" s="106" t="s">
        <v>528</v>
      </c>
      <c r="S398" s="104"/>
      <c r="T398" s="104"/>
      <c r="U398" s="105"/>
      <c r="V398" s="106" t="s">
        <v>528</v>
      </c>
      <c r="W398" s="104"/>
      <c r="X398" s="104"/>
      <c r="Y398" s="105"/>
    </row>
    <row r="399" spans="1:25" x14ac:dyDescent="0.25">
      <c r="A399" s="103" t="s">
        <v>511</v>
      </c>
      <c r="B399" s="103">
        <f>_xlfn.XLOOKUP(A399,'[2]FRV Output'!$B:$B,'[2]FRV Output'!$F:$F)</f>
        <v>1528606225</v>
      </c>
      <c r="C399" s="104">
        <v>3</v>
      </c>
      <c r="D399" s="104">
        <v>2016</v>
      </c>
      <c r="E399" s="105">
        <v>157077</v>
      </c>
      <c r="F399" s="106" t="s">
        <v>528</v>
      </c>
      <c r="G399" s="104">
        <v>3</v>
      </c>
      <c r="H399" s="104">
        <v>2020</v>
      </c>
      <c r="I399" s="105">
        <v>114755</v>
      </c>
      <c r="J399" s="106" t="s">
        <v>528</v>
      </c>
      <c r="K399" s="104">
        <v>3</v>
      </c>
      <c r="L399" s="104">
        <v>2021</v>
      </c>
      <c r="M399" s="105">
        <v>67622</v>
      </c>
      <c r="N399" s="106" t="s">
        <v>528</v>
      </c>
      <c r="O399" s="104"/>
      <c r="P399" s="104"/>
      <c r="Q399" s="105"/>
      <c r="R399" s="106" t="s">
        <v>528</v>
      </c>
      <c r="S399" s="104"/>
      <c r="T399" s="104"/>
      <c r="U399" s="105"/>
      <c r="V399" s="106" t="s">
        <v>528</v>
      </c>
      <c r="W399" s="104"/>
      <c r="X399" s="104"/>
      <c r="Y399" s="105"/>
    </row>
    <row r="400" spans="1:25" x14ac:dyDescent="0.25">
      <c r="A400" s="103" t="s">
        <v>701</v>
      </c>
      <c r="B400" s="103">
        <f>_xlfn.XLOOKUP(A400,'[2]FRV Output'!$B:$B,'[2]FRV Output'!$F:$F)</f>
        <v>1508802497</v>
      </c>
      <c r="C400" s="104"/>
      <c r="D400" s="104"/>
      <c r="E400" s="105"/>
      <c r="F400" s="106" t="s">
        <v>528</v>
      </c>
      <c r="G400" s="104"/>
      <c r="H400" s="104"/>
      <c r="I400" s="105"/>
      <c r="J400" s="106" t="s">
        <v>528</v>
      </c>
      <c r="K400" s="104"/>
      <c r="L400" s="104"/>
      <c r="M400" s="105"/>
      <c r="N400" s="106" t="s">
        <v>528</v>
      </c>
      <c r="O400" s="104"/>
      <c r="P400" s="104"/>
      <c r="Q400" s="105"/>
      <c r="R400" s="106" t="s">
        <v>528</v>
      </c>
      <c r="S400" s="104"/>
      <c r="T400" s="104"/>
      <c r="U400" s="105"/>
      <c r="V400" s="106" t="s">
        <v>528</v>
      </c>
      <c r="W400" s="104"/>
      <c r="X400" s="104"/>
      <c r="Y400" s="105"/>
    </row>
    <row r="401" spans="1:25" x14ac:dyDescent="0.25">
      <c r="A401" s="103" t="s">
        <v>513</v>
      </c>
      <c r="B401" s="103">
        <f>_xlfn.XLOOKUP(A401,'[2]FRV Output'!$B:$B,'[2]FRV Output'!$F:$F)</f>
        <v>1629425491</v>
      </c>
      <c r="C401" s="104">
        <v>1</v>
      </c>
      <c r="D401" s="104">
        <v>2019</v>
      </c>
      <c r="E401" s="105">
        <v>-14</v>
      </c>
      <c r="F401" s="106" t="s">
        <v>625</v>
      </c>
      <c r="G401" s="104"/>
      <c r="H401" s="104"/>
      <c r="I401" s="105"/>
      <c r="J401" s="106" t="s">
        <v>528</v>
      </c>
      <c r="K401" s="104"/>
      <c r="L401" s="104"/>
      <c r="M401" s="105"/>
      <c r="N401" s="106" t="s">
        <v>528</v>
      </c>
      <c r="O401" s="104"/>
      <c r="P401" s="104"/>
      <c r="Q401" s="105"/>
      <c r="R401" s="106" t="s">
        <v>528</v>
      </c>
      <c r="S401" s="104"/>
      <c r="T401" s="104"/>
      <c r="U401" s="105"/>
      <c r="V401" s="106" t="s">
        <v>528</v>
      </c>
      <c r="W401" s="104"/>
      <c r="X401" s="104"/>
      <c r="Y401" s="105"/>
    </row>
    <row r="402" spans="1:25" x14ac:dyDescent="0.25">
      <c r="A402" s="103" t="s">
        <v>514</v>
      </c>
      <c r="B402" s="103">
        <f>_xlfn.XLOOKUP(A402,'[2]FRV Output'!$B:$B,'[2]FRV Output'!$F:$F)</f>
        <v>1629016340</v>
      </c>
      <c r="C402" s="104">
        <v>3</v>
      </c>
      <c r="D402" s="104">
        <v>2017</v>
      </c>
      <c r="E402" s="105">
        <v>44210</v>
      </c>
      <c r="F402" s="106" t="s">
        <v>528</v>
      </c>
      <c r="G402" s="104">
        <v>3</v>
      </c>
      <c r="H402" s="104">
        <v>2021</v>
      </c>
      <c r="I402" s="105">
        <v>51375</v>
      </c>
      <c r="J402" s="106" t="s">
        <v>528</v>
      </c>
      <c r="K402" s="104"/>
      <c r="L402" s="104"/>
      <c r="M402" s="105"/>
      <c r="N402" s="106" t="s">
        <v>528</v>
      </c>
      <c r="O402" s="104"/>
      <c r="P402" s="104"/>
      <c r="Q402" s="105"/>
      <c r="R402" s="106" t="s">
        <v>528</v>
      </c>
      <c r="S402" s="104"/>
      <c r="T402" s="104"/>
      <c r="U402" s="105"/>
      <c r="V402" s="106" t="s">
        <v>528</v>
      </c>
      <c r="W402" s="104"/>
      <c r="X402" s="104"/>
      <c r="Y402" s="105"/>
    </row>
    <row r="403" spans="1:25" x14ac:dyDescent="0.25">
      <c r="A403" s="103" t="s">
        <v>515</v>
      </c>
      <c r="B403" s="103">
        <f>_xlfn.XLOOKUP(A403,'[2]FRV Output'!$B:$B,'[2]FRV Output'!$F:$F)</f>
        <v>1215979059</v>
      </c>
      <c r="C403" s="104">
        <v>3</v>
      </c>
      <c r="D403" s="104">
        <v>2016</v>
      </c>
      <c r="E403" s="105">
        <v>487980</v>
      </c>
      <c r="F403" s="106" t="s">
        <v>528</v>
      </c>
      <c r="G403" s="104">
        <v>3</v>
      </c>
      <c r="H403" s="104">
        <v>2018</v>
      </c>
      <c r="I403" s="105">
        <v>113861</v>
      </c>
      <c r="J403" s="106" t="s">
        <v>528</v>
      </c>
      <c r="K403" s="104">
        <v>3</v>
      </c>
      <c r="L403" s="104">
        <v>2020</v>
      </c>
      <c r="M403" s="105">
        <v>102873</v>
      </c>
      <c r="N403" s="106" t="s">
        <v>528</v>
      </c>
      <c r="O403" s="104">
        <v>3</v>
      </c>
      <c r="P403" s="104">
        <v>2021</v>
      </c>
      <c r="Q403" s="105">
        <v>51890</v>
      </c>
      <c r="R403" s="106" t="s">
        <v>528</v>
      </c>
      <c r="S403" s="104"/>
      <c r="T403" s="104"/>
      <c r="U403" s="105"/>
      <c r="V403" s="106" t="s">
        <v>528</v>
      </c>
      <c r="W403" s="104"/>
      <c r="X403" s="104"/>
      <c r="Y403" s="105"/>
    </row>
    <row r="404" spans="1:25" x14ac:dyDescent="0.25">
      <c r="A404" s="103" t="s">
        <v>702</v>
      </c>
      <c r="B404" s="103">
        <f>_xlfn.XLOOKUP(A404,'[2]FRV Output'!$B:$B,'[2]FRV Output'!$F:$F)</f>
        <v>1700812146</v>
      </c>
      <c r="C404" s="104"/>
      <c r="D404" s="104"/>
      <c r="E404" s="105"/>
      <c r="F404" s="106" t="s">
        <v>528</v>
      </c>
      <c r="G404" s="104"/>
      <c r="H404" s="104"/>
      <c r="I404" s="105"/>
      <c r="J404" s="106" t="s">
        <v>528</v>
      </c>
      <c r="K404" s="104"/>
      <c r="L404" s="104"/>
      <c r="M404" s="105"/>
      <c r="N404" s="106" t="s">
        <v>528</v>
      </c>
      <c r="O404" s="104"/>
      <c r="P404" s="104"/>
      <c r="Q404" s="105"/>
      <c r="R404" s="106" t="s">
        <v>528</v>
      </c>
      <c r="S404" s="104"/>
      <c r="T404" s="104"/>
      <c r="U404" s="105"/>
      <c r="V404" s="106" t="s">
        <v>528</v>
      </c>
      <c r="W404" s="104"/>
      <c r="X404" s="104"/>
      <c r="Y404" s="105"/>
    </row>
    <row r="405" spans="1:25" x14ac:dyDescent="0.25">
      <c r="A405" s="118" t="s">
        <v>703</v>
      </c>
      <c r="B405" s="103">
        <f>_xlfn.XLOOKUP(A405,'[2]FRV Output'!$B:$B,'[2]FRV Output'!$F:$F)</f>
        <v>1750703278</v>
      </c>
      <c r="C405" s="104"/>
      <c r="D405" s="104"/>
      <c r="E405" s="105"/>
      <c r="F405" s="106" t="s">
        <v>528</v>
      </c>
      <c r="G405" s="104"/>
      <c r="H405" s="104"/>
      <c r="I405" s="105"/>
      <c r="J405" s="106" t="s">
        <v>528</v>
      </c>
      <c r="K405" s="104"/>
      <c r="L405" s="104"/>
      <c r="M405" s="105"/>
      <c r="N405" s="106" t="s">
        <v>528</v>
      </c>
      <c r="O405" s="104"/>
      <c r="P405" s="104"/>
      <c r="Q405" s="105"/>
      <c r="R405" s="106" t="s">
        <v>528</v>
      </c>
      <c r="S405" s="104"/>
      <c r="T405" s="104"/>
      <c r="U405" s="105"/>
      <c r="V405" s="106" t="s">
        <v>528</v>
      </c>
      <c r="W405" s="104"/>
      <c r="X405" s="104"/>
      <c r="Y405" s="105"/>
    </row>
    <row r="406" spans="1:25" x14ac:dyDescent="0.25">
      <c r="A406" s="103" t="s">
        <v>518</v>
      </c>
      <c r="B406" s="103">
        <f>_xlfn.XLOOKUP(A406,'[2]FRV Output'!$B:$B,'[2]FRV Output'!$F:$F)</f>
        <v>1992793962</v>
      </c>
      <c r="C406" s="104"/>
      <c r="D406" s="104"/>
      <c r="E406" s="105"/>
      <c r="F406" s="106" t="s">
        <v>528</v>
      </c>
      <c r="G406" s="104"/>
      <c r="H406" s="104"/>
      <c r="I406" s="105"/>
      <c r="J406" s="106" t="s">
        <v>528</v>
      </c>
      <c r="K406" s="104"/>
      <c r="L406" s="104"/>
      <c r="M406" s="105"/>
      <c r="N406" s="106" t="s">
        <v>528</v>
      </c>
      <c r="O406" s="104"/>
      <c r="P406" s="104"/>
      <c r="Q406" s="105"/>
      <c r="R406" s="106" t="s">
        <v>528</v>
      </c>
      <c r="S406" s="104"/>
      <c r="T406" s="104"/>
      <c r="U406" s="105"/>
      <c r="V406" s="106" t="s">
        <v>528</v>
      </c>
      <c r="W406" s="104"/>
      <c r="X406" s="104"/>
      <c r="Y406" s="105"/>
    </row>
    <row r="407" spans="1:25" x14ac:dyDescent="0.25">
      <c r="A407" s="103" t="s">
        <v>704</v>
      </c>
      <c r="B407" s="103">
        <f>_xlfn.XLOOKUP(A407,'[2]FRV Output'!$B:$B,'[2]FRV Output'!$F:$F)</f>
        <v>1528040888</v>
      </c>
      <c r="C407" s="104"/>
      <c r="D407" s="104"/>
      <c r="E407" s="105"/>
      <c r="F407" s="106" t="s">
        <v>528</v>
      </c>
      <c r="G407" s="104"/>
      <c r="H407" s="104"/>
      <c r="I407" s="105"/>
      <c r="J407" s="106" t="s">
        <v>528</v>
      </c>
      <c r="K407" s="104"/>
      <c r="L407" s="104"/>
      <c r="M407" s="105"/>
      <c r="N407" s="106" t="s">
        <v>528</v>
      </c>
      <c r="O407" s="104"/>
      <c r="P407" s="104"/>
      <c r="Q407" s="105"/>
      <c r="R407" s="106" t="s">
        <v>528</v>
      </c>
      <c r="S407" s="104"/>
      <c r="T407" s="104"/>
      <c r="U407" s="105"/>
      <c r="V407" s="106" t="s">
        <v>528</v>
      </c>
      <c r="W407" s="104"/>
      <c r="X407" s="104"/>
      <c r="Y407" s="105"/>
    </row>
    <row r="408" spans="1:25" x14ac:dyDescent="0.25">
      <c r="A408" s="103" t="s">
        <v>520</v>
      </c>
      <c r="B408" s="103">
        <f>_xlfn.XLOOKUP(A408,'[2]FRV Output'!$B:$B,'[2]FRV Output'!$F:$F)</f>
        <v>1467016105</v>
      </c>
      <c r="C408" s="104">
        <v>3</v>
      </c>
      <c r="D408" s="104">
        <v>2016</v>
      </c>
      <c r="E408" s="105">
        <v>207936</v>
      </c>
      <c r="F408" s="106" t="s">
        <v>528</v>
      </c>
      <c r="G408" s="104">
        <v>3</v>
      </c>
      <c r="H408" s="104">
        <v>2020</v>
      </c>
      <c r="I408" s="105">
        <v>72587</v>
      </c>
      <c r="J408" s="106" t="s">
        <v>528</v>
      </c>
      <c r="K408" s="104">
        <v>3</v>
      </c>
      <c r="L408" s="104">
        <v>2021</v>
      </c>
      <c r="M408" s="105">
        <v>75474</v>
      </c>
      <c r="N408" s="106" t="s">
        <v>528</v>
      </c>
      <c r="O408" s="104"/>
      <c r="P408" s="104"/>
      <c r="Q408" s="105"/>
      <c r="R408" s="106" t="s">
        <v>528</v>
      </c>
      <c r="S408" s="104"/>
      <c r="T408" s="104"/>
      <c r="U408" s="105"/>
      <c r="V408" s="106" t="s">
        <v>528</v>
      </c>
      <c r="W408" s="104"/>
      <c r="X408" s="104"/>
      <c r="Y408" s="105"/>
    </row>
    <row r="409" spans="1:25" x14ac:dyDescent="0.25">
      <c r="A409" s="107" t="s">
        <v>521</v>
      </c>
      <c r="B409" s="103">
        <f>_xlfn.XLOOKUP(A409,'[2]FRV Output'!$B:$B,'[2]FRV Output'!$F:$F)</f>
        <v>1023481520</v>
      </c>
      <c r="C409" s="104">
        <v>3</v>
      </c>
      <c r="D409" s="104">
        <v>2017</v>
      </c>
      <c r="E409" s="105">
        <v>200382</v>
      </c>
      <c r="F409" s="106" t="s">
        <v>528</v>
      </c>
      <c r="G409" s="104">
        <v>3</v>
      </c>
      <c r="H409" s="104">
        <v>2019</v>
      </c>
      <c r="I409" s="105">
        <v>132537</v>
      </c>
      <c r="J409" s="106" t="s">
        <v>528</v>
      </c>
      <c r="K409" s="104"/>
      <c r="L409" s="104"/>
      <c r="M409" s="105"/>
      <c r="N409" s="106" t="s">
        <v>528</v>
      </c>
      <c r="O409" s="104"/>
      <c r="P409" s="104"/>
      <c r="Q409" s="105"/>
      <c r="R409" s="106" t="s">
        <v>528</v>
      </c>
      <c r="S409" s="104"/>
      <c r="T409" s="104"/>
      <c r="U409" s="105"/>
      <c r="V409" s="106" t="s">
        <v>528</v>
      </c>
      <c r="W409" s="104"/>
      <c r="X409" s="104"/>
      <c r="Y409" s="105"/>
    </row>
    <row r="410" spans="1:25" x14ac:dyDescent="0.25">
      <c r="A410" s="103" t="s">
        <v>522</v>
      </c>
      <c r="B410" s="103">
        <f>_xlfn.XLOOKUP(A410,'[2]FRV Output'!$B:$B,'[2]FRV Output'!$F:$F)</f>
        <v>1174178313</v>
      </c>
      <c r="C410" s="104">
        <v>3</v>
      </c>
      <c r="D410" s="104">
        <v>2017</v>
      </c>
      <c r="E410" s="105">
        <v>90445</v>
      </c>
      <c r="F410" s="106" t="s">
        <v>528</v>
      </c>
      <c r="G410" s="104">
        <v>3</v>
      </c>
      <c r="H410" s="104">
        <v>2020</v>
      </c>
      <c r="I410" s="105">
        <v>120628</v>
      </c>
      <c r="J410" s="106" t="s">
        <v>528</v>
      </c>
      <c r="K410" s="104">
        <v>3</v>
      </c>
      <c r="L410" s="104">
        <v>2021</v>
      </c>
      <c r="M410" s="105">
        <v>273686</v>
      </c>
      <c r="N410" s="106" t="s">
        <v>528</v>
      </c>
      <c r="O410" s="104"/>
      <c r="P410" s="104"/>
      <c r="Q410" s="105"/>
      <c r="R410" s="106" t="s">
        <v>528</v>
      </c>
      <c r="S410" s="104"/>
      <c r="T410" s="104"/>
      <c r="U410" s="105"/>
      <c r="V410" s="106" t="s">
        <v>528</v>
      </c>
      <c r="W410" s="104"/>
      <c r="X410" s="104"/>
      <c r="Y410" s="105"/>
    </row>
    <row r="411" spans="1:25" x14ac:dyDescent="0.25">
      <c r="A411" s="107" t="s">
        <v>523</v>
      </c>
      <c r="B411" s="103">
        <f>_xlfn.XLOOKUP(A411,'[2]FRV Output'!$B:$B,'[2]FRV Output'!$F:$F)</f>
        <v>1164848503</v>
      </c>
      <c r="C411" s="104">
        <v>3</v>
      </c>
      <c r="D411" s="104">
        <v>2019</v>
      </c>
      <c r="E411" s="105">
        <v>33631</v>
      </c>
      <c r="F411" s="106" t="s">
        <v>528</v>
      </c>
      <c r="G411" s="104">
        <v>3</v>
      </c>
      <c r="H411" s="104">
        <v>2021</v>
      </c>
      <c r="I411" s="105">
        <v>89329</v>
      </c>
      <c r="J411" s="106" t="s">
        <v>528</v>
      </c>
      <c r="K411" s="104"/>
      <c r="L411" s="104"/>
      <c r="M411" s="105"/>
      <c r="N411" s="106" t="s">
        <v>528</v>
      </c>
      <c r="O411" s="104"/>
      <c r="P411" s="104"/>
      <c r="Q411" s="105"/>
      <c r="R411" s="106" t="s">
        <v>528</v>
      </c>
      <c r="S411" s="104"/>
      <c r="T411" s="104"/>
      <c r="U411" s="105"/>
      <c r="V411" s="106" t="s">
        <v>528</v>
      </c>
      <c r="W411" s="104"/>
      <c r="X411" s="104"/>
      <c r="Y411" s="10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249977111117893"/>
  </sheetPr>
  <dimension ref="A1:O84"/>
  <sheetViews>
    <sheetView workbookViewId="0">
      <selection activeCell="M1" sqref="M1"/>
    </sheetView>
  </sheetViews>
  <sheetFormatPr defaultRowHeight="13.2" x14ac:dyDescent="0.25"/>
  <cols>
    <col min="1" max="1" width="9.109375"/>
    <col min="2" max="2" width="12.88671875" style="1" bestFit="1" customWidth="1"/>
    <col min="3" max="3" width="10" bestFit="1" customWidth="1"/>
    <col min="5" max="5" width="17.77734375" style="32" bestFit="1" customWidth="1"/>
    <col min="6" max="6" width="11.44140625" style="32" bestFit="1" customWidth="1"/>
    <col min="7" max="7" width="7.6640625" bestFit="1" customWidth="1"/>
    <col min="8" max="8" width="8.21875" bestFit="1" customWidth="1"/>
    <col min="9" max="9" width="7.44140625" bestFit="1" customWidth="1"/>
    <col min="10" max="10" width="10.5546875" bestFit="1" customWidth="1"/>
    <col min="11" max="11" width="7" bestFit="1" customWidth="1"/>
    <col min="12" max="12" width="13.44140625" bestFit="1" customWidth="1"/>
    <col min="14" max="14" width="40.88671875" bestFit="1" customWidth="1"/>
    <col min="15" max="15" width="10" bestFit="1" customWidth="1"/>
  </cols>
  <sheetData>
    <row r="1" spans="1:15" s="2" customFormat="1" x14ac:dyDescent="0.25">
      <c r="A1" s="23" t="s">
        <v>18</v>
      </c>
      <c r="B1" s="24"/>
      <c r="C1" s="40"/>
      <c r="E1" t="s">
        <v>54</v>
      </c>
      <c r="F1" s="32"/>
      <c r="G1"/>
      <c r="H1"/>
      <c r="I1"/>
      <c r="J1"/>
      <c r="K1"/>
      <c r="L1"/>
      <c r="N1" s="32" t="s">
        <v>131</v>
      </c>
      <c r="O1" s="32" t="s">
        <v>132</v>
      </c>
    </row>
    <row r="2" spans="1:15" s="2" customFormat="1" x14ac:dyDescent="0.25">
      <c r="A2" s="25" t="s">
        <v>14</v>
      </c>
      <c r="B2" s="26" t="s">
        <v>0</v>
      </c>
      <c r="C2" s="25" t="s">
        <v>53</v>
      </c>
      <c r="F2" s="39" t="s">
        <v>56</v>
      </c>
      <c r="G2" s="39" t="s">
        <v>55</v>
      </c>
      <c r="H2" s="39" t="s">
        <v>7</v>
      </c>
      <c r="I2" s="39" t="s">
        <v>22</v>
      </c>
      <c r="J2" s="39" t="s">
        <v>1</v>
      </c>
      <c r="K2" s="39" t="s">
        <v>3</v>
      </c>
      <c r="L2" s="39" t="s">
        <v>2</v>
      </c>
      <c r="N2" s="32">
        <v>0</v>
      </c>
      <c r="O2" s="32">
        <v>425</v>
      </c>
    </row>
    <row r="3" spans="1:15" x14ac:dyDescent="0.25">
      <c r="A3" s="27">
        <v>270</v>
      </c>
      <c r="B3" s="28" t="s">
        <v>1</v>
      </c>
      <c r="C3" s="49">
        <v>0.85</v>
      </c>
      <c r="E3">
        <v>2021</v>
      </c>
      <c r="F3" s="38">
        <f t="shared" ref="F3:F16" si="0">+F4/G4*G3</f>
        <v>77158.626946922726</v>
      </c>
      <c r="G3" s="47">
        <v>204.1</v>
      </c>
      <c r="H3" s="47">
        <v>207.5</v>
      </c>
      <c r="I3" s="47">
        <v>205.2</v>
      </c>
      <c r="J3" s="47">
        <v>203.1</v>
      </c>
      <c r="K3" s="47">
        <v>201.8</v>
      </c>
      <c r="L3" s="47">
        <v>202.8</v>
      </c>
      <c r="N3" s="32">
        <v>10</v>
      </c>
      <c r="O3" s="32">
        <v>400</v>
      </c>
    </row>
    <row r="4" spans="1:15" x14ac:dyDescent="0.25">
      <c r="A4" s="27">
        <v>272</v>
      </c>
      <c r="B4" s="28" t="s">
        <v>1</v>
      </c>
      <c r="C4" s="49">
        <v>0.85</v>
      </c>
      <c r="E4">
        <v>2020</v>
      </c>
      <c r="F4" s="38">
        <f t="shared" si="0"/>
        <v>75699.380009073036</v>
      </c>
      <c r="G4" s="47">
        <v>200.24</v>
      </c>
      <c r="H4" s="47">
        <v>203.6</v>
      </c>
      <c r="I4" s="47">
        <v>201.3</v>
      </c>
      <c r="J4" s="47">
        <v>199.3</v>
      </c>
      <c r="K4" s="47">
        <v>198</v>
      </c>
      <c r="L4" s="47">
        <v>199</v>
      </c>
      <c r="N4" s="32">
        <v>20</v>
      </c>
      <c r="O4" s="32">
        <v>375</v>
      </c>
    </row>
    <row r="5" spans="1:15" x14ac:dyDescent="0.25">
      <c r="A5" s="27">
        <v>273</v>
      </c>
      <c r="B5" s="28" t="s">
        <v>1</v>
      </c>
      <c r="C5" s="49">
        <v>0.85</v>
      </c>
      <c r="E5">
        <v>2019</v>
      </c>
      <c r="F5" s="38">
        <f t="shared" si="0"/>
        <v>71291.395735672151</v>
      </c>
      <c r="G5" s="47">
        <v>188.57999999999998</v>
      </c>
      <c r="H5" s="47">
        <v>187.3</v>
      </c>
      <c r="I5" s="47">
        <v>191.1</v>
      </c>
      <c r="J5" s="47">
        <v>189.1</v>
      </c>
      <c r="K5" s="47">
        <v>186.8</v>
      </c>
      <c r="L5" s="47">
        <v>188.6</v>
      </c>
      <c r="N5" s="32">
        <v>25</v>
      </c>
      <c r="O5" s="32">
        <v>350</v>
      </c>
    </row>
    <row r="6" spans="1:15" x14ac:dyDescent="0.25">
      <c r="A6" s="27">
        <v>274</v>
      </c>
      <c r="B6" s="28" t="s">
        <v>1</v>
      </c>
      <c r="C6" s="49">
        <v>0.85</v>
      </c>
      <c r="E6">
        <v>2018</v>
      </c>
      <c r="F6" s="38">
        <f t="shared" si="0"/>
        <v>69945.561772266738</v>
      </c>
      <c r="G6" s="47">
        <v>185.01999999999998</v>
      </c>
      <c r="H6" s="47">
        <v>183.8</v>
      </c>
      <c r="I6" s="47">
        <v>187.5</v>
      </c>
      <c r="J6" s="47">
        <v>185.5</v>
      </c>
      <c r="K6" s="47">
        <v>183.3</v>
      </c>
      <c r="L6" s="47">
        <v>185</v>
      </c>
      <c r="N6" s="32">
        <v>30</v>
      </c>
      <c r="O6" s="32">
        <v>325</v>
      </c>
    </row>
    <row r="7" spans="1:15" x14ac:dyDescent="0.25">
      <c r="A7" s="27">
        <v>271</v>
      </c>
      <c r="B7" s="29" t="s">
        <v>2</v>
      </c>
      <c r="C7" s="49">
        <v>0.85</v>
      </c>
      <c r="E7">
        <v>2017</v>
      </c>
      <c r="F7" s="38">
        <f t="shared" si="0"/>
        <v>67238.77211553001</v>
      </c>
      <c r="G7" s="47">
        <v>177.85999999999999</v>
      </c>
      <c r="H7" s="47">
        <v>177</v>
      </c>
      <c r="I7" s="47">
        <v>180.3</v>
      </c>
      <c r="J7" s="47">
        <v>178.2</v>
      </c>
      <c r="K7" s="47">
        <v>175.8</v>
      </c>
      <c r="L7" s="47">
        <v>178</v>
      </c>
    </row>
    <row r="8" spans="1:15" x14ac:dyDescent="0.25">
      <c r="A8" s="27">
        <v>275</v>
      </c>
      <c r="B8" s="29" t="s">
        <v>3</v>
      </c>
      <c r="C8" s="49">
        <v>0.84</v>
      </c>
      <c r="E8">
        <v>2016</v>
      </c>
      <c r="F8" s="38">
        <f t="shared" si="0"/>
        <v>67790.715257825505</v>
      </c>
      <c r="G8" s="47">
        <v>179.32000000000002</v>
      </c>
      <c r="H8" s="47">
        <v>180.6</v>
      </c>
      <c r="I8" s="47">
        <v>182</v>
      </c>
      <c r="J8" s="47">
        <v>179.8</v>
      </c>
      <c r="K8" s="47">
        <v>174.6</v>
      </c>
      <c r="L8" s="47">
        <v>179.6</v>
      </c>
    </row>
    <row r="9" spans="1:15" x14ac:dyDescent="0.25">
      <c r="A9" s="27">
        <v>276</v>
      </c>
      <c r="B9" s="29" t="s">
        <v>3</v>
      </c>
      <c r="C9" s="49">
        <v>0.84</v>
      </c>
      <c r="E9">
        <v>2015</v>
      </c>
      <c r="F9" s="38">
        <f t="shared" si="0"/>
        <v>64577.347648570998</v>
      </c>
      <c r="G9" s="47">
        <v>170.82</v>
      </c>
      <c r="H9" s="47">
        <v>173.1</v>
      </c>
      <c r="I9" s="47">
        <v>172.3</v>
      </c>
      <c r="J9" s="47">
        <v>170.5</v>
      </c>
      <c r="K9" s="47">
        <v>167.6</v>
      </c>
      <c r="L9" s="47">
        <v>170.6</v>
      </c>
    </row>
    <row r="10" spans="1:15" x14ac:dyDescent="0.25">
      <c r="A10" s="27">
        <v>277</v>
      </c>
      <c r="B10" s="29" t="s">
        <v>22</v>
      </c>
      <c r="C10" s="49">
        <v>0.86</v>
      </c>
      <c r="E10">
        <v>2014</v>
      </c>
      <c r="F10" s="38">
        <f t="shared" si="0"/>
        <v>62036.897021019206</v>
      </c>
      <c r="G10" s="47">
        <v>164.1</v>
      </c>
      <c r="H10" s="47">
        <v>165.5</v>
      </c>
      <c r="I10" s="47">
        <v>165.2</v>
      </c>
      <c r="J10" s="47">
        <v>163.9</v>
      </c>
      <c r="K10" s="47">
        <v>161.6</v>
      </c>
      <c r="L10" s="47">
        <v>164.3</v>
      </c>
    </row>
    <row r="11" spans="1:15" x14ac:dyDescent="0.25">
      <c r="A11" s="27">
        <v>278</v>
      </c>
      <c r="B11" s="29" t="s">
        <v>4</v>
      </c>
      <c r="C11" s="49">
        <v>0.83</v>
      </c>
      <c r="E11">
        <v>2013</v>
      </c>
      <c r="F11" s="38">
        <f t="shared" si="0"/>
        <v>59980.341751096334</v>
      </c>
      <c r="G11" s="47">
        <v>158.66000000000003</v>
      </c>
      <c r="H11" s="47">
        <v>159.6</v>
      </c>
      <c r="I11" s="47">
        <v>158.4</v>
      </c>
      <c r="J11" s="47">
        <v>158.69999999999999</v>
      </c>
      <c r="K11" s="47">
        <v>157.5</v>
      </c>
      <c r="L11" s="47">
        <v>159.1</v>
      </c>
    </row>
    <row r="12" spans="1:15" x14ac:dyDescent="0.25">
      <c r="A12" s="27">
        <v>279</v>
      </c>
      <c r="B12" s="29" t="s">
        <v>5</v>
      </c>
      <c r="C12" s="49">
        <v>0.85</v>
      </c>
      <c r="E12">
        <v>2012</v>
      </c>
      <c r="F12" s="38">
        <f t="shared" si="0"/>
        <v>59042.794495690308</v>
      </c>
      <c r="G12" s="47">
        <v>156.18</v>
      </c>
      <c r="H12" s="47">
        <v>156.4</v>
      </c>
      <c r="I12" s="47">
        <v>155.6</v>
      </c>
      <c r="J12" s="47">
        <v>156.30000000000001</v>
      </c>
      <c r="K12" s="47">
        <v>155.4</v>
      </c>
      <c r="L12" s="47">
        <v>157.19999999999999</v>
      </c>
    </row>
    <row r="13" spans="1:15" x14ac:dyDescent="0.25">
      <c r="A13" s="27">
        <v>280</v>
      </c>
      <c r="B13" s="29" t="s">
        <v>6</v>
      </c>
      <c r="C13" s="49">
        <v>0.85</v>
      </c>
      <c r="E13">
        <v>2011</v>
      </c>
      <c r="F13" s="38">
        <f t="shared" si="0"/>
        <v>53856.04113110539</v>
      </c>
      <c r="G13" s="47">
        <v>142.45999999999998</v>
      </c>
      <c r="H13" s="47">
        <v>142.6</v>
      </c>
      <c r="I13" s="47">
        <v>143.80000000000001</v>
      </c>
      <c r="J13" s="47">
        <v>142.19999999999999</v>
      </c>
      <c r="K13" s="47">
        <v>142.80000000000001</v>
      </c>
      <c r="L13" s="47">
        <v>140.9</v>
      </c>
    </row>
    <row r="14" spans="1:15" x14ac:dyDescent="0.25">
      <c r="A14" s="27">
        <v>281</v>
      </c>
      <c r="B14" s="29" t="s">
        <v>7</v>
      </c>
      <c r="C14" s="49">
        <v>0.87</v>
      </c>
      <c r="E14">
        <v>2010</v>
      </c>
      <c r="F14" s="38">
        <f t="shared" si="0"/>
        <v>53039.467715106613</v>
      </c>
      <c r="G14" s="47">
        <v>140.30000000000001</v>
      </c>
      <c r="H14" s="47">
        <v>140.5</v>
      </c>
      <c r="I14" s="47">
        <v>141.6</v>
      </c>
      <c r="J14" s="47">
        <v>140</v>
      </c>
      <c r="K14" s="47">
        <v>140.6</v>
      </c>
      <c r="L14" s="47">
        <v>138.80000000000001</v>
      </c>
    </row>
    <row r="15" spans="1:15" x14ac:dyDescent="0.25">
      <c r="A15" s="27">
        <v>282</v>
      </c>
      <c r="B15" s="29" t="s">
        <v>7</v>
      </c>
      <c r="C15" s="49">
        <v>0.87</v>
      </c>
      <c r="E15">
        <v>2009</v>
      </c>
      <c r="F15" s="38">
        <f t="shared" si="0"/>
        <v>54642.371087252388</v>
      </c>
      <c r="G15" s="47">
        <v>144.54000000000002</v>
      </c>
      <c r="H15" s="47">
        <v>145.1</v>
      </c>
      <c r="I15" s="47">
        <v>145.80000000000001</v>
      </c>
      <c r="J15" s="47">
        <v>144</v>
      </c>
      <c r="K15" s="47">
        <v>145.1</v>
      </c>
      <c r="L15" s="47">
        <v>142.69999999999999</v>
      </c>
    </row>
    <row r="16" spans="1:15" x14ac:dyDescent="0.25">
      <c r="A16" s="27">
        <v>283</v>
      </c>
      <c r="B16" s="29" t="s">
        <v>8</v>
      </c>
      <c r="C16" s="49">
        <v>0.85</v>
      </c>
      <c r="E16">
        <v>2008</v>
      </c>
      <c r="F16" s="38">
        <f t="shared" si="0"/>
        <v>51119.008014516847</v>
      </c>
      <c r="G16" s="47">
        <v>135.21999999999997</v>
      </c>
      <c r="H16" s="47">
        <v>135.80000000000001</v>
      </c>
      <c r="I16" s="47">
        <v>136.6</v>
      </c>
      <c r="J16" s="47">
        <v>134.6</v>
      </c>
      <c r="K16" s="47">
        <v>135.30000000000001</v>
      </c>
      <c r="L16" s="47">
        <v>133.80000000000001</v>
      </c>
    </row>
    <row r="17" spans="1:12" x14ac:dyDescent="0.25">
      <c r="A17" s="27">
        <v>284</v>
      </c>
      <c r="B17" s="29" t="s">
        <v>9</v>
      </c>
      <c r="C17" s="49">
        <v>0.82</v>
      </c>
      <c r="E17">
        <v>2007</v>
      </c>
      <c r="F17" s="38">
        <v>50000</v>
      </c>
      <c r="G17" s="47">
        <v>132.26</v>
      </c>
      <c r="H17" s="47">
        <v>132.80000000000001</v>
      </c>
      <c r="I17" s="47">
        <v>133.69999999999999</v>
      </c>
      <c r="J17" s="47">
        <v>131.69999999999999</v>
      </c>
      <c r="K17" s="47">
        <v>132.1</v>
      </c>
      <c r="L17" s="47">
        <v>131</v>
      </c>
    </row>
    <row r="18" spans="1:12" x14ac:dyDescent="0.25">
      <c r="A18" s="27">
        <v>285</v>
      </c>
      <c r="B18" s="29" t="s">
        <v>10</v>
      </c>
      <c r="C18" s="49">
        <v>0.81</v>
      </c>
      <c r="E18">
        <v>2006</v>
      </c>
      <c r="F18" s="38">
        <f t="shared" ref="F18:F49" si="1">+F17/G17*G18</f>
        <v>46930.288825041593</v>
      </c>
      <c r="G18" s="47">
        <v>124.14000000000001</v>
      </c>
      <c r="H18" s="47">
        <v>125.1</v>
      </c>
      <c r="I18" s="47">
        <v>124.6</v>
      </c>
      <c r="J18" s="47">
        <v>123.8</v>
      </c>
      <c r="K18" s="47">
        <v>124.2</v>
      </c>
      <c r="L18" s="47">
        <v>123</v>
      </c>
    </row>
    <row r="19" spans="1:12" x14ac:dyDescent="0.25">
      <c r="A19" s="27">
        <v>286</v>
      </c>
      <c r="B19" s="29" t="s">
        <v>11</v>
      </c>
      <c r="C19" s="49">
        <v>0.84</v>
      </c>
      <c r="E19">
        <v>2005</v>
      </c>
      <c r="F19" s="38">
        <f t="shared" si="1"/>
        <v>42182.065628307879</v>
      </c>
      <c r="G19" s="47">
        <v>111.58</v>
      </c>
      <c r="H19" s="47">
        <v>110.5</v>
      </c>
      <c r="I19" s="47">
        <v>112.1</v>
      </c>
      <c r="J19" s="47">
        <v>112.1</v>
      </c>
      <c r="K19" s="47">
        <v>112.1</v>
      </c>
      <c r="L19" s="47">
        <v>111.1</v>
      </c>
    </row>
    <row r="20" spans="1:12" x14ac:dyDescent="0.25">
      <c r="A20" s="27">
        <v>287</v>
      </c>
      <c r="B20" s="29" t="s">
        <v>12</v>
      </c>
      <c r="C20" s="49">
        <v>0.83</v>
      </c>
      <c r="E20">
        <v>2004</v>
      </c>
      <c r="F20" s="38">
        <f t="shared" si="1"/>
        <v>37706.033570240441</v>
      </c>
      <c r="G20" s="47">
        <v>99.740000000000009</v>
      </c>
      <c r="H20" s="47">
        <v>98.9</v>
      </c>
      <c r="I20" s="47">
        <v>100</v>
      </c>
      <c r="J20" s="47">
        <v>100.1</v>
      </c>
      <c r="K20" s="47">
        <v>100.3</v>
      </c>
      <c r="L20" s="47">
        <v>99.4</v>
      </c>
    </row>
    <row r="21" spans="1:12" x14ac:dyDescent="0.25">
      <c r="A21" s="27">
        <v>288</v>
      </c>
      <c r="B21" s="29" t="s">
        <v>12</v>
      </c>
      <c r="C21" s="49">
        <v>0.83</v>
      </c>
      <c r="E21">
        <v>2003</v>
      </c>
      <c r="F21" s="38">
        <f t="shared" si="1"/>
        <v>36730.681990019657</v>
      </c>
      <c r="G21" s="47">
        <v>97.16</v>
      </c>
      <c r="H21" s="47">
        <v>96.2</v>
      </c>
      <c r="I21" s="47">
        <v>97.5</v>
      </c>
      <c r="J21" s="47">
        <v>97.5</v>
      </c>
      <c r="K21" s="47">
        <v>97.8</v>
      </c>
      <c r="L21" s="47">
        <v>96.8</v>
      </c>
    </row>
    <row r="22" spans="1:12" x14ac:dyDescent="0.25">
      <c r="A22" s="27">
        <v>289</v>
      </c>
      <c r="B22" s="29" t="s">
        <v>13</v>
      </c>
      <c r="C22" s="49">
        <v>0.82</v>
      </c>
      <c r="E22">
        <v>2002</v>
      </c>
      <c r="F22" s="38">
        <f t="shared" si="1"/>
        <v>36201.421442613035</v>
      </c>
      <c r="G22" s="47">
        <v>95.76</v>
      </c>
      <c r="H22" s="47">
        <v>94.8</v>
      </c>
      <c r="I22" s="47">
        <v>96.1</v>
      </c>
      <c r="J22" s="47">
        <v>96.1</v>
      </c>
      <c r="K22" s="47">
        <v>96.3</v>
      </c>
      <c r="L22" s="47">
        <v>95.5</v>
      </c>
    </row>
    <row r="23" spans="1:12" x14ac:dyDescent="0.25">
      <c r="E23">
        <v>2001</v>
      </c>
      <c r="F23" s="38">
        <f t="shared" si="1"/>
        <v>34999.243913503713</v>
      </c>
      <c r="G23" s="47">
        <v>92.580000000000013</v>
      </c>
      <c r="H23" s="47">
        <v>91.5</v>
      </c>
      <c r="I23" s="47">
        <v>92.9</v>
      </c>
      <c r="J23" s="47">
        <v>92.9</v>
      </c>
      <c r="K23" s="47">
        <v>93.3</v>
      </c>
      <c r="L23" s="47">
        <v>92.3</v>
      </c>
    </row>
    <row r="24" spans="1:12" x14ac:dyDescent="0.25">
      <c r="E24">
        <v>2000</v>
      </c>
      <c r="F24" s="38">
        <f t="shared" si="1"/>
        <v>34507.787690911849</v>
      </c>
      <c r="G24" s="47">
        <v>91.28</v>
      </c>
      <c r="H24" s="47">
        <v>90.3</v>
      </c>
      <c r="I24" s="47">
        <v>91.6</v>
      </c>
      <c r="J24" s="47">
        <v>91.6</v>
      </c>
      <c r="K24" s="47">
        <v>91.9</v>
      </c>
      <c r="L24" s="47">
        <v>91</v>
      </c>
    </row>
    <row r="25" spans="1:12" x14ac:dyDescent="0.25">
      <c r="E25">
        <v>1999</v>
      </c>
      <c r="F25" s="38">
        <f t="shared" si="1"/>
        <v>34054.135793134745</v>
      </c>
      <c r="G25" s="47">
        <v>90.08</v>
      </c>
      <c r="H25" s="47">
        <v>89.3</v>
      </c>
      <c r="I25" s="47">
        <v>90.2</v>
      </c>
      <c r="J25" s="47">
        <v>90.3</v>
      </c>
      <c r="K25" s="47">
        <v>90.5</v>
      </c>
      <c r="L25" s="47">
        <v>90.1</v>
      </c>
    </row>
    <row r="26" spans="1:12" x14ac:dyDescent="0.25">
      <c r="E26">
        <v>1998</v>
      </c>
      <c r="F26" s="38">
        <f t="shared" si="1"/>
        <v>33638.288220172391</v>
      </c>
      <c r="G26" s="47">
        <v>88.97999999999999</v>
      </c>
      <c r="H26" s="50">
        <v>88.2</v>
      </c>
      <c r="I26" s="50">
        <v>89.1</v>
      </c>
      <c r="J26" s="50">
        <v>89.2</v>
      </c>
      <c r="K26" s="50">
        <v>89.4</v>
      </c>
      <c r="L26" s="50">
        <v>89</v>
      </c>
    </row>
    <row r="27" spans="1:12" x14ac:dyDescent="0.25">
      <c r="E27">
        <v>1997</v>
      </c>
      <c r="F27" s="38">
        <f t="shared" si="1"/>
        <v>31173.446242250116</v>
      </c>
      <c r="G27" s="47">
        <v>82.46</v>
      </c>
      <c r="H27" s="47">
        <v>81.8</v>
      </c>
      <c r="I27" s="47">
        <v>82.6</v>
      </c>
      <c r="J27" s="47">
        <v>82.6</v>
      </c>
      <c r="K27" s="47">
        <v>82.7</v>
      </c>
      <c r="L27" s="47">
        <v>82.6</v>
      </c>
    </row>
    <row r="28" spans="1:12" x14ac:dyDescent="0.25">
      <c r="E28">
        <v>1996</v>
      </c>
      <c r="F28" s="38">
        <f t="shared" si="1"/>
        <v>31173.446242250116</v>
      </c>
      <c r="G28" s="47">
        <v>82.46</v>
      </c>
      <c r="H28" s="47">
        <v>81.8</v>
      </c>
      <c r="I28" s="47">
        <v>82.6</v>
      </c>
      <c r="J28" s="47">
        <v>82.6</v>
      </c>
      <c r="K28" s="47">
        <v>82.7</v>
      </c>
      <c r="L28" s="47">
        <v>82.6</v>
      </c>
    </row>
    <row r="29" spans="1:12" x14ac:dyDescent="0.25">
      <c r="E29">
        <v>1995</v>
      </c>
      <c r="F29" s="38">
        <f t="shared" si="1"/>
        <v>31173.446242250116</v>
      </c>
      <c r="G29" s="47">
        <v>82.46</v>
      </c>
      <c r="H29" s="47">
        <v>81.8</v>
      </c>
      <c r="I29" s="47">
        <v>82.6</v>
      </c>
      <c r="J29" s="47">
        <v>82.6</v>
      </c>
      <c r="K29" s="47">
        <v>82.7</v>
      </c>
      <c r="L29" s="47">
        <v>82.6</v>
      </c>
    </row>
    <row r="30" spans="1:12" x14ac:dyDescent="0.25">
      <c r="E30">
        <v>1994</v>
      </c>
      <c r="F30" s="38">
        <f t="shared" si="1"/>
        <v>28466.656585513385</v>
      </c>
      <c r="G30" s="47">
        <v>75.3</v>
      </c>
      <c r="H30" s="47">
        <v>74.8</v>
      </c>
      <c r="I30" s="47">
        <v>75.400000000000006</v>
      </c>
      <c r="J30" s="47">
        <v>75.5</v>
      </c>
      <c r="K30" s="47">
        <v>75.5</v>
      </c>
      <c r="L30" s="47">
        <v>75.3</v>
      </c>
    </row>
    <row r="31" spans="1:12" x14ac:dyDescent="0.25">
      <c r="E31">
        <v>1993</v>
      </c>
      <c r="F31" s="38">
        <f t="shared" si="1"/>
        <v>28466.656585513385</v>
      </c>
      <c r="G31" s="47">
        <v>75.3</v>
      </c>
      <c r="H31" s="47">
        <v>74.8</v>
      </c>
      <c r="I31" s="47">
        <v>75.400000000000006</v>
      </c>
      <c r="J31" s="47">
        <v>75.5</v>
      </c>
      <c r="K31" s="47">
        <v>75.5</v>
      </c>
      <c r="L31" s="47">
        <v>75.3</v>
      </c>
    </row>
    <row r="32" spans="1:12" x14ac:dyDescent="0.25">
      <c r="E32">
        <v>1992</v>
      </c>
      <c r="F32" s="38">
        <f t="shared" si="1"/>
        <v>28466.656585513385</v>
      </c>
      <c r="G32" s="47">
        <v>75.3</v>
      </c>
      <c r="H32" s="47">
        <v>74.8</v>
      </c>
      <c r="I32" s="47">
        <v>75.400000000000006</v>
      </c>
      <c r="J32" s="47">
        <v>75.5</v>
      </c>
      <c r="K32" s="47">
        <v>75.5</v>
      </c>
      <c r="L32" s="47">
        <v>75.3</v>
      </c>
    </row>
    <row r="33" spans="5:12" x14ac:dyDescent="0.25">
      <c r="E33">
        <v>1991</v>
      </c>
      <c r="F33" s="38">
        <f t="shared" si="1"/>
        <v>28466.656585513385</v>
      </c>
      <c r="G33" s="47">
        <v>75.3</v>
      </c>
      <c r="H33" s="47">
        <v>74.8</v>
      </c>
      <c r="I33" s="47">
        <v>75.400000000000006</v>
      </c>
      <c r="J33" s="47">
        <v>75.5</v>
      </c>
      <c r="K33" s="47">
        <v>75.5</v>
      </c>
      <c r="L33" s="47">
        <v>75.3</v>
      </c>
    </row>
    <row r="34" spans="5:12" x14ac:dyDescent="0.25">
      <c r="E34">
        <v>1990</v>
      </c>
      <c r="F34" s="38">
        <f t="shared" si="1"/>
        <v>28466.656585513385</v>
      </c>
      <c r="G34" s="47">
        <v>75.3</v>
      </c>
      <c r="H34" s="47">
        <v>74.8</v>
      </c>
      <c r="I34" s="47">
        <v>75.400000000000006</v>
      </c>
      <c r="J34" s="47">
        <v>75.5</v>
      </c>
      <c r="K34" s="47">
        <v>75.5</v>
      </c>
      <c r="L34" s="47">
        <v>75.3</v>
      </c>
    </row>
    <row r="35" spans="5:12" x14ac:dyDescent="0.25">
      <c r="E35">
        <v>1989</v>
      </c>
      <c r="F35" s="38">
        <f t="shared" si="1"/>
        <v>25502.797520036293</v>
      </c>
      <c r="G35" s="47">
        <v>67.459999999999994</v>
      </c>
      <c r="H35" s="47">
        <v>66.900000000000006</v>
      </c>
      <c r="I35" s="47">
        <v>67.599999999999994</v>
      </c>
      <c r="J35" s="47">
        <v>67.7</v>
      </c>
      <c r="K35" s="47">
        <v>67.599999999999994</v>
      </c>
      <c r="L35" s="47">
        <v>67.5</v>
      </c>
    </row>
    <row r="36" spans="5:12" x14ac:dyDescent="0.25">
      <c r="E36">
        <v>1988</v>
      </c>
      <c r="F36" s="38">
        <f t="shared" si="1"/>
        <v>25502.797520036293</v>
      </c>
      <c r="G36" s="47">
        <v>67.459999999999994</v>
      </c>
      <c r="H36" s="47">
        <v>66.900000000000006</v>
      </c>
      <c r="I36" s="47">
        <v>67.599999999999994</v>
      </c>
      <c r="J36" s="47">
        <v>67.7</v>
      </c>
      <c r="K36" s="47">
        <v>67.599999999999994</v>
      </c>
      <c r="L36" s="47">
        <v>67.5</v>
      </c>
    </row>
    <row r="37" spans="5:12" x14ac:dyDescent="0.25">
      <c r="E37">
        <v>1987</v>
      </c>
      <c r="F37" s="38">
        <f t="shared" si="1"/>
        <v>25502.797520036293</v>
      </c>
      <c r="G37" s="47">
        <v>67.459999999999994</v>
      </c>
      <c r="H37" s="47">
        <v>66.900000000000006</v>
      </c>
      <c r="I37" s="47">
        <v>67.599999999999994</v>
      </c>
      <c r="J37" s="47">
        <v>67.7</v>
      </c>
      <c r="K37" s="47">
        <v>67.599999999999994</v>
      </c>
      <c r="L37" s="47">
        <v>67.5</v>
      </c>
    </row>
    <row r="38" spans="5:12" x14ac:dyDescent="0.25">
      <c r="E38">
        <v>1986</v>
      </c>
      <c r="F38" s="38">
        <f t="shared" si="1"/>
        <v>25502.797520036293</v>
      </c>
      <c r="G38" s="47">
        <v>67.459999999999994</v>
      </c>
      <c r="H38" s="47">
        <v>66.900000000000006</v>
      </c>
      <c r="I38" s="47">
        <v>67.599999999999994</v>
      </c>
      <c r="J38" s="47">
        <v>67.7</v>
      </c>
      <c r="K38" s="47">
        <v>67.599999999999994</v>
      </c>
      <c r="L38" s="47">
        <v>67.5</v>
      </c>
    </row>
    <row r="39" spans="5:12" x14ac:dyDescent="0.25">
      <c r="E39">
        <v>1985</v>
      </c>
      <c r="F39" s="38">
        <f t="shared" si="1"/>
        <v>25502.797520036293</v>
      </c>
      <c r="G39" s="47">
        <v>67.459999999999994</v>
      </c>
      <c r="H39" s="47">
        <v>66.900000000000006</v>
      </c>
      <c r="I39" s="47">
        <v>67.599999999999994</v>
      </c>
      <c r="J39" s="47">
        <v>67.7</v>
      </c>
      <c r="K39" s="47">
        <v>67.599999999999994</v>
      </c>
      <c r="L39" s="47">
        <v>67.5</v>
      </c>
    </row>
    <row r="40" spans="5:12" x14ac:dyDescent="0.25">
      <c r="E40">
        <v>1984</v>
      </c>
      <c r="F40" s="38">
        <f t="shared" si="1"/>
        <v>19529.714199304406</v>
      </c>
      <c r="G40" s="47">
        <v>51.660000000000004</v>
      </c>
      <c r="H40" s="47">
        <v>51.1</v>
      </c>
      <c r="I40" s="47">
        <v>52.2</v>
      </c>
      <c r="J40" s="47">
        <v>52.5</v>
      </c>
      <c r="K40" s="47">
        <v>51.7</v>
      </c>
      <c r="L40" s="47">
        <v>50.8</v>
      </c>
    </row>
    <row r="41" spans="5:12" x14ac:dyDescent="0.25">
      <c r="E41">
        <v>1983</v>
      </c>
      <c r="F41" s="38">
        <f t="shared" si="1"/>
        <v>19529.714199304406</v>
      </c>
      <c r="G41" s="47">
        <v>51.660000000000004</v>
      </c>
      <c r="H41" s="47">
        <v>51.1</v>
      </c>
      <c r="I41" s="47">
        <v>52.2</v>
      </c>
      <c r="J41" s="47">
        <v>52.5</v>
      </c>
      <c r="K41" s="47">
        <v>51.7</v>
      </c>
      <c r="L41" s="47">
        <v>50.8</v>
      </c>
    </row>
    <row r="42" spans="5:12" x14ac:dyDescent="0.25">
      <c r="E42">
        <v>1982</v>
      </c>
      <c r="F42" s="38">
        <f t="shared" si="1"/>
        <v>19529.714199304406</v>
      </c>
      <c r="G42" s="47">
        <v>51.660000000000004</v>
      </c>
      <c r="H42" s="47">
        <v>51.1</v>
      </c>
      <c r="I42" s="47">
        <v>52.2</v>
      </c>
      <c r="J42" s="47">
        <v>52.5</v>
      </c>
      <c r="K42" s="47">
        <v>51.7</v>
      </c>
      <c r="L42" s="47">
        <v>50.8</v>
      </c>
    </row>
    <row r="43" spans="5:12" x14ac:dyDescent="0.25">
      <c r="E43">
        <v>1981</v>
      </c>
      <c r="F43" s="38">
        <f t="shared" si="1"/>
        <v>19529.714199304406</v>
      </c>
      <c r="G43" s="47">
        <v>51.660000000000004</v>
      </c>
      <c r="H43" s="47">
        <v>51.1</v>
      </c>
      <c r="I43" s="47">
        <v>52.2</v>
      </c>
      <c r="J43" s="47">
        <v>52.5</v>
      </c>
      <c r="K43" s="47">
        <v>51.7</v>
      </c>
      <c r="L43" s="47">
        <v>50.8</v>
      </c>
    </row>
    <row r="44" spans="5:12" x14ac:dyDescent="0.25">
      <c r="E44">
        <v>1980</v>
      </c>
      <c r="F44" s="38">
        <f t="shared" si="1"/>
        <v>19529.714199304406</v>
      </c>
      <c r="G44" s="47">
        <v>51.660000000000004</v>
      </c>
      <c r="H44" s="47">
        <v>51.1</v>
      </c>
      <c r="I44" s="47">
        <v>52.2</v>
      </c>
      <c r="J44" s="47">
        <v>52.5</v>
      </c>
      <c r="K44" s="47">
        <v>51.7</v>
      </c>
      <c r="L44" s="47">
        <v>50.8</v>
      </c>
    </row>
    <row r="45" spans="5:12" x14ac:dyDescent="0.25">
      <c r="E45">
        <v>1979</v>
      </c>
      <c r="F45" s="38">
        <f t="shared" si="1"/>
        <v>13874.187207016483</v>
      </c>
      <c r="G45" s="47">
        <v>36.699999999999996</v>
      </c>
      <c r="H45" s="47">
        <v>36.1</v>
      </c>
      <c r="I45" s="47">
        <v>37</v>
      </c>
      <c r="J45" s="47">
        <v>37</v>
      </c>
      <c r="K45" s="47">
        <v>37.299999999999997</v>
      </c>
      <c r="L45" s="47">
        <v>36.1</v>
      </c>
    </row>
    <row r="46" spans="5:12" x14ac:dyDescent="0.25">
      <c r="E46">
        <v>1978</v>
      </c>
      <c r="F46" s="38">
        <f t="shared" si="1"/>
        <v>13874.187207016483</v>
      </c>
      <c r="G46" s="47">
        <v>36.699999999999996</v>
      </c>
      <c r="H46" s="47">
        <v>36.1</v>
      </c>
      <c r="I46" s="47">
        <v>37</v>
      </c>
      <c r="J46" s="47">
        <v>37</v>
      </c>
      <c r="K46" s="47">
        <v>37.299999999999997</v>
      </c>
      <c r="L46" s="47">
        <v>36.1</v>
      </c>
    </row>
    <row r="47" spans="5:12" x14ac:dyDescent="0.25">
      <c r="E47">
        <v>1977</v>
      </c>
      <c r="F47" s="38">
        <f t="shared" si="1"/>
        <v>13874.187207016483</v>
      </c>
      <c r="G47" s="47">
        <v>36.699999999999996</v>
      </c>
      <c r="H47" s="47">
        <v>36.1</v>
      </c>
      <c r="I47" s="47">
        <v>37</v>
      </c>
      <c r="J47" s="47">
        <v>37</v>
      </c>
      <c r="K47" s="47">
        <v>37.299999999999997</v>
      </c>
      <c r="L47" s="47">
        <v>36.1</v>
      </c>
    </row>
    <row r="48" spans="5:12" x14ac:dyDescent="0.25">
      <c r="E48">
        <v>1976</v>
      </c>
      <c r="F48" s="38">
        <f t="shared" si="1"/>
        <v>13874.187207016483</v>
      </c>
      <c r="G48" s="47">
        <v>36.699999999999996</v>
      </c>
      <c r="H48" s="47">
        <v>36.1</v>
      </c>
      <c r="I48" s="47">
        <v>37</v>
      </c>
      <c r="J48" s="47">
        <v>37</v>
      </c>
      <c r="K48" s="47">
        <v>37.299999999999997</v>
      </c>
      <c r="L48" s="47">
        <v>36.1</v>
      </c>
    </row>
    <row r="49" spans="5:12" x14ac:dyDescent="0.25">
      <c r="E49">
        <v>1975</v>
      </c>
      <c r="F49" s="38">
        <f t="shared" si="1"/>
        <v>13874.187207016483</v>
      </c>
      <c r="G49" s="47">
        <v>36.699999999999996</v>
      </c>
      <c r="H49" s="47">
        <v>36.1</v>
      </c>
      <c r="I49" s="47">
        <v>37</v>
      </c>
      <c r="J49" s="47">
        <v>37</v>
      </c>
      <c r="K49" s="47">
        <v>37.299999999999997</v>
      </c>
      <c r="L49" s="47">
        <v>36.1</v>
      </c>
    </row>
    <row r="50" spans="5:12" x14ac:dyDescent="0.25">
      <c r="E50">
        <v>1974</v>
      </c>
      <c r="F50" s="38">
        <f t="shared" ref="F50:F74" si="2">+F49/G49*G50</f>
        <v>8664.7512475427193</v>
      </c>
      <c r="G50" s="47">
        <v>22.919999999999998</v>
      </c>
      <c r="H50" s="47">
        <v>20.9</v>
      </c>
      <c r="I50" s="47">
        <v>23.7</v>
      </c>
      <c r="J50" s="47">
        <v>23.6</v>
      </c>
      <c r="K50" s="47">
        <v>23.4</v>
      </c>
      <c r="L50" s="47">
        <v>23</v>
      </c>
    </row>
    <row r="51" spans="5:12" x14ac:dyDescent="0.25">
      <c r="E51">
        <v>1973</v>
      </c>
      <c r="F51" s="38">
        <f t="shared" si="2"/>
        <v>8664.7512475427193</v>
      </c>
      <c r="G51" s="47">
        <v>22.919999999999998</v>
      </c>
      <c r="H51" s="47">
        <v>20.9</v>
      </c>
      <c r="I51" s="47">
        <v>23.7</v>
      </c>
      <c r="J51" s="47">
        <v>23.6</v>
      </c>
      <c r="K51" s="47">
        <v>23.4</v>
      </c>
      <c r="L51" s="47">
        <v>23</v>
      </c>
    </row>
    <row r="52" spans="5:12" x14ac:dyDescent="0.25">
      <c r="E52">
        <v>1972</v>
      </c>
      <c r="F52" s="38">
        <f t="shared" si="2"/>
        <v>8664.7512475427193</v>
      </c>
      <c r="G52" s="47">
        <v>22.919999999999998</v>
      </c>
      <c r="H52" s="47">
        <v>20.9</v>
      </c>
      <c r="I52" s="47">
        <v>23.7</v>
      </c>
      <c r="J52" s="47">
        <v>23.6</v>
      </c>
      <c r="K52" s="47">
        <v>23.4</v>
      </c>
      <c r="L52" s="47">
        <v>23</v>
      </c>
    </row>
    <row r="53" spans="5:12" x14ac:dyDescent="0.25">
      <c r="E53">
        <v>1971</v>
      </c>
      <c r="F53" s="38">
        <f t="shared" si="2"/>
        <v>8664.7512475427193</v>
      </c>
      <c r="G53" s="47">
        <v>22.919999999999998</v>
      </c>
      <c r="H53" s="47">
        <v>20.9</v>
      </c>
      <c r="I53" s="47">
        <v>23.7</v>
      </c>
      <c r="J53" s="47">
        <v>23.6</v>
      </c>
      <c r="K53" s="47">
        <v>23.4</v>
      </c>
      <c r="L53" s="47">
        <v>23</v>
      </c>
    </row>
    <row r="54" spans="5:12" x14ac:dyDescent="0.25">
      <c r="E54">
        <v>1970</v>
      </c>
      <c r="F54" s="38">
        <f t="shared" si="2"/>
        <v>8664.7512475427193</v>
      </c>
      <c r="G54" s="47">
        <v>22.919999999999998</v>
      </c>
      <c r="H54" s="47">
        <v>20.9</v>
      </c>
      <c r="I54" s="47">
        <v>23.7</v>
      </c>
      <c r="J54" s="47">
        <v>23.6</v>
      </c>
      <c r="K54" s="47">
        <v>23.4</v>
      </c>
      <c r="L54" s="47">
        <v>23</v>
      </c>
    </row>
    <row r="55" spans="5:12" x14ac:dyDescent="0.25">
      <c r="E55">
        <v>1969</v>
      </c>
      <c r="F55" s="38">
        <f t="shared" si="2"/>
        <v>6661.1220323605039</v>
      </c>
      <c r="G55" s="47">
        <v>17.62</v>
      </c>
      <c r="H55" s="47">
        <v>16</v>
      </c>
      <c r="I55" s="47">
        <v>18.2</v>
      </c>
      <c r="J55" s="47">
        <v>18.2</v>
      </c>
      <c r="K55" s="47">
        <v>18</v>
      </c>
      <c r="L55" s="47">
        <v>17.7</v>
      </c>
    </row>
    <row r="56" spans="5:12" x14ac:dyDescent="0.25">
      <c r="E56">
        <v>1968</v>
      </c>
      <c r="F56" s="38">
        <f t="shared" si="2"/>
        <v>6661.1220323605039</v>
      </c>
      <c r="G56" s="47">
        <v>17.62</v>
      </c>
      <c r="H56" s="47">
        <v>16</v>
      </c>
      <c r="I56" s="47">
        <v>18.2</v>
      </c>
      <c r="J56" s="47">
        <v>18.2</v>
      </c>
      <c r="K56" s="47">
        <v>18</v>
      </c>
      <c r="L56" s="47">
        <v>17.7</v>
      </c>
    </row>
    <row r="57" spans="5:12" x14ac:dyDescent="0.25">
      <c r="E57">
        <v>1967</v>
      </c>
      <c r="F57" s="38">
        <f t="shared" si="2"/>
        <v>6661.1220323605039</v>
      </c>
      <c r="G57" s="47">
        <v>17.62</v>
      </c>
      <c r="H57" s="47">
        <v>16</v>
      </c>
      <c r="I57" s="47">
        <v>18.2</v>
      </c>
      <c r="J57" s="47">
        <v>18.2</v>
      </c>
      <c r="K57" s="47">
        <v>18</v>
      </c>
      <c r="L57" s="47">
        <v>17.7</v>
      </c>
    </row>
    <row r="58" spans="5:12" x14ac:dyDescent="0.25">
      <c r="E58">
        <v>1966</v>
      </c>
      <c r="F58" s="38">
        <f t="shared" si="2"/>
        <v>6661.1220323605039</v>
      </c>
      <c r="G58" s="47">
        <v>17.62</v>
      </c>
      <c r="H58" s="47">
        <v>16</v>
      </c>
      <c r="I58" s="47">
        <v>18.2</v>
      </c>
      <c r="J58" s="47">
        <v>18.2</v>
      </c>
      <c r="K58" s="47">
        <v>18</v>
      </c>
      <c r="L58" s="47">
        <v>17.7</v>
      </c>
    </row>
    <row r="59" spans="5:12" x14ac:dyDescent="0.25">
      <c r="E59">
        <v>1965</v>
      </c>
      <c r="F59" s="38">
        <f t="shared" si="2"/>
        <v>6661.1220323605039</v>
      </c>
      <c r="G59" s="47">
        <v>17.62</v>
      </c>
      <c r="H59" s="47">
        <v>16</v>
      </c>
      <c r="I59" s="47">
        <v>18.2</v>
      </c>
      <c r="J59" s="47">
        <v>18.2</v>
      </c>
      <c r="K59" s="47">
        <v>18</v>
      </c>
      <c r="L59" s="47">
        <v>17.7</v>
      </c>
    </row>
    <row r="60" spans="5:12" x14ac:dyDescent="0.25">
      <c r="E60">
        <v>1964</v>
      </c>
      <c r="F60" s="38">
        <f t="shared" si="2"/>
        <v>6056.2528353243615</v>
      </c>
      <c r="G60" s="47">
        <v>16.02</v>
      </c>
      <c r="H60" s="47">
        <v>14.4</v>
      </c>
      <c r="I60" s="47">
        <v>16.600000000000001</v>
      </c>
      <c r="J60" s="47">
        <v>16.600000000000001</v>
      </c>
      <c r="K60" s="47">
        <v>16.399999999999999</v>
      </c>
      <c r="L60" s="47">
        <v>16.100000000000001</v>
      </c>
    </row>
    <row r="61" spans="5:12" x14ac:dyDescent="0.25">
      <c r="E61">
        <v>1963</v>
      </c>
      <c r="F61" s="38">
        <f t="shared" si="2"/>
        <v>6056.2528353243615</v>
      </c>
      <c r="G61" s="47">
        <v>16.02</v>
      </c>
      <c r="H61" s="47">
        <v>14.4</v>
      </c>
      <c r="I61" s="47">
        <v>16.600000000000001</v>
      </c>
      <c r="J61" s="47">
        <v>16.600000000000001</v>
      </c>
      <c r="K61" s="47">
        <v>16.399999999999999</v>
      </c>
      <c r="L61" s="47">
        <v>16.100000000000001</v>
      </c>
    </row>
    <row r="62" spans="5:12" x14ac:dyDescent="0.25">
      <c r="E62">
        <v>1962</v>
      </c>
      <c r="F62" s="38">
        <f t="shared" si="2"/>
        <v>6056.2528353243615</v>
      </c>
      <c r="G62" s="47">
        <v>16.02</v>
      </c>
      <c r="H62" s="47">
        <v>14.4</v>
      </c>
      <c r="I62" s="47">
        <v>16.600000000000001</v>
      </c>
      <c r="J62" s="47">
        <v>16.600000000000001</v>
      </c>
      <c r="K62" s="47">
        <v>16.399999999999999</v>
      </c>
      <c r="L62" s="47">
        <v>16.100000000000001</v>
      </c>
    </row>
    <row r="63" spans="5:12" x14ac:dyDescent="0.25">
      <c r="E63">
        <v>1961</v>
      </c>
      <c r="F63" s="38">
        <f t="shared" si="2"/>
        <v>6056.2528353243615</v>
      </c>
      <c r="G63" s="47">
        <v>16.02</v>
      </c>
      <c r="H63" s="47">
        <v>14.4</v>
      </c>
      <c r="I63" s="47">
        <v>16.600000000000001</v>
      </c>
      <c r="J63" s="47">
        <v>16.600000000000001</v>
      </c>
      <c r="K63" s="47">
        <v>16.399999999999999</v>
      </c>
      <c r="L63" s="47">
        <v>16.100000000000001</v>
      </c>
    </row>
    <row r="64" spans="5:12" x14ac:dyDescent="0.25">
      <c r="E64">
        <v>1960</v>
      </c>
      <c r="F64" s="38">
        <f t="shared" si="2"/>
        <v>6056.2528353243615</v>
      </c>
      <c r="G64" s="47">
        <v>16.02</v>
      </c>
      <c r="H64" s="47">
        <v>14.4</v>
      </c>
      <c r="I64" s="47">
        <v>16.600000000000001</v>
      </c>
      <c r="J64" s="47">
        <v>16.600000000000001</v>
      </c>
      <c r="K64" s="47">
        <v>16.399999999999999</v>
      </c>
      <c r="L64" s="47">
        <v>16.100000000000001</v>
      </c>
    </row>
    <row r="65" spans="5:12" x14ac:dyDescent="0.25">
      <c r="E65">
        <v>1959</v>
      </c>
      <c r="F65" s="38">
        <f t="shared" si="2"/>
        <v>5073.3403901406318</v>
      </c>
      <c r="G65" s="47">
        <v>13.419999999999998</v>
      </c>
      <c r="H65" s="47">
        <v>12.1</v>
      </c>
      <c r="I65" s="47">
        <v>13.9</v>
      </c>
      <c r="J65" s="47">
        <v>13.9</v>
      </c>
      <c r="K65" s="47">
        <v>13.7</v>
      </c>
      <c r="L65" s="47">
        <v>13.5</v>
      </c>
    </row>
    <row r="66" spans="5:12" x14ac:dyDescent="0.25">
      <c r="E66">
        <v>1958</v>
      </c>
      <c r="F66" s="38">
        <f t="shared" si="2"/>
        <v>5073.3403901406318</v>
      </c>
      <c r="G66" s="47">
        <v>13.419999999999998</v>
      </c>
      <c r="H66" s="47">
        <v>12.1</v>
      </c>
      <c r="I66" s="47">
        <v>13.9</v>
      </c>
      <c r="J66" s="47">
        <v>13.9</v>
      </c>
      <c r="K66" s="47">
        <v>13.7</v>
      </c>
      <c r="L66" s="47">
        <v>13.5</v>
      </c>
    </row>
    <row r="67" spans="5:12" x14ac:dyDescent="0.25">
      <c r="E67">
        <v>1957</v>
      </c>
      <c r="F67" s="38">
        <f t="shared" si="2"/>
        <v>5073.3403901406318</v>
      </c>
      <c r="G67" s="47">
        <v>13.419999999999998</v>
      </c>
      <c r="H67" s="47">
        <v>12.1</v>
      </c>
      <c r="I67" s="47">
        <v>13.9</v>
      </c>
      <c r="J67" s="47">
        <v>13.9</v>
      </c>
      <c r="K67" s="47">
        <v>13.7</v>
      </c>
      <c r="L67" s="47">
        <v>13.5</v>
      </c>
    </row>
    <row r="68" spans="5:12" x14ac:dyDescent="0.25">
      <c r="E68">
        <v>1956</v>
      </c>
      <c r="F68" s="38">
        <f t="shared" si="2"/>
        <v>5073.3403901406318</v>
      </c>
      <c r="G68" s="47">
        <v>13.419999999999998</v>
      </c>
      <c r="H68" s="47">
        <v>12.1</v>
      </c>
      <c r="I68" s="47">
        <v>13.9</v>
      </c>
      <c r="J68" s="47">
        <v>13.9</v>
      </c>
      <c r="K68" s="47">
        <v>13.7</v>
      </c>
      <c r="L68" s="47">
        <v>13.5</v>
      </c>
    </row>
    <row r="69" spans="5:12" x14ac:dyDescent="0.25">
      <c r="E69">
        <v>1955</v>
      </c>
      <c r="F69" s="38">
        <f t="shared" si="2"/>
        <v>5073.3403901406318</v>
      </c>
      <c r="G69" s="47">
        <v>13.419999999999998</v>
      </c>
      <c r="H69" s="47">
        <v>12.1</v>
      </c>
      <c r="I69" s="47">
        <v>13.9</v>
      </c>
      <c r="J69" s="47">
        <v>13.9</v>
      </c>
      <c r="K69" s="47">
        <v>13.7</v>
      </c>
      <c r="L69" s="47">
        <v>13.5</v>
      </c>
    </row>
    <row r="70" spans="5:12" x14ac:dyDescent="0.25">
      <c r="E70">
        <v>1954</v>
      </c>
      <c r="F70" s="38">
        <f t="shared" si="2"/>
        <v>4203.8409194011801</v>
      </c>
      <c r="G70" s="47">
        <v>11.12</v>
      </c>
      <c r="H70" s="47">
        <v>10</v>
      </c>
      <c r="I70" s="47">
        <v>11.5</v>
      </c>
      <c r="J70" s="47">
        <v>11.5</v>
      </c>
      <c r="K70" s="47">
        <v>11.4</v>
      </c>
      <c r="L70" s="47">
        <v>11.2</v>
      </c>
    </row>
    <row r="71" spans="5:12" x14ac:dyDescent="0.25">
      <c r="E71">
        <v>1953</v>
      </c>
      <c r="F71" s="38">
        <f t="shared" si="2"/>
        <v>4203.8409194011801</v>
      </c>
      <c r="G71" s="47">
        <v>11.12</v>
      </c>
      <c r="H71" s="47">
        <v>10</v>
      </c>
      <c r="I71" s="47">
        <v>11.5</v>
      </c>
      <c r="J71" s="47">
        <v>11.5</v>
      </c>
      <c r="K71" s="47">
        <v>11.4</v>
      </c>
      <c r="L71" s="47">
        <v>11.2</v>
      </c>
    </row>
    <row r="72" spans="5:12" x14ac:dyDescent="0.25">
      <c r="E72">
        <v>1952</v>
      </c>
      <c r="F72" s="38">
        <f t="shared" si="2"/>
        <v>4203.8409194011801</v>
      </c>
      <c r="G72" s="47">
        <v>11.12</v>
      </c>
      <c r="H72" s="47">
        <v>10</v>
      </c>
      <c r="I72" s="47">
        <v>11.5</v>
      </c>
      <c r="J72" s="47">
        <v>11.5</v>
      </c>
      <c r="K72" s="47">
        <v>11.4</v>
      </c>
      <c r="L72" s="47">
        <v>11.2</v>
      </c>
    </row>
    <row r="73" spans="5:12" x14ac:dyDescent="0.25">
      <c r="E73">
        <v>1951</v>
      </c>
      <c r="F73" s="38">
        <f t="shared" si="2"/>
        <v>4203.8409194011801</v>
      </c>
      <c r="G73" s="47">
        <v>11.12</v>
      </c>
      <c r="H73" s="47">
        <v>10</v>
      </c>
      <c r="I73" s="47">
        <v>11.5</v>
      </c>
      <c r="J73" s="47">
        <v>11.5</v>
      </c>
      <c r="K73" s="47">
        <v>11.4</v>
      </c>
      <c r="L73" s="47">
        <v>11.2</v>
      </c>
    </row>
    <row r="74" spans="5:12" x14ac:dyDescent="0.25">
      <c r="E74">
        <v>1950</v>
      </c>
      <c r="F74" s="38">
        <f t="shared" si="2"/>
        <v>4203.8409194011801</v>
      </c>
      <c r="G74" s="47">
        <v>11.12</v>
      </c>
      <c r="H74" s="47">
        <v>10</v>
      </c>
      <c r="I74" s="47">
        <v>11.5</v>
      </c>
      <c r="J74" s="47">
        <v>11.5</v>
      </c>
      <c r="K74" s="47">
        <v>11.4</v>
      </c>
      <c r="L74" s="47">
        <v>11.2</v>
      </c>
    </row>
    <row r="75" spans="5:12" x14ac:dyDescent="0.25">
      <c r="E75">
        <v>1949</v>
      </c>
      <c r="F75" s="38"/>
      <c r="G75" s="47">
        <v>11.12</v>
      </c>
      <c r="H75" s="47">
        <v>10</v>
      </c>
      <c r="I75" s="47">
        <v>11.5</v>
      </c>
      <c r="J75" s="47">
        <v>11.5</v>
      </c>
      <c r="K75" s="47">
        <v>11.4</v>
      </c>
      <c r="L75" s="47">
        <v>11.2</v>
      </c>
    </row>
    <row r="76" spans="5:12" x14ac:dyDescent="0.25">
      <c r="E76">
        <v>1948</v>
      </c>
      <c r="F76" s="38"/>
      <c r="G76" s="47">
        <v>11.12</v>
      </c>
      <c r="H76" s="47">
        <v>10</v>
      </c>
      <c r="I76" s="47">
        <v>11.5</v>
      </c>
      <c r="J76" s="47">
        <v>11.5</v>
      </c>
      <c r="K76" s="47">
        <v>11.4</v>
      </c>
      <c r="L76" s="47">
        <v>11.2</v>
      </c>
    </row>
    <row r="77" spans="5:12" x14ac:dyDescent="0.25">
      <c r="E77">
        <v>1947</v>
      </c>
      <c r="F77" s="38"/>
      <c r="G77" s="47">
        <v>11.12</v>
      </c>
      <c r="H77" s="47">
        <v>10</v>
      </c>
      <c r="I77" s="47">
        <v>11.5</v>
      </c>
      <c r="J77" s="47">
        <v>11.5</v>
      </c>
      <c r="K77" s="47">
        <v>11.4</v>
      </c>
      <c r="L77" s="47">
        <v>11.2</v>
      </c>
    </row>
    <row r="78" spans="5:12" x14ac:dyDescent="0.25">
      <c r="E78">
        <v>1946</v>
      </c>
      <c r="F78" s="38"/>
      <c r="G78" s="47">
        <v>11.12</v>
      </c>
      <c r="H78" s="47">
        <v>10</v>
      </c>
      <c r="I78" s="47">
        <v>11.5</v>
      </c>
      <c r="J78" s="47">
        <v>11.5</v>
      </c>
      <c r="K78" s="47">
        <v>11.4</v>
      </c>
      <c r="L78" s="47">
        <v>11.2</v>
      </c>
    </row>
    <row r="79" spans="5:12" x14ac:dyDescent="0.25">
      <c r="E79">
        <v>1945</v>
      </c>
      <c r="F79" s="38"/>
      <c r="G79" s="47">
        <v>11.12</v>
      </c>
      <c r="H79" s="47">
        <v>10</v>
      </c>
      <c r="I79" s="47">
        <v>11.5</v>
      </c>
      <c r="J79" s="47">
        <v>11.5</v>
      </c>
      <c r="K79" s="47">
        <v>11.4</v>
      </c>
      <c r="L79" s="47">
        <v>11.2</v>
      </c>
    </row>
    <row r="80" spans="5:12" x14ac:dyDescent="0.25">
      <c r="E80">
        <v>1944</v>
      </c>
      <c r="F80" s="38"/>
      <c r="G80" s="47">
        <v>11.12</v>
      </c>
      <c r="H80" s="47">
        <v>10</v>
      </c>
      <c r="I80" s="47">
        <v>11.5</v>
      </c>
      <c r="J80" s="47">
        <v>11.5</v>
      </c>
      <c r="K80" s="47">
        <v>11.4</v>
      </c>
      <c r="L80" s="47">
        <v>11.2</v>
      </c>
    </row>
    <row r="81" spans="5:12" x14ac:dyDescent="0.25">
      <c r="E81">
        <v>1943</v>
      </c>
      <c r="F81" s="38"/>
      <c r="G81" s="47">
        <v>11.12</v>
      </c>
      <c r="H81" s="47">
        <v>10</v>
      </c>
      <c r="I81" s="47">
        <v>11.5</v>
      </c>
      <c r="J81" s="47">
        <v>11.5</v>
      </c>
      <c r="K81" s="47">
        <v>11.4</v>
      </c>
      <c r="L81" s="47">
        <v>11.2</v>
      </c>
    </row>
    <row r="82" spans="5:12" x14ac:dyDescent="0.25">
      <c r="E82">
        <v>1942</v>
      </c>
      <c r="F82" s="38"/>
      <c r="G82" s="47">
        <v>11.12</v>
      </c>
      <c r="H82" s="47">
        <v>10</v>
      </c>
      <c r="I82" s="47">
        <v>11.5</v>
      </c>
      <c r="J82" s="47">
        <v>11.5</v>
      </c>
      <c r="K82" s="47">
        <v>11.4</v>
      </c>
      <c r="L82" s="47">
        <v>11.2</v>
      </c>
    </row>
    <row r="83" spans="5:12" x14ac:dyDescent="0.25">
      <c r="E83">
        <v>1941</v>
      </c>
      <c r="F83" s="38"/>
      <c r="G83" s="47">
        <v>11.12</v>
      </c>
      <c r="H83" s="47">
        <v>10</v>
      </c>
      <c r="I83" s="47">
        <v>11.5</v>
      </c>
      <c r="J83" s="47">
        <v>11.5</v>
      </c>
      <c r="K83" s="47">
        <v>11.4</v>
      </c>
      <c r="L83" s="47">
        <v>11.2</v>
      </c>
    </row>
    <row r="84" spans="5:12" x14ac:dyDescent="0.25">
      <c r="E84">
        <v>1940</v>
      </c>
      <c r="F84" s="38"/>
      <c r="G84" s="47">
        <v>11.12</v>
      </c>
      <c r="H84" s="47">
        <v>10</v>
      </c>
      <c r="I84" s="47">
        <v>11.5</v>
      </c>
      <c r="J84" s="47">
        <v>11.5</v>
      </c>
      <c r="K84" s="47">
        <v>11.4</v>
      </c>
      <c r="L84" s="47">
        <v>11.2</v>
      </c>
    </row>
  </sheetData>
  <phoneticPr fontId="4" type="noConversion"/>
  <pageMargins left="0.75" right="0.75" top="1" bottom="1" header="0.5" footer="0.5"/>
  <headerFooter alignWithMargins="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tint="-0.249977111117893"/>
  </sheetPr>
  <dimension ref="A1:AA398"/>
  <sheetViews>
    <sheetView zoomScaleNormal="100" workbookViewId="0">
      <selection activeCell="L20" sqref="L20"/>
    </sheetView>
  </sheetViews>
  <sheetFormatPr defaultRowHeight="13.2" x14ac:dyDescent="0.25"/>
  <cols>
    <col min="1" max="1" width="11" bestFit="1" customWidth="1"/>
    <col min="2" max="2" width="16.6640625" style="37" bestFit="1" customWidth="1"/>
    <col min="3" max="3" width="11.33203125" style="67" bestFit="1" customWidth="1"/>
    <col min="4" max="4" width="11" style="67" customWidth="1"/>
    <col min="5" max="5" width="9.33203125" style="32" customWidth="1"/>
    <col min="6" max="6" width="8.6640625" style="32" customWidth="1"/>
    <col min="7" max="7" width="9.21875" style="63" bestFit="1" customWidth="1"/>
    <col min="8" max="8" width="12.21875" style="67" bestFit="1" customWidth="1"/>
    <col min="9" max="9" width="10.44140625" style="63" bestFit="1" customWidth="1"/>
    <col min="10" max="10" width="10.6640625" style="37" bestFit="1" customWidth="1"/>
    <col min="11" max="11" width="9.21875" style="37" customWidth="1"/>
    <col min="13" max="13" width="11.6640625" style="32" bestFit="1" customWidth="1"/>
    <col min="14" max="14" width="8.88671875" style="32"/>
    <col min="15" max="15" width="11" style="32" bestFit="1" customWidth="1"/>
    <col min="16" max="16" width="8.88671875" style="32"/>
    <col min="17" max="17" width="8" style="32" bestFit="1" customWidth="1"/>
    <col min="18" max="18" width="10.44140625" style="63" bestFit="1" customWidth="1"/>
    <col min="19" max="19" width="11.44140625" style="67" bestFit="1" customWidth="1"/>
    <col min="20" max="20" width="16.6640625" style="32" bestFit="1" customWidth="1"/>
    <col min="21" max="21" width="11.33203125" style="32" bestFit="1" customWidth="1"/>
    <col min="22" max="22" width="11" style="32" customWidth="1"/>
    <col min="23" max="23" width="6" style="32" bestFit="1" customWidth="1"/>
    <col min="24" max="24" width="8.6640625" style="32" customWidth="1"/>
    <col min="25" max="25" width="8.33203125" style="32" bestFit="1" customWidth="1"/>
    <col min="26" max="26" width="7.88671875" style="32" bestFit="1" customWidth="1"/>
    <col min="27" max="27" width="11.44140625" style="32" bestFit="1" customWidth="1"/>
    <col min="28" max="16384" width="8.88671875" style="32"/>
  </cols>
  <sheetData>
    <row r="1" spans="1:27" s="68" customFormat="1" ht="38.4" customHeight="1" x14ac:dyDescent="0.25">
      <c r="A1" s="68" t="s">
        <v>51</v>
      </c>
      <c r="B1" s="68" t="s">
        <v>526</v>
      </c>
      <c r="C1" s="171" t="s">
        <v>753</v>
      </c>
      <c r="D1" s="171" t="s">
        <v>754</v>
      </c>
      <c r="E1" s="68" t="s">
        <v>752</v>
      </c>
      <c r="F1" s="172" t="s">
        <v>755</v>
      </c>
      <c r="G1" s="173" t="s">
        <v>130</v>
      </c>
      <c r="H1" s="171" t="s">
        <v>529</v>
      </c>
      <c r="I1" s="173" t="s">
        <v>527</v>
      </c>
      <c r="J1" s="68" t="s">
        <v>28</v>
      </c>
      <c r="K1" s="68" t="s">
        <v>759</v>
      </c>
      <c r="M1" s="169"/>
      <c r="R1" s="80"/>
      <c r="S1" s="81"/>
      <c r="T1" s="80"/>
    </row>
    <row r="2" spans="1:27" x14ac:dyDescent="0.25">
      <c r="A2">
        <v>1003205337</v>
      </c>
      <c r="B2" s="37">
        <v>0.65</v>
      </c>
      <c r="C2" s="67">
        <v>29526</v>
      </c>
      <c r="D2" s="67">
        <v>29526</v>
      </c>
      <c r="E2" s="32">
        <v>27520</v>
      </c>
      <c r="F2" s="67">
        <v>100</v>
      </c>
      <c r="G2" s="63">
        <v>7</v>
      </c>
      <c r="H2" s="67">
        <v>66398</v>
      </c>
      <c r="I2" s="63">
        <v>663.98</v>
      </c>
      <c r="J2" s="132">
        <v>26.74</v>
      </c>
      <c r="K2" s="134">
        <v>1.2034</v>
      </c>
      <c r="M2" s="170"/>
      <c r="R2" s="32"/>
      <c r="T2" s="63"/>
      <c r="U2" s="132"/>
      <c r="V2" s="134"/>
      <c r="Y2" s="63"/>
      <c r="Z2" s="67"/>
      <c r="AA2" s="67"/>
    </row>
    <row r="3" spans="1:27" x14ac:dyDescent="0.25">
      <c r="A3">
        <v>1003366311</v>
      </c>
      <c r="B3" s="37">
        <v>0.65457083042568032</v>
      </c>
      <c r="C3" s="67">
        <v>47783</v>
      </c>
      <c r="D3" s="67">
        <v>47783</v>
      </c>
      <c r="E3" s="32">
        <v>27886</v>
      </c>
      <c r="F3" s="67">
        <v>159</v>
      </c>
      <c r="G3" s="63">
        <v>16.839999999999918</v>
      </c>
      <c r="H3" s="67">
        <v>63600</v>
      </c>
      <c r="I3" s="63">
        <v>251.13836477987422</v>
      </c>
      <c r="J3" s="132">
        <v>8.6399999999999988</v>
      </c>
      <c r="K3" s="134">
        <v>1.1669</v>
      </c>
      <c r="M3" s="170"/>
      <c r="R3" s="32"/>
      <c r="T3" s="63"/>
      <c r="U3" s="132"/>
      <c r="V3" s="134"/>
      <c r="Y3" s="63"/>
      <c r="Z3" s="67"/>
      <c r="AA3" s="67"/>
    </row>
    <row r="4" spans="1:27" x14ac:dyDescent="0.25">
      <c r="A4">
        <v>1003869983</v>
      </c>
      <c r="B4" s="37">
        <v>0.64320495794599386</v>
      </c>
      <c r="C4" s="67">
        <v>44760</v>
      </c>
      <c r="D4" s="67">
        <v>44760</v>
      </c>
      <c r="E4" s="32">
        <v>27344</v>
      </c>
      <c r="F4" s="67">
        <v>150</v>
      </c>
      <c r="G4" s="63">
        <v>33.5</v>
      </c>
      <c r="H4" s="67">
        <v>48750</v>
      </c>
      <c r="I4" s="63">
        <v>293.46666666666664</v>
      </c>
      <c r="J4" s="132">
        <v>8.6399999999999988</v>
      </c>
      <c r="K4" s="134">
        <v>0.99350000000000005</v>
      </c>
      <c r="M4" s="170"/>
      <c r="R4" s="32"/>
      <c r="T4" s="63"/>
      <c r="U4" s="132"/>
      <c r="V4" s="134"/>
      <c r="Y4" s="63"/>
      <c r="Z4" s="67"/>
      <c r="AA4" s="67"/>
    </row>
    <row r="5" spans="1:27" x14ac:dyDescent="0.25">
      <c r="A5">
        <v>1013951896</v>
      </c>
      <c r="B5" s="37">
        <v>0.52073603586773776</v>
      </c>
      <c r="C5" s="67">
        <v>26876</v>
      </c>
      <c r="D5" s="67">
        <v>26876</v>
      </c>
      <c r="E5" s="32">
        <v>27845</v>
      </c>
      <c r="F5" s="67">
        <v>80</v>
      </c>
      <c r="G5" s="63">
        <v>27.170000000000073</v>
      </c>
      <c r="H5" s="67">
        <v>31536</v>
      </c>
      <c r="I5" s="63">
        <v>394.2</v>
      </c>
      <c r="J5" s="132">
        <v>26.74</v>
      </c>
      <c r="K5" s="134">
        <v>1.145</v>
      </c>
      <c r="M5" s="170"/>
      <c r="R5" s="32"/>
      <c r="T5" s="63"/>
      <c r="U5" s="132"/>
      <c r="V5" s="134"/>
      <c r="Y5" s="63"/>
      <c r="Z5" s="67"/>
      <c r="AA5" s="67"/>
    </row>
    <row r="6" spans="1:27" x14ac:dyDescent="0.25">
      <c r="A6">
        <v>1023358991</v>
      </c>
      <c r="B6" s="37">
        <v>0.56678451323618184</v>
      </c>
      <c r="C6" s="67">
        <v>24405</v>
      </c>
      <c r="D6" s="67">
        <v>24405</v>
      </c>
      <c r="E6" s="32">
        <v>28577</v>
      </c>
      <c r="F6" s="67">
        <v>104</v>
      </c>
      <c r="G6" s="63">
        <v>30.880000000000109</v>
      </c>
      <c r="H6" s="67">
        <v>50521</v>
      </c>
      <c r="I6" s="63">
        <v>485.77884615384613</v>
      </c>
      <c r="J6" s="132">
        <v>26.74</v>
      </c>
      <c r="K6" s="134">
        <v>0.99490000000000001</v>
      </c>
      <c r="M6" s="170"/>
      <c r="R6" s="32"/>
      <c r="T6" s="63"/>
      <c r="U6" s="132"/>
      <c r="V6" s="134"/>
      <c r="Y6" s="63"/>
      <c r="Z6" s="67"/>
      <c r="AA6" s="67"/>
    </row>
    <row r="7" spans="1:27" x14ac:dyDescent="0.25">
      <c r="A7">
        <v>1023386190</v>
      </c>
      <c r="B7" s="37">
        <v>0.62870031012122929</v>
      </c>
      <c r="C7" s="67">
        <v>25697</v>
      </c>
      <c r="D7" s="67">
        <v>25697</v>
      </c>
      <c r="E7" s="32">
        <v>28398</v>
      </c>
      <c r="F7" s="67">
        <v>100</v>
      </c>
      <c r="G7" s="63">
        <v>26.900000000000091</v>
      </c>
      <c r="H7" s="67">
        <v>35000</v>
      </c>
      <c r="I7" s="63">
        <v>0</v>
      </c>
      <c r="J7" s="132">
        <v>26.74</v>
      </c>
      <c r="K7" s="134">
        <v>1.1234</v>
      </c>
      <c r="M7" s="170"/>
      <c r="R7" s="32"/>
      <c r="T7" s="63"/>
      <c r="U7" s="132"/>
      <c r="V7" s="134"/>
      <c r="Y7" s="63"/>
      <c r="Z7" s="67"/>
      <c r="AA7" s="67"/>
    </row>
    <row r="8" spans="1:27" x14ac:dyDescent="0.25">
      <c r="A8">
        <v>1023481520</v>
      </c>
      <c r="B8" s="37">
        <v>0.6270992053739658</v>
      </c>
      <c r="C8" s="67">
        <v>23211</v>
      </c>
      <c r="D8" s="67">
        <v>23211</v>
      </c>
      <c r="E8" s="32">
        <v>28301</v>
      </c>
      <c r="F8" s="67">
        <v>80</v>
      </c>
      <c r="G8" s="63">
        <v>4.9100000000000819</v>
      </c>
      <c r="H8" s="67">
        <v>56000</v>
      </c>
      <c r="I8" s="63">
        <v>839.96789759125659</v>
      </c>
      <c r="J8" s="132">
        <v>26.74</v>
      </c>
      <c r="K8" s="134">
        <v>1.1890000000000001</v>
      </c>
      <c r="M8" s="170"/>
      <c r="R8" s="32"/>
      <c r="T8" s="63"/>
      <c r="U8" s="132"/>
      <c r="V8" s="134"/>
      <c r="Y8" s="63"/>
      <c r="Z8" s="67"/>
      <c r="AA8" s="67"/>
    </row>
    <row r="9" spans="1:27" x14ac:dyDescent="0.25">
      <c r="A9">
        <v>1023671765</v>
      </c>
      <c r="B9" s="37">
        <v>0.64814975301152622</v>
      </c>
      <c r="C9" s="67">
        <v>44613</v>
      </c>
      <c r="D9" s="67">
        <v>44613</v>
      </c>
      <c r="E9" s="32">
        <v>27203</v>
      </c>
      <c r="F9" s="67">
        <v>238</v>
      </c>
      <c r="G9" s="63">
        <v>33.5</v>
      </c>
      <c r="H9" s="67">
        <v>77350</v>
      </c>
      <c r="I9" s="63">
        <v>279.14705882352939</v>
      </c>
      <c r="J9" s="132">
        <v>8.6399999999999988</v>
      </c>
      <c r="K9" s="134">
        <v>1.3506</v>
      </c>
      <c r="M9" s="170"/>
      <c r="R9" s="32"/>
      <c r="T9" s="63"/>
      <c r="U9" s="132"/>
      <c r="V9" s="134"/>
      <c r="Y9" s="63"/>
      <c r="Z9" s="67"/>
      <c r="AA9" s="67"/>
    </row>
    <row r="10" spans="1:27" x14ac:dyDescent="0.25">
      <c r="A10">
        <v>1033244090</v>
      </c>
      <c r="B10" s="37">
        <v>0.69840889102102821</v>
      </c>
      <c r="C10" s="67">
        <v>46130</v>
      </c>
      <c r="D10" s="67">
        <v>46130</v>
      </c>
      <c r="E10" s="32">
        <v>28086</v>
      </c>
      <c r="F10" s="67">
        <v>154</v>
      </c>
      <c r="G10" s="63">
        <v>21.75</v>
      </c>
      <c r="H10" s="67">
        <v>57750</v>
      </c>
      <c r="I10" s="63">
        <v>327.75974025974028</v>
      </c>
      <c r="J10" s="132">
        <v>8.6399999999999988</v>
      </c>
      <c r="K10" s="134">
        <v>1.1285000000000001</v>
      </c>
      <c r="M10" s="170"/>
      <c r="R10" s="32"/>
      <c r="T10" s="63"/>
      <c r="U10" s="132"/>
      <c r="V10" s="134"/>
      <c r="Y10" s="63"/>
      <c r="Z10" s="67"/>
      <c r="AA10" s="67"/>
    </row>
    <row r="11" spans="1:27" x14ac:dyDescent="0.25">
      <c r="A11">
        <v>1033513320</v>
      </c>
      <c r="B11" s="37">
        <v>0.58044413236197667</v>
      </c>
      <c r="C11" s="67">
        <v>31297</v>
      </c>
      <c r="D11" s="67">
        <v>31297</v>
      </c>
      <c r="E11" s="32">
        <v>28379</v>
      </c>
      <c r="F11" s="67">
        <v>120</v>
      </c>
      <c r="G11" s="63">
        <v>23.720000000000027</v>
      </c>
      <c r="H11" s="67">
        <v>45000</v>
      </c>
      <c r="I11" s="63">
        <v>287.75</v>
      </c>
      <c r="J11" s="132">
        <v>26.74</v>
      </c>
      <c r="K11" s="134">
        <v>1.1655</v>
      </c>
      <c r="M11" s="170"/>
      <c r="R11" s="32"/>
      <c r="T11" s="63"/>
      <c r="U11" s="132"/>
      <c r="V11" s="134"/>
      <c r="Y11" s="63"/>
      <c r="Z11" s="67"/>
      <c r="AA11" s="67"/>
    </row>
    <row r="12" spans="1:27" x14ac:dyDescent="0.25">
      <c r="A12">
        <v>1033611959</v>
      </c>
      <c r="B12" s="37">
        <v>0.65</v>
      </c>
      <c r="C12" s="67">
        <v>22631</v>
      </c>
      <c r="D12" s="67">
        <v>22631</v>
      </c>
      <c r="E12" s="32">
        <v>27517</v>
      </c>
      <c r="F12" s="67">
        <v>133</v>
      </c>
      <c r="G12" s="63">
        <v>3.6700000000000728</v>
      </c>
      <c r="H12" s="67">
        <v>58275.060786229202</v>
      </c>
      <c r="I12" s="63">
        <v>438.15835177615941</v>
      </c>
      <c r="J12" s="132">
        <v>26.74</v>
      </c>
      <c r="K12" s="134">
        <v>1.0842000000000001</v>
      </c>
      <c r="M12" s="170"/>
      <c r="R12" s="32"/>
      <c r="T12" s="63"/>
      <c r="U12" s="132"/>
      <c r="V12" s="134"/>
      <c r="Y12" s="63"/>
      <c r="Z12" s="67"/>
      <c r="AA12" s="67"/>
    </row>
    <row r="13" spans="1:27" x14ac:dyDescent="0.25">
      <c r="A13">
        <v>1033784970</v>
      </c>
      <c r="B13" s="37">
        <v>0.61825171318736416</v>
      </c>
      <c r="C13" s="67">
        <v>35891</v>
      </c>
      <c r="D13" s="67">
        <v>35891</v>
      </c>
      <c r="E13" s="32">
        <v>27406</v>
      </c>
      <c r="F13" s="67">
        <v>110</v>
      </c>
      <c r="G13" s="63">
        <v>8.2699999999999818</v>
      </c>
      <c r="H13" s="67">
        <v>46750</v>
      </c>
      <c r="I13" s="63">
        <v>333.5181818181818</v>
      </c>
      <c r="J13" s="132">
        <v>26.74</v>
      </c>
      <c r="K13" s="134">
        <v>1.2625999999999999</v>
      </c>
      <c r="M13" s="170"/>
      <c r="R13" s="32"/>
      <c r="T13" s="63"/>
      <c r="U13" s="132"/>
      <c r="V13" s="134"/>
      <c r="Y13" s="63"/>
      <c r="Z13" s="67"/>
      <c r="AA13" s="67"/>
    </row>
    <row r="14" spans="1:27" x14ac:dyDescent="0.25">
      <c r="A14">
        <v>1043263981</v>
      </c>
      <c r="B14" s="37">
        <v>0.65334044065387353</v>
      </c>
      <c r="C14" s="67">
        <v>27262</v>
      </c>
      <c r="D14" s="67">
        <v>27262</v>
      </c>
      <c r="E14" s="32">
        <v>28329</v>
      </c>
      <c r="F14" s="67">
        <v>100</v>
      </c>
      <c r="G14" s="63">
        <v>23.059999999999945</v>
      </c>
      <c r="H14" s="67">
        <v>37500</v>
      </c>
      <c r="I14" s="63">
        <v>374.73</v>
      </c>
      <c r="J14" s="132">
        <v>26.74</v>
      </c>
      <c r="K14" s="134">
        <v>1.1704000000000001</v>
      </c>
      <c r="M14" s="170"/>
      <c r="R14" s="32"/>
      <c r="T14" s="63"/>
      <c r="U14" s="132"/>
      <c r="V14" s="134"/>
      <c r="Y14" s="63"/>
      <c r="Z14" s="67"/>
      <c r="AA14" s="67"/>
    </row>
    <row r="15" spans="1:27" x14ac:dyDescent="0.25">
      <c r="A15">
        <v>1043314602</v>
      </c>
      <c r="B15" s="37">
        <v>0.68245472541975227</v>
      </c>
      <c r="C15" s="67">
        <v>41244</v>
      </c>
      <c r="D15" s="67">
        <v>41244</v>
      </c>
      <c r="E15" s="32">
        <v>27262</v>
      </c>
      <c r="F15" s="67">
        <v>129</v>
      </c>
      <c r="G15" s="63">
        <v>10.690000000000055</v>
      </c>
      <c r="H15" s="67">
        <v>66368</v>
      </c>
      <c r="I15" s="63">
        <v>514.48062015503876</v>
      </c>
      <c r="J15" s="132">
        <v>26.74</v>
      </c>
      <c r="K15" s="134">
        <v>1.3228</v>
      </c>
      <c r="M15" s="170"/>
      <c r="R15" s="32"/>
      <c r="T15" s="63"/>
      <c r="U15" s="132"/>
      <c r="V15" s="134"/>
      <c r="Y15" s="63"/>
      <c r="Z15" s="67"/>
      <c r="AA15" s="67"/>
    </row>
    <row r="16" spans="1:27" x14ac:dyDescent="0.25">
      <c r="A16">
        <v>1043703945</v>
      </c>
      <c r="B16" s="37">
        <v>0.61682716675114035</v>
      </c>
      <c r="C16" s="67">
        <v>28421</v>
      </c>
      <c r="D16" s="67">
        <v>28421</v>
      </c>
      <c r="E16" s="32">
        <v>28052</v>
      </c>
      <c r="F16" s="67">
        <v>118</v>
      </c>
      <c r="G16" s="63">
        <v>2.3299999999999272</v>
      </c>
      <c r="H16" s="67">
        <v>50150</v>
      </c>
      <c r="I16" s="63">
        <v>298.27118644067798</v>
      </c>
      <c r="J16" s="132">
        <v>26.74</v>
      </c>
      <c r="K16" s="134">
        <v>1.1251</v>
      </c>
      <c r="M16" s="170"/>
      <c r="R16" s="32"/>
      <c r="T16" s="63"/>
      <c r="U16" s="132"/>
      <c r="V16" s="134"/>
      <c r="Y16" s="63"/>
      <c r="Z16" s="67"/>
      <c r="AA16" s="67"/>
    </row>
    <row r="17" spans="1:27" x14ac:dyDescent="0.25">
      <c r="A17">
        <v>1043865538</v>
      </c>
      <c r="B17" s="37">
        <v>0.57355207105954853</v>
      </c>
      <c r="C17" s="67">
        <v>19442</v>
      </c>
      <c r="D17" s="67">
        <v>19442</v>
      </c>
      <c r="E17" s="32">
        <v>27549</v>
      </c>
      <c r="F17" s="67">
        <v>92</v>
      </c>
      <c r="G17" s="63">
        <v>27.220000000000027</v>
      </c>
      <c r="H17" s="67">
        <v>32200</v>
      </c>
      <c r="I17" s="63">
        <v>338.19521739130431</v>
      </c>
      <c r="J17" s="132">
        <v>26.74</v>
      </c>
      <c r="K17" s="134">
        <v>1.0327999999999999</v>
      </c>
      <c r="M17" s="170"/>
      <c r="R17" s="32"/>
      <c r="T17" s="63"/>
      <c r="U17" s="132"/>
      <c r="V17" s="134"/>
      <c r="Y17" s="63"/>
      <c r="Z17" s="67"/>
      <c r="AA17" s="67"/>
    </row>
    <row r="18" spans="1:27" x14ac:dyDescent="0.25">
      <c r="A18">
        <v>1053380626</v>
      </c>
      <c r="B18" s="37">
        <v>0.65862406260189099</v>
      </c>
      <c r="C18" s="67">
        <v>37695</v>
      </c>
      <c r="D18" s="67">
        <v>37695</v>
      </c>
      <c r="E18" s="32">
        <v>28262</v>
      </c>
      <c r="F18" s="67">
        <v>120</v>
      </c>
      <c r="G18" s="63">
        <v>21.150000000000091</v>
      </c>
      <c r="H18" s="67">
        <v>45000</v>
      </c>
      <c r="I18" s="63">
        <v>301.28571428571428</v>
      </c>
      <c r="J18" s="132">
        <v>26.74</v>
      </c>
      <c r="K18" s="134">
        <v>1.2338</v>
      </c>
      <c r="M18" s="170"/>
      <c r="R18" s="32"/>
      <c r="T18" s="63"/>
      <c r="U18" s="132"/>
      <c r="V18" s="134"/>
      <c r="Y18" s="63"/>
      <c r="Z18" s="67"/>
      <c r="AA18" s="67"/>
    </row>
    <row r="19" spans="1:27" x14ac:dyDescent="0.25">
      <c r="A19">
        <v>1053395210</v>
      </c>
      <c r="B19" s="37">
        <v>0.6858688431242288</v>
      </c>
      <c r="C19" s="67">
        <v>32262</v>
      </c>
      <c r="D19" s="67">
        <v>32262</v>
      </c>
      <c r="E19" s="32">
        <v>28714</v>
      </c>
      <c r="F19" s="67">
        <v>140</v>
      </c>
      <c r="G19" s="63">
        <v>33.5</v>
      </c>
      <c r="H19" s="67">
        <v>45500</v>
      </c>
      <c r="I19" s="63">
        <v>0</v>
      </c>
      <c r="J19" s="132">
        <v>26.74</v>
      </c>
      <c r="K19" s="134">
        <v>1.1941999999999999</v>
      </c>
      <c r="M19" s="170"/>
      <c r="R19" s="32"/>
      <c r="T19" s="63"/>
      <c r="U19" s="132"/>
      <c r="V19" s="134"/>
      <c r="Y19" s="63"/>
      <c r="Z19" s="67"/>
      <c r="AA19" s="67"/>
    </row>
    <row r="20" spans="1:27" x14ac:dyDescent="0.25">
      <c r="A20">
        <v>1053396788</v>
      </c>
      <c r="B20" s="37">
        <v>0.65977140017393465</v>
      </c>
      <c r="C20" s="67">
        <v>19267</v>
      </c>
      <c r="D20" s="67">
        <v>19267</v>
      </c>
      <c r="E20" s="32">
        <v>27856</v>
      </c>
      <c r="F20" s="67">
        <v>60</v>
      </c>
      <c r="G20" s="63">
        <v>8.3599999999999</v>
      </c>
      <c r="H20" s="67">
        <v>40703.644646924826</v>
      </c>
      <c r="I20" s="63">
        <v>678.39407744874711</v>
      </c>
      <c r="J20" s="132">
        <v>26.74</v>
      </c>
      <c r="K20" s="134">
        <v>1.1457999999999999</v>
      </c>
      <c r="M20" s="170"/>
      <c r="R20" s="32"/>
      <c r="T20" s="63"/>
      <c r="U20" s="132"/>
      <c r="V20" s="134"/>
      <c r="Y20" s="63"/>
      <c r="Z20" s="67"/>
      <c r="AA20" s="67"/>
    </row>
    <row r="21" spans="1:27" x14ac:dyDescent="0.25">
      <c r="A21">
        <v>1053953844</v>
      </c>
      <c r="B21" s="37">
        <v>0.68802161223406821</v>
      </c>
      <c r="C21" s="67">
        <v>17461</v>
      </c>
      <c r="D21" s="67">
        <v>19076.794029850746</v>
      </c>
      <c r="E21" s="32">
        <v>28111</v>
      </c>
      <c r="F21" s="67">
        <v>70</v>
      </c>
      <c r="G21" s="63">
        <v>14.299999999999955</v>
      </c>
      <c r="H21" s="67">
        <v>28000</v>
      </c>
      <c r="I21" s="63">
        <v>0</v>
      </c>
      <c r="J21" s="132">
        <v>26.74</v>
      </c>
      <c r="K21" s="134">
        <v>1.145</v>
      </c>
      <c r="M21" s="170"/>
      <c r="R21" s="32"/>
      <c r="T21" s="63"/>
      <c r="U21" s="132"/>
      <c r="V21" s="134"/>
      <c r="Y21" s="63"/>
      <c r="Z21" s="67"/>
      <c r="AA21" s="67"/>
    </row>
    <row r="22" spans="1:27" x14ac:dyDescent="0.25">
      <c r="A22">
        <v>1063458958</v>
      </c>
      <c r="B22" s="37">
        <v>0.62166111877892349</v>
      </c>
      <c r="C22" s="67">
        <v>36565</v>
      </c>
      <c r="D22" s="67">
        <v>36565</v>
      </c>
      <c r="E22" s="32">
        <v>28580</v>
      </c>
      <c r="F22" s="67">
        <v>115</v>
      </c>
      <c r="G22" s="63">
        <v>24.579999999999927</v>
      </c>
      <c r="H22" s="67">
        <v>43125</v>
      </c>
      <c r="I22" s="63">
        <v>279.30342073170738</v>
      </c>
      <c r="J22" s="132">
        <v>26.74</v>
      </c>
      <c r="K22" s="134">
        <v>1.2030000000000001</v>
      </c>
      <c r="M22" s="170"/>
      <c r="R22" s="32"/>
      <c r="T22" s="63"/>
      <c r="U22" s="132"/>
      <c r="V22" s="134"/>
      <c r="Y22" s="63"/>
      <c r="Z22" s="67"/>
      <c r="AA22" s="67"/>
    </row>
    <row r="23" spans="1:27" x14ac:dyDescent="0.25">
      <c r="A23">
        <v>1063838381</v>
      </c>
      <c r="B23" s="37">
        <v>0.58046407185628746</v>
      </c>
      <c r="C23" s="67">
        <v>24893</v>
      </c>
      <c r="D23" s="67">
        <v>24893</v>
      </c>
      <c r="E23" s="32">
        <v>27103</v>
      </c>
      <c r="F23" s="67">
        <v>90</v>
      </c>
      <c r="G23" s="63">
        <v>14.039999999999964</v>
      </c>
      <c r="H23" s="67">
        <v>36000</v>
      </c>
      <c r="I23" s="63">
        <v>286.95555555555558</v>
      </c>
      <c r="J23" s="132">
        <v>26.74</v>
      </c>
      <c r="K23" s="134">
        <v>1.2994000000000001</v>
      </c>
      <c r="M23" s="170"/>
      <c r="R23" s="32"/>
      <c r="T23" s="63"/>
      <c r="U23" s="132"/>
      <c r="V23" s="134"/>
      <c r="Y23" s="63"/>
      <c r="Z23" s="67"/>
      <c r="AA23" s="67"/>
    </row>
    <row r="24" spans="1:27" x14ac:dyDescent="0.25">
      <c r="A24">
        <v>1063919652</v>
      </c>
      <c r="B24" s="37">
        <v>0.63775292410142581</v>
      </c>
      <c r="C24" s="67">
        <v>24458</v>
      </c>
      <c r="D24" s="67">
        <v>24458</v>
      </c>
      <c r="E24" s="32">
        <v>28712</v>
      </c>
      <c r="F24" s="67">
        <v>147</v>
      </c>
      <c r="G24" s="63">
        <v>15.130000000000109</v>
      </c>
      <c r="H24" s="67">
        <v>58800</v>
      </c>
      <c r="I24" s="63">
        <v>363.24489795918367</v>
      </c>
      <c r="J24" s="132">
        <v>26.74</v>
      </c>
      <c r="K24" s="134">
        <v>1.1819999999999999</v>
      </c>
      <c r="M24" s="170"/>
      <c r="R24" s="32"/>
      <c r="T24" s="63"/>
      <c r="U24" s="132"/>
      <c r="V24" s="134"/>
      <c r="Y24" s="63"/>
      <c r="Z24" s="67"/>
      <c r="AA24" s="67"/>
    </row>
    <row r="25" spans="1:27" x14ac:dyDescent="0.25">
      <c r="A25">
        <v>1073034138</v>
      </c>
      <c r="B25" s="37">
        <v>0.6272475795297372</v>
      </c>
      <c r="C25" s="67">
        <v>37457</v>
      </c>
      <c r="D25" s="67">
        <v>37457</v>
      </c>
      <c r="E25" s="32">
        <v>28715</v>
      </c>
      <c r="F25" s="67">
        <v>118</v>
      </c>
      <c r="G25" s="63">
        <v>1</v>
      </c>
      <c r="H25" s="67">
        <v>65000</v>
      </c>
      <c r="I25" s="63">
        <v>550.84745762711862</v>
      </c>
      <c r="J25" s="132">
        <v>0</v>
      </c>
      <c r="K25" s="134">
        <v>1.2298</v>
      </c>
      <c r="M25" s="170"/>
      <c r="R25" s="32"/>
      <c r="T25" s="63"/>
      <c r="U25" s="132"/>
      <c r="V25" s="134"/>
    </row>
    <row r="26" spans="1:27" x14ac:dyDescent="0.25">
      <c r="A26">
        <v>1073599510</v>
      </c>
      <c r="B26" s="37">
        <v>0.80057985629648298</v>
      </c>
      <c r="C26" s="67">
        <v>25103</v>
      </c>
      <c r="D26" s="67">
        <v>25103</v>
      </c>
      <c r="E26" s="32">
        <v>28054</v>
      </c>
      <c r="F26" s="67">
        <v>76</v>
      </c>
      <c r="G26" s="63">
        <v>18.259999999999991</v>
      </c>
      <c r="H26" s="67">
        <v>30400</v>
      </c>
      <c r="I26" s="63">
        <v>0</v>
      </c>
      <c r="J26" s="132">
        <v>26.74</v>
      </c>
      <c r="K26" s="134">
        <v>1.0922000000000001</v>
      </c>
      <c r="M26" s="170"/>
      <c r="R26" s="32"/>
      <c r="T26" s="63"/>
      <c r="U26" s="132"/>
      <c r="V26" s="134"/>
    </row>
    <row r="27" spans="1:27" x14ac:dyDescent="0.25">
      <c r="A27">
        <v>1073599635</v>
      </c>
      <c r="B27" s="37">
        <v>0.62474883946511472</v>
      </c>
      <c r="C27" s="67">
        <v>29312</v>
      </c>
      <c r="D27" s="67">
        <v>29312</v>
      </c>
      <c r="E27" s="32">
        <v>28408</v>
      </c>
      <c r="F27" s="67">
        <v>90</v>
      </c>
      <c r="G27" s="63">
        <v>13.779999999999973</v>
      </c>
      <c r="H27" s="67">
        <v>57297.989949748735</v>
      </c>
      <c r="I27" s="63">
        <v>636.64433277498597</v>
      </c>
      <c r="J27" s="132">
        <v>26.74</v>
      </c>
      <c r="K27" s="134">
        <v>1.1880999999999999</v>
      </c>
      <c r="M27" s="170"/>
      <c r="R27" s="32"/>
      <c r="T27" s="63"/>
      <c r="U27" s="132"/>
      <c r="V27" s="134"/>
    </row>
    <row r="28" spans="1:27" x14ac:dyDescent="0.25">
      <c r="A28">
        <v>1083298236</v>
      </c>
      <c r="B28" s="37">
        <v>0.69082437275985664</v>
      </c>
      <c r="C28" s="67">
        <v>29082</v>
      </c>
      <c r="D28" s="67">
        <v>29082</v>
      </c>
      <c r="E28" s="32">
        <v>27292</v>
      </c>
      <c r="F28" s="67">
        <v>90</v>
      </c>
      <c r="G28" s="63">
        <v>5.0599999999999454</v>
      </c>
      <c r="H28" s="67">
        <v>38250</v>
      </c>
      <c r="I28" s="63">
        <v>330.18</v>
      </c>
      <c r="J28" s="132">
        <v>26.74</v>
      </c>
      <c r="K28" s="134">
        <v>1.1627000000000001</v>
      </c>
      <c r="M28" s="170"/>
      <c r="R28" s="32"/>
      <c r="T28" s="63"/>
      <c r="U28" s="132"/>
      <c r="V28" s="134"/>
    </row>
    <row r="29" spans="1:27" x14ac:dyDescent="0.25">
      <c r="A29">
        <v>1083659692</v>
      </c>
      <c r="B29" s="37">
        <v>0.58256179775280903</v>
      </c>
      <c r="C29" s="67">
        <v>33006</v>
      </c>
      <c r="D29" s="67">
        <v>33006</v>
      </c>
      <c r="E29" s="32">
        <v>27932</v>
      </c>
      <c r="F29" s="67">
        <v>130</v>
      </c>
      <c r="G29" s="63">
        <v>33.5</v>
      </c>
      <c r="H29" s="67">
        <v>46910</v>
      </c>
      <c r="I29" s="63">
        <v>360.84615384615387</v>
      </c>
      <c r="J29" s="132">
        <v>26.74</v>
      </c>
      <c r="K29" s="134">
        <v>1.2484</v>
      </c>
      <c r="M29" s="170"/>
      <c r="R29" s="32"/>
      <c r="T29" s="63"/>
      <c r="U29" s="132"/>
      <c r="V29" s="134"/>
    </row>
    <row r="30" spans="1:27" x14ac:dyDescent="0.25">
      <c r="A30">
        <v>1083661193</v>
      </c>
      <c r="B30" s="37">
        <v>0.68692111146598522</v>
      </c>
      <c r="C30" s="67">
        <v>32182</v>
      </c>
      <c r="D30" s="67">
        <v>32182</v>
      </c>
      <c r="E30" s="32">
        <v>27511</v>
      </c>
      <c r="F30" s="67">
        <v>120</v>
      </c>
      <c r="G30" s="63">
        <v>19.6099999999999</v>
      </c>
      <c r="H30" s="67">
        <v>48000</v>
      </c>
      <c r="I30" s="63">
        <v>396.6</v>
      </c>
      <c r="J30" s="132">
        <v>26.74</v>
      </c>
      <c r="K30" s="134">
        <v>1.0449999999999999</v>
      </c>
      <c r="M30" s="170"/>
      <c r="R30" s="32"/>
      <c r="T30" s="63"/>
      <c r="U30" s="132"/>
      <c r="V30" s="134"/>
    </row>
    <row r="31" spans="1:27" x14ac:dyDescent="0.25">
      <c r="A31">
        <v>1083711626</v>
      </c>
      <c r="B31" s="37">
        <v>0.69032771659811598</v>
      </c>
      <c r="C31" s="67">
        <v>48249</v>
      </c>
      <c r="D31" s="67">
        <v>48249</v>
      </c>
      <c r="E31" s="32">
        <v>28105</v>
      </c>
      <c r="F31" s="67">
        <v>166</v>
      </c>
      <c r="G31" s="63">
        <v>23.970000000000027</v>
      </c>
      <c r="H31" s="67">
        <v>62250</v>
      </c>
      <c r="I31" s="63">
        <v>351.92059409784019</v>
      </c>
      <c r="J31" s="132">
        <v>8.6399999999999988</v>
      </c>
      <c r="K31" s="134">
        <v>1.3469</v>
      </c>
      <c r="M31" s="170"/>
      <c r="R31" s="32"/>
      <c r="T31" s="63"/>
      <c r="U31" s="132"/>
      <c r="V31" s="134"/>
    </row>
    <row r="32" spans="1:27" x14ac:dyDescent="0.25">
      <c r="A32">
        <v>1093131310</v>
      </c>
      <c r="B32" s="37">
        <v>0.48562572646261137</v>
      </c>
      <c r="C32" s="67">
        <v>27612</v>
      </c>
      <c r="D32" s="67">
        <v>27612</v>
      </c>
      <c r="E32" s="32">
        <v>28401</v>
      </c>
      <c r="F32" s="67">
        <v>90</v>
      </c>
      <c r="G32" s="63">
        <v>8.9600000000000364</v>
      </c>
      <c r="H32" s="67">
        <v>38250</v>
      </c>
      <c r="I32" s="63">
        <v>400</v>
      </c>
      <c r="J32" s="132">
        <v>26.74</v>
      </c>
      <c r="K32" s="134">
        <v>1.1910000000000001</v>
      </c>
      <c r="M32" s="170"/>
      <c r="R32" s="32"/>
      <c r="T32" s="63"/>
      <c r="U32" s="132"/>
      <c r="V32" s="134"/>
    </row>
    <row r="33" spans="1:22" x14ac:dyDescent="0.25">
      <c r="A33">
        <v>1093228397</v>
      </c>
      <c r="B33" s="37">
        <v>0.65</v>
      </c>
      <c r="C33" s="67">
        <v>28926</v>
      </c>
      <c r="D33" s="67">
        <v>28926</v>
      </c>
      <c r="E33" s="32">
        <v>27529</v>
      </c>
      <c r="F33" s="67">
        <v>100</v>
      </c>
      <c r="G33" s="63">
        <v>5</v>
      </c>
      <c r="H33" s="67">
        <v>42500</v>
      </c>
      <c r="I33" s="63">
        <v>0</v>
      </c>
      <c r="J33" s="132">
        <v>26.74</v>
      </c>
      <c r="K33" s="134">
        <v>1.2130000000000001</v>
      </c>
      <c r="M33" s="170"/>
      <c r="R33" s="32"/>
      <c r="T33" s="63"/>
      <c r="U33" s="132"/>
      <c r="V33" s="134"/>
    </row>
    <row r="34" spans="1:22" x14ac:dyDescent="0.25">
      <c r="A34">
        <v>1093708497</v>
      </c>
      <c r="B34" s="37">
        <v>0.59235558630231755</v>
      </c>
      <c r="C34" s="67">
        <v>42012</v>
      </c>
      <c r="D34" s="67">
        <v>42012</v>
      </c>
      <c r="E34" s="32">
        <v>28716</v>
      </c>
      <c r="F34" s="67">
        <v>131</v>
      </c>
      <c r="G34" s="63">
        <v>21.690000000000055</v>
      </c>
      <c r="H34" s="67">
        <v>49125</v>
      </c>
      <c r="I34" s="63">
        <v>276.25694444444446</v>
      </c>
      <c r="J34" s="132">
        <v>8.6399999999999988</v>
      </c>
      <c r="K34" s="134">
        <v>1.2038</v>
      </c>
      <c r="M34" s="170"/>
      <c r="R34" s="32"/>
      <c r="T34" s="63"/>
      <c r="U34" s="132"/>
      <c r="V34" s="134"/>
    </row>
    <row r="35" spans="1:22" x14ac:dyDescent="0.25">
      <c r="A35">
        <v>1093754459</v>
      </c>
      <c r="B35" s="37">
        <v>0.62956129561295615</v>
      </c>
      <c r="C35" s="67">
        <v>18847</v>
      </c>
      <c r="D35" s="67">
        <v>18847</v>
      </c>
      <c r="E35" s="32">
        <v>28139</v>
      </c>
      <c r="F35" s="67">
        <v>60</v>
      </c>
      <c r="G35" s="63">
        <v>20.259999999999991</v>
      </c>
      <c r="H35" s="67">
        <v>22500</v>
      </c>
      <c r="I35" s="63">
        <v>370.76753734389035</v>
      </c>
      <c r="J35" s="132">
        <v>26.74</v>
      </c>
      <c r="K35" s="134">
        <v>1.2515000000000001</v>
      </c>
      <c r="M35" s="170"/>
      <c r="R35" s="32"/>
      <c r="T35" s="63"/>
      <c r="U35" s="132"/>
      <c r="V35" s="134"/>
    </row>
    <row r="36" spans="1:22" x14ac:dyDescent="0.25">
      <c r="A36">
        <v>1093791337</v>
      </c>
      <c r="B36" s="37">
        <v>0.65259004895155981</v>
      </c>
      <c r="C36" s="67">
        <v>34818</v>
      </c>
      <c r="D36" s="67">
        <v>34818</v>
      </c>
      <c r="E36" s="32">
        <v>28103</v>
      </c>
      <c r="F36" s="67">
        <v>110</v>
      </c>
      <c r="G36" s="63">
        <v>8.5699999999999363</v>
      </c>
      <c r="H36" s="67">
        <v>50841.91082802548</v>
      </c>
      <c r="I36" s="63">
        <v>462.19918934568619</v>
      </c>
      <c r="J36" s="132">
        <v>26.74</v>
      </c>
      <c r="K36" s="134">
        <v>1.0394000000000001</v>
      </c>
      <c r="M36" s="170"/>
      <c r="R36" s="32"/>
      <c r="T36" s="63"/>
      <c r="U36" s="132"/>
      <c r="V36" s="134"/>
    </row>
    <row r="37" spans="1:22" x14ac:dyDescent="0.25">
      <c r="A37">
        <v>1104471531</v>
      </c>
      <c r="B37" s="37">
        <v>0.66880461052240192</v>
      </c>
      <c r="C37" s="67">
        <v>39763</v>
      </c>
      <c r="D37" s="67">
        <v>39763</v>
      </c>
      <c r="E37" s="32">
        <v>27573</v>
      </c>
      <c r="F37" s="67">
        <v>140</v>
      </c>
      <c r="G37" s="63">
        <v>33.5</v>
      </c>
      <c r="H37" s="67">
        <v>45816.226901763221</v>
      </c>
      <c r="I37" s="63">
        <v>327.25876358402303</v>
      </c>
      <c r="J37" s="132">
        <v>26.74</v>
      </c>
      <c r="K37" s="134">
        <v>1.1887000000000001</v>
      </c>
      <c r="M37" s="170"/>
      <c r="R37" s="32"/>
      <c r="T37" s="63"/>
      <c r="U37" s="132"/>
      <c r="V37" s="134"/>
    </row>
    <row r="38" spans="1:22" x14ac:dyDescent="0.25">
      <c r="A38">
        <v>1104800069</v>
      </c>
      <c r="B38" s="37">
        <v>0.68405553218342452</v>
      </c>
      <c r="C38" s="67">
        <v>30829</v>
      </c>
      <c r="D38" s="67">
        <v>30829</v>
      </c>
      <c r="E38" s="32">
        <v>28303</v>
      </c>
      <c r="F38" s="67">
        <v>98</v>
      </c>
      <c r="G38" s="63">
        <v>13.539999999999964</v>
      </c>
      <c r="H38" s="67">
        <v>54657.355660720787</v>
      </c>
      <c r="I38" s="63">
        <v>557.72811898694681</v>
      </c>
      <c r="J38" s="132">
        <v>26.74</v>
      </c>
      <c r="K38" s="134">
        <v>1.3688</v>
      </c>
      <c r="M38" s="170"/>
      <c r="R38" s="32"/>
      <c r="T38" s="63"/>
      <c r="U38" s="132"/>
      <c r="V38" s="134"/>
    </row>
    <row r="39" spans="1:22" x14ac:dyDescent="0.25">
      <c r="A39">
        <v>1104946060</v>
      </c>
      <c r="B39" s="37">
        <v>0.71951835634893901</v>
      </c>
      <c r="C39" s="67">
        <v>40191</v>
      </c>
      <c r="D39" s="67">
        <v>40191</v>
      </c>
      <c r="E39" s="32">
        <v>27534</v>
      </c>
      <c r="F39" s="67">
        <v>130</v>
      </c>
      <c r="G39" s="63">
        <v>10.259999999999991</v>
      </c>
      <c r="H39" s="67">
        <v>52000</v>
      </c>
      <c r="I39" s="63">
        <v>214.13076923076923</v>
      </c>
      <c r="J39" s="132">
        <v>26.74</v>
      </c>
      <c r="K39" s="134">
        <v>1.1816</v>
      </c>
      <c r="M39" s="170"/>
      <c r="R39" s="32"/>
      <c r="T39" s="63"/>
      <c r="U39" s="132"/>
      <c r="V39" s="134"/>
    </row>
    <row r="40" spans="1:22" x14ac:dyDescent="0.25">
      <c r="A40">
        <v>1104950765</v>
      </c>
      <c r="B40" s="37">
        <v>0.63620766346825952</v>
      </c>
      <c r="C40" s="67">
        <v>30200</v>
      </c>
      <c r="D40" s="67">
        <v>30200</v>
      </c>
      <c r="E40" s="32">
        <v>28621</v>
      </c>
      <c r="F40" s="67">
        <v>99</v>
      </c>
      <c r="G40" s="63">
        <v>15.950000000000045</v>
      </c>
      <c r="H40" s="67">
        <v>64170.765887379515</v>
      </c>
      <c r="I40" s="63">
        <v>648.18955441797493</v>
      </c>
      <c r="J40" s="132">
        <v>26.74</v>
      </c>
      <c r="K40" s="134">
        <v>1.3285</v>
      </c>
      <c r="M40" s="170"/>
      <c r="R40" s="32"/>
      <c r="T40" s="63"/>
      <c r="U40" s="132"/>
      <c r="V40" s="134"/>
    </row>
    <row r="41" spans="1:22" x14ac:dyDescent="0.25">
      <c r="A41">
        <v>1114463932</v>
      </c>
      <c r="B41" s="37">
        <v>0.65</v>
      </c>
      <c r="C41" s="67">
        <v>28640</v>
      </c>
      <c r="D41" s="67">
        <v>28640</v>
      </c>
      <c r="E41" s="32">
        <v>28314</v>
      </c>
      <c r="F41" s="67">
        <v>90</v>
      </c>
      <c r="G41" s="63">
        <v>9.7799999999999727</v>
      </c>
      <c r="H41" s="67">
        <v>62100</v>
      </c>
      <c r="I41" s="63">
        <v>690</v>
      </c>
      <c r="J41" s="132">
        <v>26.74</v>
      </c>
      <c r="K41" s="134">
        <v>1.2149000000000001</v>
      </c>
      <c r="M41" s="170"/>
      <c r="R41" s="32"/>
      <c r="T41" s="63"/>
      <c r="U41" s="132"/>
      <c r="V41" s="134"/>
    </row>
    <row r="42" spans="1:22" x14ac:dyDescent="0.25">
      <c r="A42">
        <v>1114480233</v>
      </c>
      <c r="B42" s="37">
        <v>0.63936457042920647</v>
      </c>
      <c r="C42" s="67">
        <v>33842</v>
      </c>
      <c r="D42" s="67">
        <v>33842</v>
      </c>
      <c r="E42" s="32">
        <v>28204</v>
      </c>
      <c r="F42" s="67">
        <v>120</v>
      </c>
      <c r="G42" s="63">
        <v>18.75</v>
      </c>
      <c r="H42" s="67">
        <v>48000</v>
      </c>
      <c r="I42" s="63">
        <v>332.61666666666667</v>
      </c>
      <c r="J42" s="132">
        <v>26.74</v>
      </c>
      <c r="K42" s="134">
        <v>1.169</v>
      </c>
      <c r="M42" s="170"/>
      <c r="R42" s="32"/>
      <c r="T42" s="63"/>
      <c r="U42" s="132"/>
      <c r="V42" s="134"/>
    </row>
    <row r="43" spans="1:22" x14ac:dyDescent="0.25">
      <c r="A43">
        <v>1114501442</v>
      </c>
      <c r="B43" s="37">
        <v>0.68508451857919417</v>
      </c>
      <c r="C43" s="67">
        <v>59151</v>
      </c>
      <c r="D43" s="67">
        <v>59151</v>
      </c>
      <c r="E43" s="32">
        <v>27215</v>
      </c>
      <c r="F43" s="67">
        <v>180</v>
      </c>
      <c r="G43" s="63">
        <v>14.799999999999955</v>
      </c>
      <c r="H43" s="67">
        <v>72000</v>
      </c>
      <c r="I43" s="63">
        <v>286.46666666666664</v>
      </c>
      <c r="J43" s="132">
        <v>8.6399999999999988</v>
      </c>
      <c r="K43" s="134">
        <v>1.1775</v>
      </c>
      <c r="M43" s="170"/>
      <c r="R43" s="32"/>
      <c r="T43" s="63"/>
      <c r="U43" s="132"/>
      <c r="V43" s="134"/>
    </row>
    <row r="44" spans="1:22" x14ac:dyDescent="0.25">
      <c r="A44">
        <v>1114501459</v>
      </c>
      <c r="B44" s="37">
        <v>0.67659029243292124</v>
      </c>
      <c r="C44" s="67">
        <v>44478</v>
      </c>
      <c r="D44" s="67">
        <v>44478</v>
      </c>
      <c r="E44" s="32">
        <v>28306</v>
      </c>
      <c r="F44" s="67">
        <v>136</v>
      </c>
      <c r="G44" s="63">
        <v>3.1099999999999</v>
      </c>
      <c r="H44" s="67">
        <v>57800</v>
      </c>
      <c r="I44" s="63">
        <v>407.41176470588238</v>
      </c>
      <c r="J44" s="132">
        <v>8.6399999999999988</v>
      </c>
      <c r="K44" s="134">
        <v>1.2287999999999999</v>
      </c>
      <c r="M44" s="170"/>
      <c r="R44" s="32"/>
      <c r="T44" s="63"/>
      <c r="U44" s="132"/>
      <c r="V44" s="134"/>
    </row>
    <row r="45" spans="1:22" x14ac:dyDescent="0.25">
      <c r="A45">
        <v>1114996758</v>
      </c>
      <c r="B45" s="37">
        <v>0.61923137501968817</v>
      </c>
      <c r="C45" s="67">
        <v>26505</v>
      </c>
      <c r="D45" s="67">
        <v>26505</v>
      </c>
      <c r="E45" s="32">
        <v>28732</v>
      </c>
      <c r="F45" s="67">
        <v>90</v>
      </c>
      <c r="G45" s="63">
        <v>17.279999999999973</v>
      </c>
      <c r="H45" s="67">
        <v>38268</v>
      </c>
      <c r="I45" s="63">
        <v>425.2</v>
      </c>
      <c r="J45" s="132">
        <v>26.74</v>
      </c>
      <c r="K45" s="134">
        <v>1.3076000000000001</v>
      </c>
      <c r="M45" s="170"/>
      <c r="R45" s="32"/>
      <c r="T45" s="63"/>
      <c r="U45" s="132"/>
      <c r="V45" s="134"/>
    </row>
    <row r="46" spans="1:22" x14ac:dyDescent="0.25">
      <c r="A46">
        <v>1124015458</v>
      </c>
      <c r="B46" s="37">
        <v>0.64411236531554639</v>
      </c>
      <c r="C46" s="67">
        <v>33068</v>
      </c>
      <c r="D46" s="67">
        <v>33068</v>
      </c>
      <c r="E46" s="32">
        <v>27360</v>
      </c>
      <c r="F46" s="67">
        <v>114</v>
      </c>
      <c r="G46" s="63">
        <v>11.519999999999982</v>
      </c>
      <c r="H46" s="67">
        <v>79800</v>
      </c>
      <c r="I46" s="63">
        <v>816.01714443389608</v>
      </c>
      <c r="J46" s="132">
        <v>0</v>
      </c>
      <c r="K46" s="134">
        <v>1.1232</v>
      </c>
      <c r="M46" s="170"/>
      <c r="R46" s="32"/>
      <c r="T46" s="63"/>
      <c r="U46" s="132"/>
      <c r="V46" s="134"/>
    </row>
    <row r="47" spans="1:22" x14ac:dyDescent="0.25">
      <c r="A47">
        <v>1124342241</v>
      </c>
      <c r="B47" s="37">
        <v>0.65</v>
      </c>
      <c r="C47" s="67">
        <v>31561</v>
      </c>
      <c r="D47" s="67">
        <v>31561</v>
      </c>
      <c r="E47" s="32">
        <v>28173</v>
      </c>
      <c r="F47" s="67">
        <v>100</v>
      </c>
      <c r="G47" s="63">
        <v>5.5099999999999909</v>
      </c>
      <c r="H47" s="67">
        <v>60190</v>
      </c>
      <c r="I47" s="63">
        <v>601.9</v>
      </c>
      <c r="J47" s="132">
        <v>26.74</v>
      </c>
      <c r="K47" s="134">
        <v>1.1781999999999999</v>
      </c>
      <c r="M47" s="170"/>
      <c r="R47" s="32"/>
      <c r="T47" s="63"/>
      <c r="U47" s="132"/>
      <c r="V47" s="134"/>
    </row>
    <row r="48" spans="1:22" x14ac:dyDescent="0.25">
      <c r="A48">
        <v>1134175524</v>
      </c>
      <c r="B48" s="37">
        <v>0.55299917830731304</v>
      </c>
      <c r="C48" s="67">
        <v>18384</v>
      </c>
      <c r="D48" s="67">
        <v>18384</v>
      </c>
      <c r="E48" s="32">
        <v>27828</v>
      </c>
      <c r="F48" s="67">
        <v>56</v>
      </c>
      <c r="G48" s="63">
        <v>31.190000000000055</v>
      </c>
      <c r="H48" s="67">
        <v>18200</v>
      </c>
      <c r="I48" s="63">
        <v>190.75</v>
      </c>
      <c r="J48" s="132">
        <v>26.74</v>
      </c>
      <c r="K48" s="134">
        <v>1.1445000000000001</v>
      </c>
      <c r="M48" s="170"/>
      <c r="R48" s="32"/>
      <c r="T48" s="63"/>
      <c r="U48" s="132"/>
      <c r="V48" s="134"/>
    </row>
    <row r="49" spans="1:22" x14ac:dyDescent="0.25">
      <c r="A49">
        <v>1134249006</v>
      </c>
      <c r="B49" s="37">
        <v>0.64859228362877996</v>
      </c>
      <c r="C49" s="67">
        <v>29300</v>
      </c>
      <c r="D49" s="67">
        <v>29300</v>
      </c>
      <c r="E49" s="32">
        <v>27520</v>
      </c>
      <c r="F49" s="67">
        <v>90</v>
      </c>
      <c r="G49" s="63">
        <v>17.259999999999991</v>
      </c>
      <c r="H49" s="67">
        <v>36000</v>
      </c>
      <c r="I49" s="63">
        <v>366.73333333333335</v>
      </c>
      <c r="J49" s="132">
        <v>26.74</v>
      </c>
      <c r="K49" s="134">
        <v>1.1279999999999999</v>
      </c>
      <c r="M49" s="170"/>
      <c r="R49" s="32"/>
      <c r="T49" s="63"/>
      <c r="U49" s="132"/>
      <c r="V49" s="134"/>
    </row>
    <row r="50" spans="1:22" x14ac:dyDescent="0.25">
      <c r="A50">
        <v>1134298615</v>
      </c>
      <c r="B50" s="37">
        <v>0.43940261685536802</v>
      </c>
      <c r="C50" s="67">
        <v>1705</v>
      </c>
      <c r="D50" s="67">
        <v>1705</v>
      </c>
      <c r="E50" s="32">
        <v>27406</v>
      </c>
      <c r="F50" s="67">
        <v>23</v>
      </c>
      <c r="G50" s="63">
        <v>11</v>
      </c>
      <c r="H50" s="67">
        <v>9200</v>
      </c>
      <c r="I50" s="63">
        <v>0</v>
      </c>
      <c r="J50" s="132">
        <v>26.74</v>
      </c>
      <c r="K50" s="134">
        <v>1.7715000000000001</v>
      </c>
      <c r="M50" s="170"/>
      <c r="R50" s="32"/>
      <c r="T50" s="63"/>
      <c r="U50" s="132"/>
      <c r="V50" s="134"/>
    </row>
    <row r="51" spans="1:22" x14ac:dyDescent="0.25">
      <c r="A51">
        <v>1134660103</v>
      </c>
      <c r="B51" s="37">
        <v>0.68242797448867387</v>
      </c>
      <c r="C51" s="67">
        <v>38012</v>
      </c>
      <c r="D51" s="67">
        <v>38012</v>
      </c>
      <c r="E51" s="32">
        <v>28304</v>
      </c>
      <c r="F51" s="67">
        <v>170</v>
      </c>
      <c r="G51" s="63">
        <v>8.7599999999999909</v>
      </c>
      <c r="H51" s="67">
        <v>72250</v>
      </c>
      <c r="I51" s="63">
        <v>398.26470588235293</v>
      </c>
      <c r="J51" s="132">
        <v>26.74</v>
      </c>
      <c r="K51" s="134">
        <v>1.3711</v>
      </c>
      <c r="M51" s="170"/>
      <c r="R51" s="32"/>
      <c r="T51" s="63"/>
      <c r="U51" s="132"/>
      <c r="V51" s="134"/>
    </row>
    <row r="52" spans="1:22" x14ac:dyDescent="0.25">
      <c r="A52">
        <v>1144277666</v>
      </c>
      <c r="B52" s="37">
        <v>0.58312513384252973</v>
      </c>
      <c r="C52" s="67">
        <v>25158</v>
      </c>
      <c r="D52" s="67">
        <v>25158</v>
      </c>
      <c r="E52" s="32">
        <v>27265</v>
      </c>
      <c r="F52" s="67">
        <v>100</v>
      </c>
      <c r="G52" s="63">
        <v>22.430000000000064</v>
      </c>
      <c r="H52" s="67">
        <v>37500</v>
      </c>
      <c r="I52" s="63">
        <v>203.65</v>
      </c>
      <c r="J52" s="132">
        <v>26.74</v>
      </c>
      <c r="K52" s="134">
        <v>1.179314330001999</v>
      </c>
      <c r="M52" s="170"/>
      <c r="R52" s="32"/>
      <c r="T52" s="63"/>
      <c r="U52" s="132"/>
      <c r="V52" s="134"/>
    </row>
    <row r="53" spans="1:22" x14ac:dyDescent="0.25">
      <c r="A53">
        <v>1144299702</v>
      </c>
      <c r="B53" s="37">
        <v>0.68652160300563558</v>
      </c>
      <c r="C53" s="67">
        <v>42678</v>
      </c>
      <c r="D53" s="67">
        <v>42678</v>
      </c>
      <c r="E53" s="32">
        <v>27616</v>
      </c>
      <c r="F53" s="67">
        <v>132</v>
      </c>
      <c r="G53" s="63">
        <v>14.230000000000018</v>
      </c>
      <c r="H53" s="67">
        <v>56107</v>
      </c>
      <c r="I53" s="63">
        <v>425.05303030303031</v>
      </c>
      <c r="J53" s="132">
        <v>8.6399999999999988</v>
      </c>
      <c r="K53" s="134">
        <v>1.2446999999999999</v>
      </c>
      <c r="M53" s="170"/>
      <c r="R53" s="32"/>
      <c r="T53" s="63"/>
      <c r="U53" s="132"/>
      <c r="V53" s="134"/>
    </row>
    <row r="54" spans="1:22" x14ac:dyDescent="0.25">
      <c r="A54">
        <v>1144646274</v>
      </c>
      <c r="B54" s="37">
        <v>0.55634398802161311</v>
      </c>
      <c r="C54" s="67">
        <v>24680</v>
      </c>
      <c r="D54" s="67">
        <v>24680</v>
      </c>
      <c r="E54" s="32">
        <v>27705</v>
      </c>
      <c r="F54" s="67">
        <v>96</v>
      </c>
      <c r="G54" s="63">
        <v>16.759999999999991</v>
      </c>
      <c r="H54" s="67">
        <v>38400</v>
      </c>
      <c r="I54" s="63">
        <v>299.25</v>
      </c>
      <c r="J54" s="132">
        <v>26.74</v>
      </c>
      <c r="K54" s="134">
        <v>1.1926000000000001</v>
      </c>
      <c r="M54" s="170"/>
      <c r="R54" s="32"/>
      <c r="T54" s="63"/>
      <c r="U54" s="132"/>
      <c r="V54" s="134"/>
    </row>
    <row r="55" spans="1:22" x14ac:dyDescent="0.25">
      <c r="A55">
        <v>1144804485</v>
      </c>
      <c r="B55" s="37">
        <v>0.63636363636363635</v>
      </c>
      <c r="C55" s="67">
        <v>29136</v>
      </c>
      <c r="D55" s="67">
        <v>29136</v>
      </c>
      <c r="E55" s="32">
        <v>28612</v>
      </c>
      <c r="F55" s="67">
        <v>90</v>
      </c>
      <c r="G55" s="63">
        <v>2</v>
      </c>
      <c r="H55" s="67">
        <v>38250</v>
      </c>
      <c r="I55" s="63">
        <v>401.38888888888891</v>
      </c>
      <c r="J55" s="132">
        <v>26.74</v>
      </c>
      <c r="K55" s="134">
        <v>1.1787000000000001</v>
      </c>
      <c r="M55" s="170"/>
      <c r="R55" s="32"/>
      <c r="T55" s="63"/>
      <c r="U55" s="132"/>
      <c r="V55" s="134"/>
    </row>
    <row r="56" spans="1:22" x14ac:dyDescent="0.25">
      <c r="A56">
        <v>1144868092</v>
      </c>
      <c r="B56" s="37">
        <v>0.69513174220859797</v>
      </c>
      <c r="C56" s="67">
        <v>39430</v>
      </c>
      <c r="D56" s="67">
        <v>39430</v>
      </c>
      <c r="E56" s="32">
        <v>28147</v>
      </c>
      <c r="F56" s="67">
        <v>160</v>
      </c>
      <c r="G56" s="63">
        <v>18.619999999999891</v>
      </c>
      <c r="H56" s="67">
        <v>64000</v>
      </c>
      <c r="I56" s="63">
        <v>165.85047869642403</v>
      </c>
      <c r="J56" s="132">
        <v>26.74</v>
      </c>
      <c r="K56" s="134">
        <v>1.0742</v>
      </c>
      <c r="M56" s="170"/>
      <c r="R56" s="32"/>
      <c r="T56" s="63"/>
      <c r="U56" s="132"/>
      <c r="V56" s="134"/>
    </row>
    <row r="57" spans="1:22" x14ac:dyDescent="0.25">
      <c r="A57">
        <v>1154369841</v>
      </c>
      <c r="B57" s="37">
        <v>0.70590045388106781</v>
      </c>
      <c r="C57" s="67">
        <v>19658</v>
      </c>
      <c r="D57" s="67">
        <v>19658</v>
      </c>
      <c r="E57" s="32">
        <v>27545</v>
      </c>
      <c r="F57" s="67">
        <v>80</v>
      </c>
      <c r="G57" s="63">
        <v>20.569999999999936</v>
      </c>
      <c r="H57" s="67">
        <v>30000</v>
      </c>
      <c r="I57" s="63">
        <v>309.6254509517961</v>
      </c>
      <c r="J57" s="132">
        <v>26.74</v>
      </c>
      <c r="K57" s="134">
        <v>1.0621</v>
      </c>
      <c r="M57" s="170"/>
      <c r="R57" s="32"/>
      <c r="T57" s="63"/>
      <c r="U57" s="132"/>
      <c r="V57" s="134"/>
    </row>
    <row r="58" spans="1:22" x14ac:dyDescent="0.25">
      <c r="A58">
        <v>1154792000</v>
      </c>
      <c r="B58" s="37">
        <v>0.6269960299955889</v>
      </c>
      <c r="C58" s="67">
        <v>29461</v>
      </c>
      <c r="D58" s="67">
        <v>29461</v>
      </c>
      <c r="E58" s="32">
        <v>27834</v>
      </c>
      <c r="F58" s="67">
        <v>130</v>
      </c>
      <c r="G58" s="63">
        <v>31.039999999999964</v>
      </c>
      <c r="H58" s="67">
        <v>42250</v>
      </c>
      <c r="I58" s="63">
        <v>0</v>
      </c>
      <c r="J58" s="132">
        <v>26.74</v>
      </c>
      <c r="K58" s="134">
        <v>1.0766</v>
      </c>
      <c r="M58" s="170"/>
      <c r="R58" s="32"/>
      <c r="T58" s="63"/>
      <c r="U58" s="132"/>
      <c r="V58" s="134"/>
    </row>
    <row r="59" spans="1:22" x14ac:dyDescent="0.25">
      <c r="A59">
        <v>1164476636</v>
      </c>
      <c r="B59" s="37">
        <v>0.53514775746839516</v>
      </c>
      <c r="C59" s="67">
        <v>14516</v>
      </c>
      <c r="D59" s="67">
        <v>14516</v>
      </c>
      <c r="E59" s="32">
        <v>27890</v>
      </c>
      <c r="F59" s="67">
        <v>50</v>
      </c>
      <c r="G59" s="63">
        <v>24.529999999999973</v>
      </c>
      <c r="H59" s="67">
        <v>28458.275494195168</v>
      </c>
      <c r="I59" s="63">
        <v>569.16550988390338</v>
      </c>
      <c r="J59" s="132">
        <v>26.74</v>
      </c>
      <c r="K59" s="134">
        <v>1.0371999999999999</v>
      </c>
      <c r="M59" s="170"/>
      <c r="R59" s="32"/>
      <c r="T59" s="63"/>
      <c r="U59" s="132"/>
      <c r="V59" s="134"/>
    </row>
    <row r="60" spans="1:22" x14ac:dyDescent="0.25">
      <c r="A60">
        <v>1164725198</v>
      </c>
      <c r="B60" s="37">
        <v>0.65048095928317307</v>
      </c>
      <c r="C60" s="67">
        <v>34473</v>
      </c>
      <c r="D60" s="67">
        <v>34473</v>
      </c>
      <c r="E60" s="32">
        <v>28801</v>
      </c>
      <c r="F60" s="67">
        <v>120</v>
      </c>
      <c r="G60" s="63">
        <v>21.589999999999918</v>
      </c>
      <c r="H60" s="67">
        <v>45000</v>
      </c>
      <c r="I60" s="63">
        <v>271.34166666666664</v>
      </c>
      <c r="J60" s="132">
        <v>26.74</v>
      </c>
      <c r="K60" s="134">
        <v>1.4313</v>
      </c>
      <c r="M60" s="170"/>
      <c r="R60" s="32"/>
      <c r="T60" s="63"/>
      <c r="U60" s="132"/>
      <c r="V60" s="134"/>
    </row>
    <row r="61" spans="1:22" x14ac:dyDescent="0.25">
      <c r="A61">
        <v>1164848503</v>
      </c>
      <c r="B61" s="37">
        <v>0.52362204724409445</v>
      </c>
      <c r="C61" s="67">
        <v>19565</v>
      </c>
      <c r="D61" s="67">
        <v>19565</v>
      </c>
      <c r="E61" s="32">
        <v>27597</v>
      </c>
      <c r="F61" s="67">
        <v>60</v>
      </c>
      <c r="G61" s="63">
        <v>13.150000000000091</v>
      </c>
      <c r="H61" s="67">
        <v>24000</v>
      </c>
      <c r="I61" s="63">
        <v>353.25</v>
      </c>
      <c r="J61" s="132">
        <v>26.74</v>
      </c>
      <c r="K61" s="134">
        <v>1.2317</v>
      </c>
      <c r="M61" s="170"/>
      <c r="R61" s="32"/>
      <c r="T61" s="63"/>
      <c r="U61" s="132"/>
      <c r="V61" s="134"/>
    </row>
    <row r="62" spans="1:22" x14ac:dyDescent="0.25">
      <c r="A62">
        <v>1174149934</v>
      </c>
      <c r="B62" s="37">
        <v>0.58095627298733143</v>
      </c>
      <c r="C62" s="67">
        <v>0</v>
      </c>
      <c r="D62" s="67">
        <v>0</v>
      </c>
      <c r="E62" s="32">
        <v>28358</v>
      </c>
      <c r="F62" s="67">
        <v>90</v>
      </c>
      <c r="G62" s="63">
        <v>28.630000000000109</v>
      </c>
      <c r="H62" s="67">
        <v>37765.47369081217</v>
      </c>
      <c r="I62" s="63">
        <v>419.61637434235746</v>
      </c>
      <c r="J62" s="132">
        <v>26.74</v>
      </c>
      <c r="K62" s="134">
        <v>1.179314330001999</v>
      </c>
      <c r="M62" s="170"/>
      <c r="R62" s="32"/>
      <c r="T62" s="63"/>
      <c r="U62" s="132"/>
      <c r="V62" s="134"/>
    </row>
    <row r="63" spans="1:22" x14ac:dyDescent="0.25">
      <c r="A63">
        <v>1174178313</v>
      </c>
      <c r="B63" s="37">
        <v>0.61680017319766178</v>
      </c>
      <c r="C63" s="67">
        <v>49774</v>
      </c>
      <c r="D63" s="67">
        <v>39775.72925764192</v>
      </c>
      <c r="E63" s="32">
        <v>27055</v>
      </c>
      <c r="F63" s="67">
        <v>147</v>
      </c>
      <c r="G63" s="63">
        <v>33.5</v>
      </c>
      <c r="H63" s="67">
        <v>51036.141932869403</v>
      </c>
      <c r="I63" s="63">
        <v>347.1846389991116</v>
      </c>
      <c r="J63" s="132">
        <v>26.74</v>
      </c>
      <c r="K63" s="134">
        <v>1.2505999999999999</v>
      </c>
      <c r="M63" s="170"/>
      <c r="R63" s="32"/>
      <c r="T63" s="63"/>
      <c r="U63" s="132"/>
      <c r="V63" s="134"/>
    </row>
    <row r="64" spans="1:22" x14ac:dyDescent="0.25">
      <c r="A64">
        <v>1174524458</v>
      </c>
      <c r="B64" s="37">
        <v>0.67589138544287319</v>
      </c>
      <c r="C64" s="67">
        <v>23190</v>
      </c>
      <c r="D64" s="67">
        <v>23190</v>
      </c>
      <c r="E64" s="32">
        <v>27511</v>
      </c>
      <c r="F64" s="67">
        <v>71</v>
      </c>
      <c r="G64" s="63">
        <v>5</v>
      </c>
      <c r="H64" s="67">
        <v>30175</v>
      </c>
      <c r="I64" s="63">
        <v>0</v>
      </c>
      <c r="J64" s="132">
        <v>0</v>
      </c>
      <c r="K64" s="134">
        <v>1.1468</v>
      </c>
      <c r="M64" s="170"/>
      <c r="R64" s="32"/>
      <c r="T64" s="63"/>
      <c r="U64" s="132"/>
      <c r="V64" s="134"/>
    </row>
    <row r="65" spans="1:22" x14ac:dyDescent="0.25">
      <c r="A65">
        <v>1174608350</v>
      </c>
      <c r="B65" s="37">
        <v>0.63037048567870491</v>
      </c>
      <c r="C65" s="67">
        <v>16380</v>
      </c>
      <c r="D65" s="67">
        <v>16380</v>
      </c>
      <c r="E65" s="32">
        <v>28081</v>
      </c>
      <c r="F65" s="67">
        <v>50</v>
      </c>
      <c r="G65" s="63">
        <v>24.970000000000027</v>
      </c>
      <c r="H65" s="67">
        <v>18750</v>
      </c>
      <c r="I65" s="63">
        <v>348.68913776530798</v>
      </c>
      <c r="J65" s="132">
        <v>26.74</v>
      </c>
      <c r="K65" s="134">
        <v>1.1093999999999999</v>
      </c>
      <c r="M65" s="170"/>
      <c r="R65" s="32"/>
      <c r="T65" s="63"/>
      <c r="U65" s="132"/>
      <c r="V65" s="134"/>
    </row>
    <row r="66" spans="1:22" x14ac:dyDescent="0.25">
      <c r="A66">
        <v>1184174484</v>
      </c>
      <c r="B66" s="37">
        <v>0.59947003668976762</v>
      </c>
      <c r="C66" s="67">
        <v>49503</v>
      </c>
      <c r="D66" s="67">
        <v>49503</v>
      </c>
      <c r="E66" s="32">
        <v>27834</v>
      </c>
      <c r="F66" s="67">
        <v>152</v>
      </c>
      <c r="G66" s="63">
        <v>10.180000000000064</v>
      </c>
      <c r="H66" s="67">
        <v>77707</v>
      </c>
      <c r="I66" s="63">
        <v>511.23026315789474</v>
      </c>
      <c r="J66" s="132">
        <v>8.6399999999999988</v>
      </c>
      <c r="K66" s="134">
        <v>1.2853000000000001</v>
      </c>
      <c r="M66" s="170"/>
      <c r="R66" s="32"/>
      <c r="T66" s="63"/>
      <c r="U66" s="132"/>
      <c r="V66" s="134"/>
    </row>
    <row r="67" spans="1:22" x14ac:dyDescent="0.25">
      <c r="A67">
        <v>1184196206</v>
      </c>
      <c r="B67" s="37">
        <v>0.69969040247678027</v>
      </c>
      <c r="C67" s="67">
        <v>21783</v>
      </c>
      <c r="D67" s="67">
        <v>21783</v>
      </c>
      <c r="E67" s="32">
        <v>28741</v>
      </c>
      <c r="F67" s="67">
        <v>80</v>
      </c>
      <c r="G67" s="63">
        <v>18.599999999999909</v>
      </c>
      <c r="H67" s="67">
        <v>32000</v>
      </c>
      <c r="I67" s="63">
        <v>0</v>
      </c>
      <c r="J67" s="132">
        <v>26.74</v>
      </c>
      <c r="K67" s="134">
        <v>0.94099999999999995</v>
      </c>
      <c r="M67" s="170"/>
      <c r="R67" s="32"/>
      <c r="T67" s="63"/>
      <c r="U67" s="132"/>
      <c r="V67" s="134"/>
    </row>
    <row r="68" spans="1:22" x14ac:dyDescent="0.25">
      <c r="A68">
        <v>1184650541</v>
      </c>
      <c r="B68" s="37">
        <v>0.59378644011327675</v>
      </c>
      <c r="C68" s="67">
        <v>45077</v>
      </c>
      <c r="D68" s="67">
        <v>45077</v>
      </c>
      <c r="E68" s="32">
        <v>28697</v>
      </c>
      <c r="F68" s="67">
        <v>176</v>
      </c>
      <c r="G68" s="63">
        <v>27.829999999999927</v>
      </c>
      <c r="H68" s="67">
        <v>61600</v>
      </c>
      <c r="I68" s="63">
        <v>310.63162698429454</v>
      </c>
      <c r="J68" s="132">
        <v>8.6399999999999988</v>
      </c>
      <c r="K68" s="134">
        <v>1.3856999999999999</v>
      </c>
      <c r="M68" s="170"/>
      <c r="R68" s="32"/>
      <c r="T68" s="63"/>
      <c r="U68" s="132"/>
      <c r="V68" s="134"/>
    </row>
    <row r="69" spans="1:22" x14ac:dyDescent="0.25">
      <c r="A69">
        <v>1184705048</v>
      </c>
      <c r="B69" s="37">
        <v>0.6449569183983781</v>
      </c>
      <c r="C69" s="67">
        <v>20364</v>
      </c>
      <c r="D69" s="67">
        <v>20364</v>
      </c>
      <c r="E69" s="32">
        <v>28573</v>
      </c>
      <c r="F69" s="67">
        <v>80</v>
      </c>
      <c r="G69" s="63">
        <v>29.5</v>
      </c>
      <c r="H69" s="67">
        <v>28000</v>
      </c>
      <c r="I69" s="63">
        <v>0</v>
      </c>
      <c r="J69" s="132">
        <v>26.74</v>
      </c>
      <c r="K69" s="134">
        <v>1.1094999999999999</v>
      </c>
      <c r="M69" s="170"/>
      <c r="R69" s="32"/>
      <c r="T69" s="63"/>
      <c r="U69" s="132"/>
      <c r="V69" s="134"/>
    </row>
    <row r="70" spans="1:22" x14ac:dyDescent="0.25">
      <c r="A70">
        <v>1184712580</v>
      </c>
      <c r="B70" s="37">
        <v>0.79778069791210404</v>
      </c>
      <c r="C70" s="67">
        <v>47799</v>
      </c>
      <c r="D70" s="67">
        <v>47799</v>
      </c>
      <c r="E70" s="32">
        <v>28387</v>
      </c>
      <c r="F70" s="67">
        <v>176</v>
      </c>
      <c r="G70" s="63">
        <v>14</v>
      </c>
      <c r="H70" s="67">
        <v>70400</v>
      </c>
      <c r="I70" s="63">
        <v>0</v>
      </c>
      <c r="J70" s="132">
        <v>0</v>
      </c>
      <c r="K70" s="134">
        <v>0.98129999999999995</v>
      </c>
      <c r="M70" s="170"/>
      <c r="R70" s="32"/>
      <c r="T70" s="63"/>
      <c r="U70" s="132"/>
      <c r="V70" s="134"/>
    </row>
    <row r="71" spans="1:22" x14ac:dyDescent="0.25">
      <c r="A71">
        <v>1194028118</v>
      </c>
      <c r="B71" s="37">
        <v>0.65</v>
      </c>
      <c r="C71" s="67">
        <v>34189</v>
      </c>
      <c r="D71" s="67">
        <v>34189</v>
      </c>
      <c r="E71" s="32">
        <v>28412</v>
      </c>
      <c r="F71" s="67">
        <v>100</v>
      </c>
      <c r="G71" s="63">
        <v>7.1400000000001</v>
      </c>
      <c r="H71" s="67">
        <v>67869</v>
      </c>
      <c r="I71" s="63">
        <v>678.69</v>
      </c>
      <c r="J71" s="132">
        <v>26.74</v>
      </c>
      <c r="K71" s="134">
        <v>1.1197999999999999</v>
      </c>
      <c r="M71" s="170"/>
      <c r="R71" s="32"/>
      <c r="T71" s="63"/>
      <c r="U71" s="132"/>
      <c r="V71" s="134"/>
    </row>
    <row r="72" spans="1:22" x14ac:dyDescent="0.25">
      <c r="A72">
        <v>1194309336</v>
      </c>
      <c r="B72" s="37">
        <v>0.66849175062052857</v>
      </c>
      <c r="C72" s="67">
        <v>29869</v>
      </c>
      <c r="D72" s="67">
        <v>29869</v>
      </c>
      <c r="E72" s="32">
        <v>28214</v>
      </c>
      <c r="F72" s="67">
        <v>90</v>
      </c>
      <c r="G72" s="63">
        <v>2.8900000000001</v>
      </c>
      <c r="H72" s="67">
        <v>38758</v>
      </c>
      <c r="I72" s="63">
        <v>430.64444444444445</v>
      </c>
      <c r="J72" s="132">
        <v>26.74</v>
      </c>
      <c r="K72" s="134">
        <v>1.2271000000000001</v>
      </c>
      <c r="M72" s="170"/>
      <c r="R72" s="32"/>
      <c r="T72" s="63"/>
      <c r="U72" s="132"/>
      <c r="V72" s="134"/>
    </row>
    <row r="73" spans="1:22" x14ac:dyDescent="0.25">
      <c r="A73">
        <v>1194381681</v>
      </c>
      <c r="B73" s="37">
        <v>0.62089213969300516</v>
      </c>
      <c r="C73" s="67">
        <v>27603</v>
      </c>
      <c r="D73" s="67">
        <v>27603</v>
      </c>
      <c r="E73" s="32">
        <v>27909</v>
      </c>
      <c r="F73" s="67">
        <v>108</v>
      </c>
      <c r="G73" s="63">
        <v>17.940000000000055</v>
      </c>
      <c r="H73" s="67">
        <v>43200</v>
      </c>
      <c r="I73" s="63">
        <v>309.49074074074076</v>
      </c>
      <c r="J73" s="132">
        <v>26.74</v>
      </c>
      <c r="K73" s="134">
        <v>1.1375</v>
      </c>
      <c r="M73" s="170"/>
      <c r="R73" s="32"/>
      <c r="T73" s="63"/>
      <c r="U73" s="132"/>
      <c r="V73" s="134"/>
    </row>
    <row r="74" spans="1:22" x14ac:dyDescent="0.25">
      <c r="A74">
        <v>1194722629</v>
      </c>
      <c r="B74" s="37">
        <v>0.70952575633687653</v>
      </c>
      <c r="C74" s="67">
        <v>34147</v>
      </c>
      <c r="D74" s="67">
        <v>34147</v>
      </c>
      <c r="E74" s="32">
        <v>28806</v>
      </c>
      <c r="F74" s="67">
        <v>120</v>
      </c>
      <c r="G74" s="63">
        <v>3.5399999999999636</v>
      </c>
      <c r="H74" s="67">
        <v>72307.628347090795</v>
      </c>
      <c r="I74" s="63">
        <v>602.56356955908996</v>
      </c>
      <c r="J74" s="132">
        <v>26.74</v>
      </c>
      <c r="K74" s="134">
        <v>1.1940999999999999</v>
      </c>
      <c r="M74" s="170"/>
      <c r="R74" s="32"/>
      <c r="T74" s="63"/>
      <c r="U74" s="132"/>
      <c r="V74" s="134"/>
    </row>
    <row r="75" spans="1:22" x14ac:dyDescent="0.25">
      <c r="A75">
        <v>1194779504</v>
      </c>
      <c r="B75" s="37">
        <v>0.61637448713166731</v>
      </c>
      <c r="C75" s="67">
        <v>23056</v>
      </c>
      <c r="D75" s="67">
        <v>23056</v>
      </c>
      <c r="E75" s="32">
        <v>28372</v>
      </c>
      <c r="F75" s="67">
        <v>84</v>
      </c>
      <c r="G75" s="63">
        <v>26.829999999999927</v>
      </c>
      <c r="H75" s="67">
        <v>32361</v>
      </c>
      <c r="I75" s="63">
        <v>385.25</v>
      </c>
      <c r="J75" s="132">
        <v>26.74</v>
      </c>
      <c r="K75" s="134">
        <v>1.232</v>
      </c>
      <c r="M75" s="170"/>
      <c r="R75" s="32"/>
      <c r="T75" s="63"/>
      <c r="U75" s="132"/>
      <c r="V75" s="134"/>
    </row>
    <row r="76" spans="1:22" x14ac:dyDescent="0.25">
      <c r="A76">
        <v>1194825448</v>
      </c>
      <c r="B76" s="37">
        <v>0.61031184384477799</v>
      </c>
      <c r="C76" s="67">
        <v>30485</v>
      </c>
      <c r="D76" s="67">
        <v>30485</v>
      </c>
      <c r="E76" s="32">
        <v>28150</v>
      </c>
      <c r="F76" s="67">
        <v>100</v>
      </c>
      <c r="G76" s="63">
        <v>33.5</v>
      </c>
      <c r="H76" s="67">
        <v>32500</v>
      </c>
      <c r="I76" s="63">
        <v>289.83999999999997</v>
      </c>
      <c r="J76" s="132">
        <v>26.74</v>
      </c>
      <c r="K76" s="134">
        <v>1.3158000000000001</v>
      </c>
      <c r="M76" s="170"/>
      <c r="R76" s="32"/>
      <c r="T76" s="63"/>
      <c r="U76" s="132"/>
      <c r="V76" s="134"/>
    </row>
    <row r="77" spans="1:22" x14ac:dyDescent="0.25">
      <c r="A77">
        <v>1205252640</v>
      </c>
      <c r="B77" s="37">
        <v>0.66886531776450675</v>
      </c>
      <c r="C77" s="67">
        <v>34026</v>
      </c>
      <c r="D77" s="67">
        <v>34026</v>
      </c>
      <c r="E77" s="32">
        <v>27804</v>
      </c>
      <c r="F77" s="67">
        <v>117</v>
      </c>
      <c r="G77" s="63">
        <v>27.589999999999918</v>
      </c>
      <c r="H77" s="67">
        <v>42361</v>
      </c>
      <c r="I77" s="63">
        <v>362.05982905982904</v>
      </c>
      <c r="J77" s="132">
        <v>26.74</v>
      </c>
      <c r="K77" s="134">
        <v>1.3338000000000001</v>
      </c>
      <c r="M77" s="170"/>
      <c r="R77" s="32"/>
      <c r="T77" s="63"/>
      <c r="U77" s="132"/>
      <c r="V77" s="134"/>
    </row>
    <row r="78" spans="1:22" x14ac:dyDescent="0.25">
      <c r="A78">
        <v>1205357878</v>
      </c>
      <c r="B78" s="37">
        <v>0.52142623487078832</v>
      </c>
      <c r="C78" s="67">
        <v>13204</v>
      </c>
      <c r="D78" s="67">
        <v>13204</v>
      </c>
      <c r="E78" s="32">
        <v>27106</v>
      </c>
      <c r="F78" s="67">
        <v>40</v>
      </c>
      <c r="G78" s="63">
        <v>1</v>
      </c>
      <c r="H78" s="67">
        <v>17000</v>
      </c>
      <c r="I78" s="63">
        <v>377.4375</v>
      </c>
      <c r="J78" s="132">
        <v>26.74</v>
      </c>
      <c r="K78" s="134">
        <v>1.2541</v>
      </c>
      <c r="M78" s="170"/>
      <c r="R78" s="32"/>
      <c r="T78" s="63"/>
      <c r="U78" s="132"/>
      <c r="V78" s="134"/>
    </row>
    <row r="79" spans="1:22" x14ac:dyDescent="0.25">
      <c r="A79">
        <v>1215400668</v>
      </c>
      <c r="B79" s="37">
        <v>0.6376835642578611</v>
      </c>
      <c r="C79" s="67">
        <v>29736</v>
      </c>
      <c r="D79" s="67">
        <v>29736</v>
      </c>
      <c r="E79" s="32">
        <v>27407</v>
      </c>
      <c r="F79" s="67">
        <v>126</v>
      </c>
      <c r="G79" s="63">
        <v>22.599999999999909</v>
      </c>
      <c r="H79" s="67">
        <v>47250</v>
      </c>
      <c r="I79" s="63">
        <v>355.42063492063494</v>
      </c>
      <c r="J79" s="132">
        <v>26.74</v>
      </c>
      <c r="K79" s="134">
        <v>1.0172000000000001</v>
      </c>
      <c r="M79" s="170"/>
      <c r="R79" s="32"/>
      <c r="T79" s="63"/>
      <c r="U79" s="132"/>
      <c r="V79" s="134"/>
    </row>
    <row r="80" spans="1:22" x14ac:dyDescent="0.25">
      <c r="A80">
        <v>1215931977</v>
      </c>
      <c r="B80" s="37">
        <v>0.66652139173385627</v>
      </c>
      <c r="C80" s="67">
        <v>24605</v>
      </c>
      <c r="D80" s="67">
        <v>24605</v>
      </c>
      <c r="E80" s="32">
        <v>28001</v>
      </c>
      <c r="F80" s="67">
        <v>76</v>
      </c>
      <c r="G80" s="63">
        <v>1.6099999999999</v>
      </c>
      <c r="H80" s="67">
        <v>42196</v>
      </c>
      <c r="I80" s="63">
        <v>555.21052631578948</v>
      </c>
      <c r="J80" s="132">
        <v>26.74</v>
      </c>
      <c r="K80" s="134">
        <v>1.1893</v>
      </c>
      <c r="M80" s="170"/>
      <c r="R80" s="32"/>
      <c r="T80" s="63"/>
      <c r="U80" s="132"/>
      <c r="V80" s="134"/>
    </row>
    <row r="81" spans="1:22" x14ac:dyDescent="0.25">
      <c r="A81">
        <v>1215979059</v>
      </c>
      <c r="B81" s="37">
        <v>0.62348824826956717</v>
      </c>
      <c r="C81" s="67">
        <v>20860</v>
      </c>
      <c r="D81" s="67">
        <v>20860</v>
      </c>
      <c r="E81" s="32">
        <v>28212</v>
      </c>
      <c r="F81" s="67">
        <v>70</v>
      </c>
      <c r="G81" s="63">
        <v>12.869999999999891</v>
      </c>
      <c r="H81" s="67">
        <v>36914</v>
      </c>
      <c r="I81" s="63">
        <v>527.34285714285716</v>
      </c>
      <c r="J81" s="132">
        <v>26.74</v>
      </c>
      <c r="K81" s="134">
        <v>1.1596</v>
      </c>
      <c r="M81" s="170"/>
      <c r="R81" s="32"/>
      <c r="T81" s="63"/>
      <c r="U81" s="132"/>
      <c r="V81" s="134"/>
    </row>
    <row r="82" spans="1:22" x14ac:dyDescent="0.25">
      <c r="A82">
        <v>1215982525</v>
      </c>
      <c r="B82" s="37">
        <v>0.68711790393013095</v>
      </c>
      <c r="C82" s="67">
        <v>40823</v>
      </c>
      <c r="D82" s="67">
        <v>40823</v>
      </c>
      <c r="E82" s="32">
        <v>27312</v>
      </c>
      <c r="F82" s="67">
        <v>140</v>
      </c>
      <c r="G82" s="63">
        <v>10.400000000000091</v>
      </c>
      <c r="H82" s="67">
        <v>56000</v>
      </c>
      <c r="I82" s="63">
        <v>0</v>
      </c>
      <c r="J82" s="132">
        <v>26.74</v>
      </c>
      <c r="K82" s="134">
        <v>1.1437999999999999</v>
      </c>
      <c r="M82" s="170"/>
      <c r="R82" s="32"/>
      <c r="T82" s="63"/>
      <c r="U82" s="132"/>
      <c r="V82" s="134"/>
    </row>
    <row r="83" spans="1:22" x14ac:dyDescent="0.25">
      <c r="A83">
        <v>1225000888</v>
      </c>
      <c r="B83" s="37">
        <v>0.65659547738693469</v>
      </c>
      <c r="C83" s="67">
        <v>33109</v>
      </c>
      <c r="D83" s="67">
        <v>33109</v>
      </c>
      <c r="E83" s="32">
        <v>27313</v>
      </c>
      <c r="F83" s="67">
        <v>118</v>
      </c>
      <c r="G83" s="63">
        <v>10.369999999999891</v>
      </c>
      <c r="H83" s="67">
        <v>58851</v>
      </c>
      <c r="I83" s="63">
        <v>498.73728813559325</v>
      </c>
      <c r="J83" s="132">
        <v>26.74</v>
      </c>
      <c r="K83" s="134">
        <v>1.2211000000000001</v>
      </c>
      <c r="M83" s="170"/>
      <c r="R83" s="32"/>
      <c r="T83" s="63"/>
      <c r="U83" s="132"/>
      <c r="V83" s="134"/>
    </row>
    <row r="84" spans="1:22" x14ac:dyDescent="0.25">
      <c r="A84">
        <v>1225064777</v>
      </c>
      <c r="B84" s="37">
        <v>0.61934097421203438</v>
      </c>
      <c r="C84" s="67">
        <v>49743</v>
      </c>
      <c r="D84" s="67">
        <v>49743</v>
      </c>
      <c r="E84" s="32">
        <v>27577</v>
      </c>
      <c r="F84" s="67">
        <v>165</v>
      </c>
      <c r="G84" s="63">
        <v>33.5</v>
      </c>
      <c r="H84" s="67">
        <v>65990</v>
      </c>
      <c r="I84" s="63">
        <v>399.93939393939394</v>
      </c>
      <c r="J84" s="132">
        <v>8.6399999999999988</v>
      </c>
      <c r="K84" s="134">
        <v>1.1656</v>
      </c>
      <c r="M84" s="170"/>
      <c r="R84" s="32"/>
      <c r="T84" s="63"/>
      <c r="U84" s="132"/>
      <c r="V84" s="134"/>
    </row>
    <row r="85" spans="1:22" x14ac:dyDescent="0.25">
      <c r="A85">
        <v>1225279755</v>
      </c>
      <c r="B85" s="37">
        <v>0.66302800189843381</v>
      </c>
      <c r="C85" s="67">
        <v>36774</v>
      </c>
      <c r="D85" s="67">
        <v>36774</v>
      </c>
      <c r="E85" s="32">
        <v>27834</v>
      </c>
      <c r="F85" s="67">
        <v>120</v>
      </c>
      <c r="G85" s="63">
        <v>24.710000000000036</v>
      </c>
      <c r="H85" s="67">
        <v>45000</v>
      </c>
      <c r="I85" s="63">
        <v>332.53333333333336</v>
      </c>
      <c r="J85" s="132">
        <v>26.74</v>
      </c>
      <c r="K85" s="134">
        <v>1.2985</v>
      </c>
      <c r="M85" s="170"/>
      <c r="R85" s="32"/>
      <c r="T85" s="63"/>
      <c r="U85" s="132"/>
      <c r="V85" s="134"/>
    </row>
    <row r="86" spans="1:22" x14ac:dyDescent="0.25">
      <c r="A86">
        <v>1225524747</v>
      </c>
      <c r="B86" s="37">
        <v>0.59177892483948125</v>
      </c>
      <c r="C86" s="67">
        <v>34215</v>
      </c>
      <c r="D86" s="67">
        <v>34215</v>
      </c>
      <c r="E86" s="32">
        <v>28801</v>
      </c>
      <c r="F86" s="67">
        <v>120</v>
      </c>
      <c r="G86" s="63">
        <v>9.6500000000000909</v>
      </c>
      <c r="H86" s="67">
        <v>51000</v>
      </c>
      <c r="I86" s="63">
        <v>406.81666666666666</v>
      </c>
      <c r="J86" s="132">
        <v>26.74</v>
      </c>
      <c r="K86" s="134">
        <v>1.1423000000000001</v>
      </c>
      <c r="M86" s="170"/>
      <c r="R86" s="32"/>
      <c r="T86" s="63"/>
      <c r="U86" s="132"/>
      <c r="V86" s="134"/>
    </row>
    <row r="87" spans="1:22" x14ac:dyDescent="0.25">
      <c r="A87">
        <v>1225588536</v>
      </c>
      <c r="B87" s="37">
        <v>0.5773145429633979</v>
      </c>
      <c r="C87" s="67">
        <v>37435</v>
      </c>
      <c r="D87" s="67">
        <v>37435</v>
      </c>
      <c r="E87" s="32">
        <v>27030</v>
      </c>
      <c r="F87" s="67">
        <v>120</v>
      </c>
      <c r="G87" s="63">
        <v>9.5599999999999454</v>
      </c>
      <c r="H87" s="67">
        <v>51000</v>
      </c>
      <c r="I87" s="63">
        <v>333.5</v>
      </c>
      <c r="J87" s="132">
        <v>26.74</v>
      </c>
      <c r="K87" s="134">
        <v>1.1694</v>
      </c>
      <c r="M87" s="170"/>
      <c r="R87" s="32"/>
      <c r="T87" s="63"/>
      <c r="U87" s="132"/>
      <c r="V87" s="134"/>
    </row>
    <row r="88" spans="1:22" x14ac:dyDescent="0.25">
      <c r="A88">
        <v>1225654098</v>
      </c>
      <c r="B88" s="37">
        <v>0.58922858158549596</v>
      </c>
      <c r="C88" s="67">
        <v>0</v>
      </c>
      <c r="D88" s="67">
        <v>0</v>
      </c>
      <c r="E88" s="32">
        <v>28306</v>
      </c>
      <c r="F88" s="67">
        <v>120</v>
      </c>
      <c r="G88" s="63">
        <v>26.569999999999936</v>
      </c>
      <c r="H88" s="67">
        <v>42000</v>
      </c>
      <c r="I88" s="63">
        <v>348.01666666666665</v>
      </c>
      <c r="J88" s="132">
        <v>26.74</v>
      </c>
      <c r="K88" s="134">
        <v>1.179314330001999</v>
      </c>
      <c r="M88" s="170"/>
      <c r="R88" s="32"/>
      <c r="T88" s="63"/>
      <c r="U88" s="132"/>
      <c r="V88" s="134"/>
    </row>
    <row r="89" spans="1:22" x14ac:dyDescent="0.25">
      <c r="A89">
        <v>1225688757</v>
      </c>
      <c r="B89" s="37">
        <v>0.59185818385650224</v>
      </c>
      <c r="C89" s="67">
        <v>32589</v>
      </c>
      <c r="D89" s="67">
        <v>32589</v>
      </c>
      <c r="E89" s="32">
        <v>27320</v>
      </c>
      <c r="F89" s="67">
        <v>110</v>
      </c>
      <c r="G89" s="63">
        <v>33.5</v>
      </c>
      <c r="H89" s="67">
        <v>35750</v>
      </c>
      <c r="I89" s="63">
        <v>259.72727272727275</v>
      </c>
      <c r="J89" s="132">
        <v>26.74</v>
      </c>
      <c r="K89" s="134">
        <v>1.1839999999999999</v>
      </c>
      <c r="M89" s="170"/>
      <c r="R89" s="32"/>
      <c r="T89" s="63"/>
      <c r="U89" s="132"/>
      <c r="V89" s="134"/>
    </row>
    <row r="90" spans="1:22" x14ac:dyDescent="0.25">
      <c r="A90">
        <v>1235175175</v>
      </c>
      <c r="B90" s="37">
        <v>0.6011754827875736</v>
      </c>
      <c r="C90" s="67">
        <v>46048</v>
      </c>
      <c r="D90" s="67">
        <v>46048</v>
      </c>
      <c r="E90" s="32">
        <v>28002</v>
      </c>
      <c r="F90" s="67">
        <v>180</v>
      </c>
      <c r="G90" s="63">
        <v>33.5</v>
      </c>
      <c r="H90" s="67">
        <v>58500</v>
      </c>
      <c r="I90" s="63">
        <v>313.17180730682185</v>
      </c>
      <c r="J90" s="132">
        <v>8.6399999999999988</v>
      </c>
      <c r="K90" s="134">
        <v>1.2302</v>
      </c>
      <c r="M90" s="170"/>
      <c r="R90" s="32"/>
      <c r="T90" s="63"/>
      <c r="U90" s="132"/>
      <c r="V90" s="134"/>
    </row>
    <row r="91" spans="1:22" x14ac:dyDescent="0.25">
      <c r="A91">
        <v>1235236878</v>
      </c>
      <c r="B91" s="37">
        <v>0.65127652519893897</v>
      </c>
      <c r="C91" s="67">
        <v>10724</v>
      </c>
      <c r="D91" s="67">
        <v>10724</v>
      </c>
      <c r="E91" s="32">
        <v>28145</v>
      </c>
      <c r="F91" s="67">
        <v>58</v>
      </c>
      <c r="G91" s="63">
        <v>33.5</v>
      </c>
      <c r="H91" s="67">
        <v>23500</v>
      </c>
      <c r="I91" s="63">
        <v>405.17241379310343</v>
      </c>
      <c r="J91" s="132">
        <v>26.74</v>
      </c>
      <c r="K91" s="134">
        <v>1.2844</v>
      </c>
      <c r="M91" s="170"/>
      <c r="R91" s="32"/>
      <c r="T91" s="63"/>
      <c r="U91" s="132"/>
      <c r="V91" s="134"/>
    </row>
    <row r="92" spans="1:22" x14ac:dyDescent="0.25">
      <c r="A92">
        <v>1235239567</v>
      </c>
      <c r="B92" s="37">
        <v>0.62225319776976062</v>
      </c>
      <c r="C92" s="67">
        <v>30824</v>
      </c>
      <c r="D92" s="67">
        <v>30824</v>
      </c>
      <c r="E92" s="32">
        <v>28054</v>
      </c>
      <c r="F92" s="67">
        <v>120</v>
      </c>
      <c r="G92" s="63">
        <v>33.5</v>
      </c>
      <c r="H92" s="67">
        <v>39000</v>
      </c>
      <c r="I92" s="63">
        <v>310.61538461538464</v>
      </c>
      <c r="J92" s="132">
        <v>26.74</v>
      </c>
      <c r="K92" s="134">
        <v>1.3829</v>
      </c>
      <c r="M92" s="170"/>
      <c r="R92" s="32"/>
      <c r="T92" s="63"/>
      <c r="U92" s="132"/>
      <c r="V92" s="134"/>
    </row>
    <row r="93" spans="1:22" x14ac:dyDescent="0.25">
      <c r="A93">
        <v>1235264219</v>
      </c>
      <c r="B93" s="37">
        <v>0.72895611476632971</v>
      </c>
      <c r="C93" s="67">
        <v>38516</v>
      </c>
      <c r="D93" s="67">
        <v>38516</v>
      </c>
      <c r="E93" s="32">
        <v>27217</v>
      </c>
      <c r="F93" s="67">
        <v>160</v>
      </c>
      <c r="G93" s="63">
        <v>18.910000000000082</v>
      </c>
      <c r="H93" s="67">
        <v>64000</v>
      </c>
      <c r="I93" s="63">
        <v>293.5625</v>
      </c>
      <c r="J93" s="132">
        <v>0</v>
      </c>
      <c r="K93" s="134">
        <v>1.0972</v>
      </c>
      <c r="M93" s="170"/>
      <c r="R93" s="32"/>
      <c r="T93" s="63"/>
      <c r="U93" s="132"/>
      <c r="V93" s="134"/>
    </row>
    <row r="94" spans="1:22" x14ac:dyDescent="0.25">
      <c r="A94">
        <v>1235370750</v>
      </c>
      <c r="B94" s="37">
        <v>0.59575378820306479</v>
      </c>
      <c r="C94" s="67">
        <v>38603</v>
      </c>
      <c r="D94" s="67">
        <v>38603</v>
      </c>
      <c r="E94" s="32">
        <v>27546</v>
      </c>
      <c r="F94" s="67">
        <v>129</v>
      </c>
      <c r="G94" s="63">
        <v>5.1900000000000546</v>
      </c>
      <c r="H94" s="67">
        <v>57019.258442928171</v>
      </c>
      <c r="I94" s="63">
        <v>442.00975537153619</v>
      </c>
      <c r="J94" s="132">
        <v>26.74</v>
      </c>
      <c r="K94" s="134">
        <v>1.3462000000000001</v>
      </c>
      <c r="M94" s="170"/>
      <c r="R94" s="32"/>
      <c r="T94" s="63"/>
      <c r="U94" s="132"/>
      <c r="V94" s="134"/>
    </row>
    <row r="95" spans="1:22" x14ac:dyDescent="0.25">
      <c r="A95">
        <v>1235591918</v>
      </c>
      <c r="B95" s="37">
        <v>0.68744633350506612</v>
      </c>
      <c r="C95" s="67">
        <v>34298</v>
      </c>
      <c r="D95" s="67">
        <v>34298</v>
      </c>
      <c r="E95" s="32">
        <v>28751</v>
      </c>
      <c r="F95" s="67">
        <v>114</v>
      </c>
      <c r="G95" s="63">
        <v>10.579999999999927</v>
      </c>
      <c r="H95" s="67">
        <v>45600</v>
      </c>
      <c r="I95" s="63">
        <v>385.92105263157896</v>
      </c>
      <c r="J95" s="132">
        <v>26.74</v>
      </c>
      <c r="K95" s="134">
        <v>1.2771999999999999</v>
      </c>
      <c r="M95" s="170"/>
      <c r="R95" s="32"/>
      <c r="T95" s="63"/>
      <c r="U95" s="132"/>
      <c r="V95" s="134"/>
    </row>
    <row r="96" spans="1:22" x14ac:dyDescent="0.25">
      <c r="A96">
        <v>1245227578</v>
      </c>
      <c r="B96" s="37">
        <v>0.67747771029848813</v>
      </c>
      <c r="C96" s="67">
        <v>55408</v>
      </c>
      <c r="D96" s="67">
        <v>55408</v>
      </c>
      <c r="E96" s="32">
        <v>28658</v>
      </c>
      <c r="F96" s="67">
        <v>174</v>
      </c>
      <c r="G96" s="63">
        <v>3.6099999999999</v>
      </c>
      <c r="H96" s="67">
        <v>121800</v>
      </c>
      <c r="I96" s="63">
        <v>859.92736496426664</v>
      </c>
      <c r="J96" s="132">
        <v>0</v>
      </c>
      <c r="K96" s="134">
        <v>1.0416000000000001</v>
      </c>
      <c r="M96" s="170"/>
      <c r="R96" s="32"/>
      <c r="T96" s="63"/>
      <c r="U96" s="132"/>
      <c r="V96" s="134"/>
    </row>
    <row r="97" spans="1:22" x14ac:dyDescent="0.25">
      <c r="A97">
        <v>1245285253</v>
      </c>
      <c r="B97" s="37">
        <v>0.55006190034045188</v>
      </c>
      <c r="C97" s="67">
        <v>34457</v>
      </c>
      <c r="D97" s="67">
        <v>34457</v>
      </c>
      <c r="E97" s="32">
        <v>28560</v>
      </c>
      <c r="F97" s="67">
        <v>110</v>
      </c>
      <c r="G97" s="63">
        <v>4.3199999999999363</v>
      </c>
      <c r="H97" s="67">
        <v>46750</v>
      </c>
      <c r="I97" s="63">
        <v>200</v>
      </c>
      <c r="J97" s="132">
        <v>26.74</v>
      </c>
      <c r="K97" s="134">
        <v>1.1415999999999999</v>
      </c>
      <c r="M97" s="170"/>
      <c r="R97" s="32"/>
      <c r="T97" s="63"/>
      <c r="U97" s="132"/>
      <c r="V97" s="134"/>
    </row>
    <row r="98" spans="1:22" x14ac:dyDescent="0.25">
      <c r="A98">
        <v>1245287762</v>
      </c>
      <c r="B98" s="37">
        <v>0.59144832294956051</v>
      </c>
      <c r="C98" s="67">
        <v>34005</v>
      </c>
      <c r="D98" s="67">
        <v>34005</v>
      </c>
      <c r="E98" s="32">
        <v>28621</v>
      </c>
      <c r="F98" s="67">
        <v>100</v>
      </c>
      <c r="G98" s="63">
        <v>4.4900000000000091</v>
      </c>
      <c r="H98" s="67">
        <v>42500</v>
      </c>
      <c r="I98" s="63">
        <v>246.52</v>
      </c>
      <c r="J98" s="132">
        <v>26.74</v>
      </c>
      <c r="K98" s="134">
        <v>1.2533000000000001</v>
      </c>
      <c r="M98" s="170"/>
      <c r="R98" s="32"/>
      <c r="T98" s="63"/>
      <c r="U98" s="132"/>
      <c r="V98" s="134"/>
    </row>
    <row r="99" spans="1:22" x14ac:dyDescent="0.25">
      <c r="A99">
        <v>1245337880</v>
      </c>
      <c r="B99" s="37">
        <v>0.65932838797160398</v>
      </c>
      <c r="C99" s="67">
        <v>19500</v>
      </c>
      <c r="D99" s="67">
        <v>19500</v>
      </c>
      <c r="E99" s="32">
        <v>28054</v>
      </c>
      <c r="F99" s="67">
        <v>60</v>
      </c>
      <c r="G99" s="63">
        <v>24.650000000000091</v>
      </c>
      <c r="H99" s="67">
        <v>22500</v>
      </c>
      <c r="I99" s="63">
        <v>295.06324973400211</v>
      </c>
      <c r="J99" s="132">
        <v>26.74</v>
      </c>
      <c r="K99" s="134">
        <v>1.2981</v>
      </c>
      <c r="M99" s="170"/>
      <c r="R99" s="32"/>
      <c r="T99" s="63"/>
      <c r="U99" s="132"/>
      <c r="V99" s="134"/>
    </row>
    <row r="100" spans="1:22" x14ac:dyDescent="0.25">
      <c r="A100">
        <v>1245350289</v>
      </c>
      <c r="B100" s="37">
        <v>0.6111161237931968</v>
      </c>
      <c r="C100" s="67">
        <v>37578</v>
      </c>
      <c r="D100" s="67">
        <v>37578</v>
      </c>
      <c r="E100" s="32">
        <v>27288</v>
      </c>
      <c r="F100" s="67">
        <v>112</v>
      </c>
      <c r="G100" s="63">
        <v>17.869999999999891</v>
      </c>
      <c r="H100" s="67">
        <v>44800</v>
      </c>
      <c r="I100" s="63">
        <v>311.60714285714283</v>
      </c>
      <c r="J100" s="132">
        <v>26.74</v>
      </c>
      <c r="K100" s="134">
        <v>1.1240000000000001</v>
      </c>
      <c r="M100" s="170"/>
      <c r="R100" s="32"/>
      <c r="T100" s="63"/>
      <c r="U100" s="132"/>
      <c r="V100" s="134"/>
    </row>
    <row r="101" spans="1:22" x14ac:dyDescent="0.25">
      <c r="A101">
        <v>1245737840</v>
      </c>
      <c r="B101" s="37">
        <v>0.62006509126927978</v>
      </c>
      <c r="C101" s="67">
        <v>28018</v>
      </c>
      <c r="D101" s="67">
        <v>28018</v>
      </c>
      <c r="E101" s="32">
        <v>28401</v>
      </c>
      <c r="F101" s="67">
        <v>120</v>
      </c>
      <c r="G101" s="63">
        <v>1</v>
      </c>
      <c r="H101" s="67">
        <v>51465</v>
      </c>
      <c r="I101" s="63">
        <v>428.875</v>
      </c>
      <c r="J101" s="132">
        <v>26.74</v>
      </c>
      <c r="K101" s="134">
        <v>1.2252000000000001</v>
      </c>
      <c r="M101" s="170"/>
      <c r="R101" s="32"/>
      <c r="T101" s="63"/>
      <c r="U101" s="132"/>
      <c r="V101" s="134"/>
    </row>
    <row r="102" spans="1:22" x14ac:dyDescent="0.25">
      <c r="A102">
        <v>1255367447</v>
      </c>
      <c r="B102" s="37">
        <v>0.61558329746018081</v>
      </c>
      <c r="C102" s="67">
        <v>53381</v>
      </c>
      <c r="D102" s="67">
        <v>53381</v>
      </c>
      <c r="E102" s="32">
        <v>27025</v>
      </c>
      <c r="F102" s="67">
        <v>170</v>
      </c>
      <c r="G102" s="63">
        <v>28.069999999999936</v>
      </c>
      <c r="H102" s="67">
        <v>65935</v>
      </c>
      <c r="I102" s="63">
        <v>387.85294117647061</v>
      </c>
      <c r="J102" s="132">
        <v>8.6399999999999988</v>
      </c>
      <c r="K102" s="134">
        <v>1.2370000000000001</v>
      </c>
      <c r="M102" s="170"/>
      <c r="R102" s="32"/>
      <c r="T102" s="63"/>
      <c r="U102" s="132"/>
      <c r="V102" s="134"/>
    </row>
    <row r="103" spans="1:22" x14ac:dyDescent="0.25">
      <c r="A103">
        <v>1255379293</v>
      </c>
      <c r="B103" s="37">
        <v>0.66230994931981857</v>
      </c>
      <c r="C103" s="67">
        <v>29125</v>
      </c>
      <c r="D103" s="67">
        <v>29125</v>
      </c>
      <c r="E103" s="32">
        <v>28704</v>
      </c>
      <c r="F103" s="67">
        <v>100</v>
      </c>
      <c r="G103" s="63">
        <v>22.829999999999927</v>
      </c>
      <c r="H103" s="67">
        <v>38658</v>
      </c>
      <c r="I103" s="63">
        <v>386.58</v>
      </c>
      <c r="J103" s="132">
        <v>26.74</v>
      </c>
      <c r="K103" s="134">
        <v>1.1863999999999999</v>
      </c>
      <c r="M103" s="170"/>
      <c r="R103" s="32"/>
      <c r="T103" s="63"/>
      <c r="U103" s="132"/>
      <c r="V103" s="134"/>
    </row>
    <row r="104" spans="1:22" x14ac:dyDescent="0.25">
      <c r="A104">
        <v>1255385720</v>
      </c>
      <c r="B104" s="37">
        <v>0.65684246811444336</v>
      </c>
      <c r="C104" s="67">
        <v>31394</v>
      </c>
      <c r="D104" s="67">
        <v>31394</v>
      </c>
      <c r="E104" s="32">
        <v>27610</v>
      </c>
      <c r="F104" s="67">
        <v>125</v>
      </c>
      <c r="G104" s="63">
        <v>17.369999999999891</v>
      </c>
      <c r="H104" s="67">
        <v>50000</v>
      </c>
      <c r="I104" s="63">
        <v>274.56799999999998</v>
      </c>
      <c r="J104" s="132">
        <v>26.74</v>
      </c>
      <c r="K104" s="134">
        <v>1.1516999999999999</v>
      </c>
      <c r="M104" s="170"/>
      <c r="R104" s="32"/>
      <c r="T104" s="63"/>
      <c r="U104" s="132"/>
      <c r="V104" s="134"/>
    </row>
    <row r="105" spans="1:22" x14ac:dyDescent="0.25">
      <c r="A105">
        <v>1255682522</v>
      </c>
      <c r="B105" s="37">
        <v>0.65</v>
      </c>
      <c r="C105" s="67">
        <v>25071</v>
      </c>
      <c r="D105" s="67">
        <v>25071</v>
      </c>
      <c r="E105" s="32">
        <v>28412</v>
      </c>
      <c r="F105" s="67">
        <v>80</v>
      </c>
      <c r="G105" s="63">
        <v>6.8699999999998909</v>
      </c>
      <c r="H105" s="67">
        <v>43500</v>
      </c>
      <c r="I105" s="63">
        <v>543.75</v>
      </c>
      <c r="J105" s="132">
        <v>26.74</v>
      </c>
      <c r="K105" s="134">
        <v>1.1847000000000001</v>
      </c>
      <c r="M105" s="170"/>
      <c r="R105" s="32"/>
      <c r="T105" s="63"/>
      <c r="U105" s="132"/>
      <c r="V105" s="134"/>
    </row>
    <row r="106" spans="1:22" x14ac:dyDescent="0.25">
      <c r="A106">
        <v>1255878245</v>
      </c>
      <c r="B106" s="37">
        <v>0.64203849203488794</v>
      </c>
      <c r="C106" s="67">
        <v>32903</v>
      </c>
      <c r="D106" s="67">
        <v>32903</v>
      </c>
      <c r="E106" s="32">
        <v>27209</v>
      </c>
      <c r="F106" s="67">
        <v>141</v>
      </c>
      <c r="G106" s="63">
        <v>27.789999999999964</v>
      </c>
      <c r="H106" s="67">
        <v>50014.306784660766</v>
      </c>
      <c r="I106" s="63">
        <v>354.71139563589196</v>
      </c>
      <c r="J106" s="132">
        <v>26.74</v>
      </c>
      <c r="K106" s="134">
        <v>1.0916999999999999</v>
      </c>
      <c r="M106" s="170"/>
      <c r="R106" s="32"/>
      <c r="T106" s="63"/>
      <c r="U106" s="132"/>
      <c r="V106" s="134"/>
    </row>
    <row r="107" spans="1:22" x14ac:dyDescent="0.25">
      <c r="A107">
        <v>1265441208</v>
      </c>
      <c r="B107" s="37">
        <v>0.60937088707554621</v>
      </c>
      <c r="C107" s="67">
        <v>22647</v>
      </c>
      <c r="D107" s="67">
        <v>22647</v>
      </c>
      <c r="E107" s="32">
        <v>27565</v>
      </c>
      <c r="F107" s="67">
        <v>80</v>
      </c>
      <c r="G107" s="63">
        <v>22.809999999999945</v>
      </c>
      <c r="H107" s="67">
        <v>30000</v>
      </c>
      <c r="I107" s="63">
        <v>312.38749999999999</v>
      </c>
      <c r="J107" s="132">
        <v>26.74</v>
      </c>
      <c r="K107" s="134">
        <v>1.0805</v>
      </c>
      <c r="M107" s="170"/>
      <c r="R107" s="32"/>
      <c r="T107" s="63"/>
      <c r="U107" s="132"/>
      <c r="V107" s="134"/>
    </row>
    <row r="108" spans="1:22" x14ac:dyDescent="0.25">
      <c r="A108">
        <v>1265556294</v>
      </c>
      <c r="B108" s="37">
        <v>0.63348321656383977</v>
      </c>
      <c r="C108" s="67">
        <v>27246</v>
      </c>
      <c r="D108" s="67">
        <v>27246</v>
      </c>
      <c r="E108" s="32">
        <v>28753</v>
      </c>
      <c r="F108" s="67">
        <v>80</v>
      </c>
      <c r="G108" s="63">
        <v>28.920000000000073</v>
      </c>
      <c r="H108" s="67">
        <v>32019.040680024285</v>
      </c>
      <c r="I108" s="63">
        <v>400.23800850030358</v>
      </c>
      <c r="J108" s="132">
        <v>26.74</v>
      </c>
      <c r="K108" s="134">
        <v>1.4046000000000001</v>
      </c>
      <c r="M108" s="170"/>
      <c r="R108" s="32"/>
      <c r="T108" s="63"/>
      <c r="U108" s="132"/>
      <c r="V108" s="134"/>
    </row>
    <row r="109" spans="1:22" x14ac:dyDescent="0.25">
      <c r="A109">
        <v>1265816185</v>
      </c>
      <c r="B109" s="37">
        <v>0.66329585523251944</v>
      </c>
      <c r="C109" s="67">
        <v>28800</v>
      </c>
      <c r="D109" s="67">
        <v>28800</v>
      </c>
      <c r="E109" s="32">
        <v>27959</v>
      </c>
      <c r="F109" s="67">
        <v>126</v>
      </c>
      <c r="G109" s="63">
        <v>22.680000000000064</v>
      </c>
      <c r="H109" s="67">
        <v>47250</v>
      </c>
      <c r="I109" s="63">
        <v>335.34920634920633</v>
      </c>
      <c r="J109" s="132">
        <v>26.74</v>
      </c>
      <c r="K109" s="134">
        <v>1.3254999999999999</v>
      </c>
      <c r="M109" s="170"/>
      <c r="R109" s="32"/>
      <c r="T109" s="63"/>
      <c r="U109" s="132"/>
      <c r="V109" s="134"/>
    </row>
    <row r="110" spans="1:22" x14ac:dyDescent="0.25">
      <c r="A110">
        <v>1275508970</v>
      </c>
      <c r="B110" s="37">
        <v>0.58659891482215143</v>
      </c>
      <c r="C110" s="67">
        <v>10034</v>
      </c>
      <c r="D110" s="67">
        <v>10034</v>
      </c>
      <c r="E110" s="32">
        <v>28018</v>
      </c>
      <c r="F110" s="67">
        <v>30</v>
      </c>
      <c r="G110" s="63">
        <v>20.400000000000091</v>
      </c>
      <c r="H110" s="67">
        <v>13878.746071893922</v>
      </c>
      <c r="I110" s="63">
        <v>462.62486906313075</v>
      </c>
      <c r="J110" s="132">
        <v>26.74</v>
      </c>
      <c r="K110" s="134">
        <v>1.0082</v>
      </c>
      <c r="M110" s="170"/>
      <c r="R110" s="32"/>
      <c r="T110" s="63"/>
      <c r="U110" s="132"/>
      <c r="V110" s="134"/>
    </row>
    <row r="111" spans="1:22" x14ac:dyDescent="0.25">
      <c r="A111">
        <v>1275519506</v>
      </c>
      <c r="B111" s="37">
        <v>0.62163485070974056</v>
      </c>
      <c r="C111" s="67">
        <v>30239</v>
      </c>
      <c r="D111" s="67">
        <v>30239</v>
      </c>
      <c r="E111" s="32">
        <v>28655</v>
      </c>
      <c r="F111" s="67">
        <v>100</v>
      </c>
      <c r="G111" s="63">
        <v>30.3599999999999</v>
      </c>
      <c r="H111" s="67">
        <v>37684.210526315786</v>
      </c>
      <c r="I111" s="63">
        <v>376.84210526315786</v>
      </c>
      <c r="J111" s="132">
        <v>26.74</v>
      </c>
      <c r="K111" s="134">
        <v>1.2464999999999999</v>
      </c>
      <c r="M111" s="170"/>
      <c r="R111" s="32"/>
      <c r="T111" s="63"/>
      <c r="U111" s="132"/>
      <c r="V111" s="134"/>
    </row>
    <row r="112" spans="1:22" x14ac:dyDescent="0.25">
      <c r="A112">
        <v>1275823155</v>
      </c>
      <c r="B112" s="37">
        <v>0.61879774673971755</v>
      </c>
      <c r="C112" s="67">
        <v>38172</v>
      </c>
      <c r="D112" s="67">
        <v>38172</v>
      </c>
      <c r="E112" s="32">
        <v>27253</v>
      </c>
      <c r="F112" s="67">
        <v>120</v>
      </c>
      <c r="G112" s="63">
        <v>6</v>
      </c>
      <c r="H112" s="67">
        <v>60812.957746478874</v>
      </c>
      <c r="I112" s="63">
        <v>506.77464788732397</v>
      </c>
      <c r="J112" s="132">
        <v>26.74</v>
      </c>
      <c r="K112" s="134">
        <v>1.3551</v>
      </c>
      <c r="M112" s="170"/>
      <c r="R112" s="32"/>
      <c r="T112" s="63"/>
      <c r="U112" s="132"/>
      <c r="V112" s="134"/>
    </row>
    <row r="113" spans="1:22" x14ac:dyDescent="0.25">
      <c r="A113">
        <v>1285665539</v>
      </c>
      <c r="B113" s="37">
        <v>0.58738856628772396</v>
      </c>
      <c r="C113" s="67">
        <v>32687</v>
      </c>
      <c r="D113" s="67">
        <v>32687</v>
      </c>
      <c r="E113" s="32">
        <v>28335</v>
      </c>
      <c r="F113" s="67">
        <v>100</v>
      </c>
      <c r="G113" s="63">
        <v>19.740000000000009</v>
      </c>
      <c r="H113" s="67">
        <v>45636</v>
      </c>
      <c r="I113" s="63">
        <v>456.36</v>
      </c>
      <c r="J113" s="132">
        <v>26.74</v>
      </c>
      <c r="K113" s="134">
        <v>1.1866000000000001</v>
      </c>
      <c r="M113" s="170"/>
      <c r="R113" s="32"/>
      <c r="T113" s="63"/>
      <c r="U113" s="132"/>
      <c r="V113" s="134"/>
    </row>
    <row r="114" spans="1:22" x14ac:dyDescent="0.25">
      <c r="A114">
        <v>1285687962</v>
      </c>
      <c r="B114" s="37">
        <v>0.63807036160313446</v>
      </c>
      <c r="C114" s="67">
        <v>20920</v>
      </c>
      <c r="D114" s="67">
        <v>20920</v>
      </c>
      <c r="E114" s="32">
        <v>27295</v>
      </c>
      <c r="F114" s="67">
        <v>64</v>
      </c>
      <c r="G114" s="63">
        <v>23.150000000000091</v>
      </c>
      <c r="H114" s="67">
        <v>35147</v>
      </c>
      <c r="I114" s="63">
        <v>549.171875</v>
      </c>
      <c r="J114" s="132">
        <v>26.74</v>
      </c>
      <c r="K114" s="134">
        <v>1.1549</v>
      </c>
      <c r="M114" s="170"/>
      <c r="R114" s="32"/>
      <c r="T114" s="63"/>
      <c r="U114" s="132"/>
      <c r="V114" s="134"/>
    </row>
    <row r="115" spans="1:22" x14ac:dyDescent="0.25">
      <c r="A115">
        <v>1295101673</v>
      </c>
      <c r="B115" s="37">
        <v>0.55883637634314665</v>
      </c>
      <c r="C115" s="67">
        <v>26162</v>
      </c>
      <c r="D115" s="67">
        <v>26162</v>
      </c>
      <c r="E115" s="32">
        <v>28604</v>
      </c>
      <c r="F115" s="67">
        <v>118</v>
      </c>
      <c r="G115" s="63">
        <v>33.5</v>
      </c>
      <c r="H115" s="67">
        <v>38350</v>
      </c>
      <c r="I115" s="63">
        <v>320.05084745762713</v>
      </c>
      <c r="J115" s="132">
        <v>26.74</v>
      </c>
      <c r="K115" s="134">
        <v>1.0377000000000001</v>
      </c>
      <c r="M115" s="170"/>
      <c r="R115" s="32"/>
      <c r="T115" s="63"/>
      <c r="U115" s="132"/>
      <c r="V115" s="134"/>
    </row>
    <row r="116" spans="1:22" x14ac:dyDescent="0.25">
      <c r="A116">
        <v>1295279594</v>
      </c>
      <c r="B116" s="37">
        <v>0.6971092532237495</v>
      </c>
      <c r="C116" s="67">
        <v>34197</v>
      </c>
      <c r="D116" s="67">
        <v>34197</v>
      </c>
      <c r="E116" s="32">
        <v>28021</v>
      </c>
      <c r="F116" s="67">
        <v>107</v>
      </c>
      <c r="G116" s="63">
        <v>3.1099999999999</v>
      </c>
      <c r="H116" s="67">
        <v>53253.53564547206</v>
      </c>
      <c r="I116" s="63">
        <v>497.69659481749591</v>
      </c>
      <c r="J116" s="132">
        <v>26.74</v>
      </c>
      <c r="K116" s="134">
        <v>1.5124</v>
      </c>
      <c r="M116" s="170"/>
      <c r="R116" s="32"/>
      <c r="T116" s="63"/>
      <c r="U116" s="132"/>
      <c r="V116" s="134"/>
    </row>
    <row r="117" spans="1:22" x14ac:dyDescent="0.25">
      <c r="A117">
        <v>1295391795</v>
      </c>
      <c r="B117" s="37">
        <v>0.62772310539153842</v>
      </c>
      <c r="C117" s="67">
        <v>28145</v>
      </c>
      <c r="D117" s="67">
        <v>28145</v>
      </c>
      <c r="E117" s="32">
        <v>28739</v>
      </c>
      <c r="F117" s="67">
        <v>134</v>
      </c>
      <c r="G117" s="63">
        <v>32.309999999999945</v>
      </c>
      <c r="H117" s="67">
        <v>43550</v>
      </c>
      <c r="I117" s="63">
        <v>251.51492537313433</v>
      </c>
      <c r="J117" s="132">
        <v>26.74</v>
      </c>
      <c r="K117" s="134">
        <v>1.0557000000000001</v>
      </c>
      <c r="M117" s="170"/>
      <c r="R117" s="32"/>
      <c r="T117" s="63"/>
      <c r="U117" s="132"/>
      <c r="V117" s="134"/>
    </row>
    <row r="118" spans="1:22" x14ac:dyDescent="0.25">
      <c r="A118">
        <v>1295704849</v>
      </c>
      <c r="B118" s="37">
        <v>0.65244789142026172</v>
      </c>
      <c r="C118" s="67">
        <v>33065</v>
      </c>
      <c r="D118" s="67">
        <v>33065</v>
      </c>
      <c r="E118" s="32">
        <v>28645</v>
      </c>
      <c r="F118" s="67">
        <v>120</v>
      </c>
      <c r="G118" s="63">
        <v>33.5</v>
      </c>
      <c r="H118" s="67">
        <v>39000</v>
      </c>
      <c r="I118" s="63">
        <v>254.24166666666667</v>
      </c>
      <c r="J118" s="132">
        <v>26.74</v>
      </c>
      <c r="K118" s="134">
        <v>1.4397</v>
      </c>
      <c r="M118" s="170"/>
      <c r="R118" s="32"/>
      <c r="T118" s="63"/>
      <c r="U118" s="132"/>
      <c r="V118" s="134"/>
    </row>
    <row r="119" spans="1:22" x14ac:dyDescent="0.25">
      <c r="A119">
        <v>1295704997</v>
      </c>
      <c r="B119" s="37">
        <v>0.64898634671079847</v>
      </c>
      <c r="C119" s="67">
        <v>41765</v>
      </c>
      <c r="D119" s="67">
        <v>41765</v>
      </c>
      <c r="E119" s="32">
        <v>27455</v>
      </c>
      <c r="F119" s="67">
        <v>134</v>
      </c>
      <c r="G119" s="63">
        <v>11.339999999999918</v>
      </c>
      <c r="H119" s="67">
        <v>65763.756470807799</v>
      </c>
      <c r="I119" s="63">
        <v>490.77430202095371</v>
      </c>
      <c r="J119" s="132">
        <v>26.74</v>
      </c>
      <c r="K119" s="134">
        <v>1.2506999999999999</v>
      </c>
      <c r="M119" s="170"/>
      <c r="R119" s="32"/>
      <c r="T119" s="63"/>
      <c r="U119" s="132"/>
      <c r="V119" s="134"/>
    </row>
    <row r="120" spans="1:22" x14ac:dyDescent="0.25">
      <c r="A120">
        <v>1295723377</v>
      </c>
      <c r="B120" s="37">
        <v>0.52864157119476274</v>
      </c>
      <c r="C120" s="67">
        <v>21848</v>
      </c>
      <c r="D120" s="67">
        <v>21848</v>
      </c>
      <c r="E120" s="32">
        <v>27106</v>
      </c>
      <c r="F120" s="67">
        <v>85</v>
      </c>
      <c r="G120" s="63">
        <v>8</v>
      </c>
      <c r="H120" s="67">
        <v>36125</v>
      </c>
      <c r="I120" s="63">
        <v>0</v>
      </c>
      <c r="J120" s="132">
        <v>0</v>
      </c>
      <c r="K120" s="134">
        <v>1.3368</v>
      </c>
      <c r="M120" s="170"/>
      <c r="R120" s="32"/>
      <c r="T120" s="63"/>
      <c r="U120" s="132"/>
      <c r="V120" s="134"/>
    </row>
    <row r="121" spans="1:22" x14ac:dyDescent="0.25">
      <c r="A121">
        <v>1295733517</v>
      </c>
      <c r="B121" s="37">
        <v>0.6353097541165178</v>
      </c>
      <c r="C121" s="67">
        <v>32216</v>
      </c>
      <c r="D121" s="67">
        <v>32216</v>
      </c>
      <c r="E121" s="32">
        <v>28779</v>
      </c>
      <c r="F121" s="67">
        <v>94</v>
      </c>
      <c r="G121" s="63">
        <v>13.6400000000001</v>
      </c>
      <c r="H121" s="67">
        <v>37600</v>
      </c>
      <c r="I121" s="63">
        <v>385.62765957446811</v>
      </c>
      <c r="J121" s="132">
        <v>26.74</v>
      </c>
      <c r="K121" s="134">
        <v>1.2625</v>
      </c>
      <c r="M121" s="170"/>
      <c r="R121" s="32"/>
      <c r="T121" s="63"/>
      <c r="U121" s="132"/>
      <c r="V121" s="134"/>
    </row>
    <row r="122" spans="1:22" x14ac:dyDescent="0.25">
      <c r="A122">
        <v>1306293170</v>
      </c>
      <c r="B122" s="37">
        <v>0.60847543474590571</v>
      </c>
      <c r="C122" s="67">
        <v>40165</v>
      </c>
      <c r="D122" s="67">
        <v>40165</v>
      </c>
      <c r="E122" s="32">
        <v>27889</v>
      </c>
      <c r="F122" s="67">
        <v>128</v>
      </c>
      <c r="G122" s="63">
        <v>33.5</v>
      </c>
      <c r="H122" s="67">
        <v>41600</v>
      </c>
      <c r="I122" s="63">
        <v>0</v>
      </c>
      <c r="J122" s="132">
        <v>26.74</v>
      </c>
      <c r="K122" s="134">
        <v>1.2915000000000001</v>
      </c>
      <c r="M122" s="170"/>
      <c r="R122" s="32"/>
      <c r="T122" s="63"/>
      <c r="U122" s="132"/>
      <c r="V122" s="134"/>
    </row>
    <row r="123" spans="1:22" x14ac:dyDescent="0.25">
      <c r="A123">
        <v>1306372230</v>
      </c>
      <c r="B123" s="37">
        <v>0.65</v>
      </c>
      <c r="C123" s="67">
        <v>43097</v>
      </c>
      <c r="D123" s="67">
        <v>43097</v>
      </c>
      <c r="E123" s="32">
        <v>27407</v>
      </c>
      <c r="F123" s="67">
        <v>135</v>
      </c>
      <c r="G123" s="63">
        <v>13</v>
      </c>
      <c r="H123" s="67">
        <v>66888</v>
      </c>
      <c r="I123" s="63">
        <v>495.46666666666664</v>
      </c>
      <c r="J123" s="132">
        <v>8.6399999999999988</v>
      </c>
      <c r="K123" s="134">
        <v>1.3245</v>
      </c>
      <c r="M123" s="170"/>
      <c r="R123" s="32"/>
      <c r="T123" s="63"/>
      <c r="U123" s="132"/>
      <c r="V123" s="134"/>
    </row>
    <row r="124" spans="1:22" x14ac:dyDescent="0.25">
      <c r="A124">
        <v>1316351034</v>
      </c>
      <c r="B124" s="37">
        <v>0.50373387644263412</v>
      </c>
      <c r="C124" s="67">
        <v>27147</v>
      </c>
      <c r="D124" s="67">
        <v>27147</v>
      </c>
      <c r="E124" s="32">
        <v>27514</v>
      </c>
      <c r="F124" s="67">
        <v>108</v>
      </c>
      <c r="G124" s="63">
        <v>7.1099999999999</v>
      </c>
      <c r="H124" s="67">
        <v>45900</v>
      </c>
      <c r="I124" s="63">
        <v>370.7962962962963</v>
      </c>
      <c r="J124" s="132">
        <v>26.74</v>
      </c>
      <c r="K124" s="134">
        <v>1.1236999999999999</v>
      </c>
      <c r="M124" s="170"/>
      <c r="R124" s="32"/>
      <c r="T124" s="63"/>
      <c r="U124" s="132"/>
      <c r="V124" s="134"/>
    </row>
    <row r="125" spans="1:22" x14ac:dyDescent="0.25">
      <c r="A125">
        <v>1316512346</v>
      </c>
      <c r="B125" s="37">
        <v>0.62581145921535419</v>
      </c>
      <c r="C125" s="67">
        <v>26760</v>
      </c>
      <c r="D125" s="67">
        <v>26760</v>
      </c>
      <c r="E125" s="32">
        <v>28054</v>
      </c>
      <c r="F125" s="67">
        <v>80</v>
      </c>
      <c r="G125" s="63">
        <v>9.4700000000000273</v>
      </c>
      <c r="H125" s="67">
        <v>36368</v>
      </c>
      <c r="I125" s="63">
        <v>454.6</v>
      </c>
      <c r="J125" s="132">
        <v>26.74</v>
      </c>
      <c r="K125" s="134">
        <v>1.2178</v>
      </c>
      <c r="M125" s="170"/>
      <c r="R125" s="32"/>
      <c r="T125" s="63"/>
      <c r="U125" s="132"/>
      <c r="V125" s="134"/>
    </row>
    <row r="126" spans="1:22" x14ac:dyDescent="0.25">
      <c r="A126">
        <v>1316921190</v>
      </c>
      <c r="B126" s="37">
        <v>0.59329857252756635</v>
      </c>
      <c r="C126" s="67">
        <v>45026</v>
      </c>
      <c r="D126" s="67">
        <v>45026</v>
      </c>
      <c r="E126" s="32">
        <v>28352</v>
      </c>
      <c r="F126" s="67">
        <v>149</v>
      </c>
      <c r="G126" s="63">
        <v>8.6600000000000819</v>
      </c>
      <c r="H126" s="67">
        <v>80005</v>
      </c>
      <c r="I126" s="63">
        <v>536.94630872483219</v>
      </c>
      <c r="J126" s="132">
        <v>8.6399999999999988</v>
      </c>
      <c r="K126" s="134">
        <v>1.4490000000000001</v>
      </c>
      <c r="M126" s="170"/>
      <c r="R126" s="32"/>
      <c r="T126" s="63"/>
      <c r="U126" s="132"/>
      <c r="V126" s="134"/>
    </row>
    <row r="127" spans="1:22" x14ac:dyDescent="0.25">
      <c r="A127">
        <v>1326074048</v>
      </c>
      <c r="B127" s="37">
        <v>0.61675591882750835</v>
      </c>
      <c r="C127" s="67">
        <v>43781</v>
      </c>
      <c r="D127" s="67">
        <v>43781</v>
      </c>
      <c r="E127" s="32">
        <v>27406</v>
      </c>
      <c r="F127" s="67">
        <v>210</v>
      </c>
      <c r="G127" s="63">
        <v>18.950000000000045</v>
      </c>
      <c r="H127" s="67">
        <v>84000</v>
      </c>
      <c r="I127" s="63">
        <v>309.31812374138036</v>
      </c>
      <c r="J127" s="132">
        <v>8.6399999999999988</v>
      </c>
      <c r="K127" s="134">
        <v>1.2534000000000001</v>
      </c>
      <c r="M127" s="170"/>
      <c r="R127" s="32"/>
      <c r="T127" s="63"/>
      <c r="U127" s="132"/>
      <c r="V127" s="134"/>
    </row>
    <row r="128" spans="1:22" x14ac:dyDescent="0.25">
      <c r="A128">
        <v>1326089616</v>
      </c>
      <c r="B128" s="37">
        <v>0.72347266881028938</v>
      </c>
      <c r="C128" s="67">
        <v>28121</v>
      </c>
      <c r="D128" s="67">
        <v>28121</v>
      </c>
      <c r="E128" s="32">
        <v>27215</v>
      </c>
      <c r="F128" s="67">
        <v>90</v>
      </c>
      <c r="G128" s="63">
        <v>10.990000000000009</v>
      </c>
      <c r="H128" s="67">
        <v>36000</v>
      </c>
      <c r="I128" s="63">
        <v>340.59836065573768</v>
      </c>
      <c r="J128" s="132">
        <v>26.74</v>
      </c>
      <c r="K128" s="134">
        <v>1.0880000000000001</v>
      </c>
      <c r="M128" s="170"/>
      <c r="R128" s="32"/>
      <c r="T128" s="63"/>
      <c r="U128" s="132"/>
      <c r="V128" s="134"/>
    </row>
    <row r="129" spans="1:22" x14ac:dyDescent="0.25">
      <c r="A129">
        <v>1326143504</v>
      </c>
      <c r="B129" s="37">
        <v>0.62720763723150352</v>
      </c>
      <c r="C129" s="67">
        <v>30371</v>
      </c>
      <c r="D129" s="67">
        <v>30371</v>
      </c>
      <c r="E129" s="32">
        <v>27401</v>
      </c>
      <c r="F129" s="67">
        <v>107</v>
      </c>
      <c r="G129" s="63">
        <v>29.269999999999982</v>
      </c>
      <c r="H129" s="67">
        <v>40869.231125857914</v>
      </c>
      <c r="I129" s="63">
        <v>381.95543108278423</v>
      </c>
      <c r="J129" s="132">
        <v>26.74</v>
      </c>
      <c r="K129" s="134">
        <v>1.1775</v>
      </c>
      <c r="M129" s="170"/>
      <c r="R129" s="32"/>
      <c r="T129" s="63"/>
      <c r="U129" s="132"/>
      <c r="V129" s="134"/>
    </row>
    <row r="130" spans="1:22" x14ac:dyDescent="0.25">
      <c r="A130">
        <v>1326169285</v>
      </c>
      <c r="B130" s="37">
        <v>0.69539093398235463</v>
      </c>
      <c r="C130" s="67">
        <v>30249</v>
      </c>
      <c r="D130" s="67">
        <v>30249</v>
      </c>
      <c r="E130" s="32">
        <v>28791</v>
      </c>
      <c r="F130" s="67">
        <v>120</v>
      </c>
      <c r="G130" s="63">
        <v>24.75</v>
      </c>
      <c r="H130" s="67">
        <v>45000</v>
      </c>
      <c r="I130" s="63">
        <v>326.85000000000002</v>
      </c>
      <c r="J130" s="132">
        <v>26.74</v>
      </c>
      <c r="K130" s="134">
        <v>1.1860999999999999</v>
      </c>
      <c r="M130" s="170"/>
      <c r="R130" s="32"/>
      <c r="T130" s="63"/>
      <c r="U130" s="132"/>
      <c r="V130" s="134"/>
    </row>
    <row r="131" spans="1:22" x14ac:dyDescent="0.25">
      <c r="A131">
        <v>1326519844</v>
      </c>
      <c r="B131" s="37">
        <v>0.65</v>
      </c>
      <c r="C131" s="67">
        <v>31733</v>
      </c>
      <c r="D131" s="67">
        <v>31733</v>
      </c>
      <c r="E131" s="32">
        <v>28401</v>
      </c>
      <c r="F131" s="67">
        <v>110</v>
      </c>
      <c r="G131" s="63">
        <v>14.069999999999936</v>
      </c>
      <c r="H131" s="67">
        <v>60860</v>
      </c>
      <c r="I131" s="63">
        <v>553.27272727272725</v>
      </c>
      <c r="J131" s="132">
        <v>26.74</v>
      </c>
      <c r="K131" s="134">
        <v>1.3206</v>
      </c>
      <c r="M131" s="170"/>
      <c r="R131" s="32"/>
      <c r="T131" s="63"/>
      <c r="U131" s="132"/>
      <c r="V131" s="134"/>
    </row>
    <row r="132" spans="1:22" x14ac:dyDescent="0.25">
      <c r="A132">
        <v>1336118298</v>
      </c>
      <c r="B132" s="37">
        <v>0.64195675765923699</v>
      </c>
      <c r="C132" s="67">
        <v>32795</v>
      </c>
      <c r="D132" s="67">
        <v>32795</v>
      </c>
      <c r="E132" s="32">
        <v>27030</v>
      </c>
      <c r="F132" s="67">
        <v>120</v>
      </c>
      <c r="G132" s="63">
        <v>26.869999999999891</v>
      </c>
      <c r="H132" s="67">
        <v>42000</v>
      </c>
      <c r="I132" s="63">
        <v>327.97500000000002</v>
      </c>
      <c r="J132" s="132">
        <v>26.74</v>
      </c>
      <c r="K132" s="134">
        <v>1.4487000000000001</v>
      </c>
      <c r="M132" s="170"/>
      <c r="R132" s="32"/>
      <c r="T132" s="63"/>
      <c r="U132" s="132"/>
      <c r="V132" s="134"/>
    </row>
    <row r="133" spans="1:22" x14ac:dyDescent="0.25">
      <c r="A133">
        <v>1336142470</v>
      </c>
      <c r="B133" s="37">
        <v>0.60081079369101154</v>
      </c>
      <c r="C133" s="67">
        <v>39120</v>
      </c>
      <c r="D133" s="67">
        <v>39120</v>
      </c>
      <c r="E133" s="32">
        <v>27705</v>
      </c>
      <c r="F133" s="67">
        <v>120</v>
      </c>
      <c r="G133" s="63">
        <v>21.960000000000036</v>
      </c>
      <c r="H133" s="67">
        <v>67647.803936588723</v>
      </c>
      <c r="I133" s="63">
        <v>563.73169947157271</v>
      </c>
      <c r="J133" s="132">
        <v>26.74</v>
      </c>
      <c r="K133" s="134">
        <v>0.9446</v>
      </c>
      <c r="M133" s="170"/>
      <c r="R133" s="32"/>
      <c r="T133" s="63"/>
      <c r="U133" s="132"/>
      <c r="V133" s="134"/>
    </row>
    <row r="134" spans="1:22" x14ac:dyDescent="0.25">
      <c r="A134">
        <v>1336193754</v>
      </c>
      <c r="B134" s="37">
        <v>0.67215264572814903</v>
      </c>
      <c r="C134" s="67">
        <v>46813</v>
      </c>
      <c r="D134" s="67">
        <v>46813</v>
      </c>
      <c r="E134" s="32">
        <v>28105</v>
      </c>
      <c r="F134" s="67">
        <v>169</v>
      </c>
      <c r="G134" s="63">
        <v>7.2799999999999727</v>
      </c>
      <c r="H134" s="67">
        <v>98608.842767295588</v>
      </c>
      <c r="I134" s="63">
        <v>583.48427672955972</v>
      </c>
      <c r="J134" s="132">
        <v>8.6399999999999988</v>
      </c>
      <c r="K134" s="134">
        <v>1.2655000000000001</v>
      </c>
      <c r="M134" s="170"/>
      <c r="R134" s="32"/>
      <c r="T134" s="63"/>
      <c r="U134" s="132"/>
      <c r="V134" s="134"/>
    </row>
    <row r="135" spans="1:22" x14ac:dyDescent="0.25">
      <c r="A135">
        <v>1336196526</v>
      </c>
      <c r="B135" s="37">
        <v>0.60695915279878965</v>
      </c>
      <c r="C135" s="67">
        <v>19468</v>
      </c>
      <c r="D135" s="67">
        <v>19468</v>
      </c>
      <c r="E135" s="32">
        <v>28092</v>
      </c>
      <c r="F135" s="67">
        <v>63</v>
      </c>
      <c r="G135" s="63">
        <v>23.180000000000064</v>
      </c>
      <c r="H135" s="67">
        <v>25530</v>
      </c>
      <c r="I135" s="63">
        <v>405.23809523809524</v>
      </c>
      <c r="J135" s="132">
        <v>26.74</v>
      </c>
      <c r="K135" s="134">
        <v>1.2196</v>
      </c>
      <c r="M135" s="170"/>
      <c r="R135" s="32"/>
      <c r="T135" s="63"/>
      <c r="U135" s="132"/>
      <c r="V135" s="134"/>
    </row>
    <row r="136" spans="1:22" x14ac:dyDescent="0.25">
      <c r="A136">
        <v>1336565779</v>
      </c>
      <c r="B136" s="37">
        <v>0.6326396314880316</v>
      </c>
      <c r="C136" s="67">
        <v>37218</v>
      </c>
      <c r="D136" s="67">
        <v>37218</v>
      </c>
      <c r="E136" s="32">
        <v>28112</v>
      </c>
      <c r="F136" s="67">
        <v>147</v>
      </c>
      <c r="G136" s="63">
        <v>22.470000000000027</v>
      </c>
      <c r="H136" s="67">
        <v>55125</v>
      </c>
      <c r="I136" s="63">
        <v>361.63265306122452</v>
      </c>
      <c r="J136" s="132">
        <v>26.74</v>
      </c>
      <c r="K136" s="134">
        <v>1.1225000000000001</v>
      </c>
      <c r="M136" s="170"/>
      <c r="R136" s="32"/>
      <c r="T136" s="63"/>
      <c r="U136" s="132"/>
      <c r="V136" s="134"/>
    </row>
    <row r="137" spans="1:22" x14ac:dyDescent="0.25">
      <c r="A137">
        <v>1336602358</v>
      </c>
      <c r="B137" s="37">
        <v>0.66980153516354324</v>
      </c>
      <c r="C137" s="67">
        <v>29086</v>
      </c>
      <c r="D137" s="67">
        <v>29086</v>
      </c>
      <c r="E137" s="32">
        <v>28207</v>
      </c>
      <c r="F137" s="67">
        <v>133</v>
      </c>
      <c r="G137" s="63">
        <v>13.650000000000091</v>
      </c>
      <c r="H137" s="67">
        <v>53200</v>
      </c>
      <c r="I137" s="63">
        <v>338.48120300751879</v>
      </c>
      <c r="J137" s="132">
        <v>26.74</v>
      </c>
      <c r="K137" s="134">
        <v>1.1244000000000001</v>
      </c>
      <c r="M137" s="170"/>
      <c r="R137" s="32"/>
      <c r="T137" s="63"/>
      <c r="U137" s="132"/>
      <c r="V137" s="134"/>
    </row>
    <row r="138" spans="1:22" x14ac:dyDescent="0.25">
      <c r="A138">
        <v>1336612530</v>
      </c>
      <c r="B138" s="37">
        <v>0.58847549909255903</v>
      </c>
      <c r="C138" s="67">
        <v>24301</v>
      </c>
      <c r="D138" s="67">
        <v>24301</v>
      </c>
      <c r="E138" s="32">
        <v>27278</v>
      </c>
      <c r="F138" s="67">
        <v>80</v>
      </c>
      <c r="G138" s="63">
        <v>9.2000000000000455</v>
      </c>
      <c r="H138" s="67">
        <v>46711.386554621851</v>
      </c>
      <c r="I138" s="63">
        <v>583.89233193277312</v>
      </c>
      <c r="J138" s="132">
        <v>26.74</v>
      </c>
      <c r="K138" s="134">
        <v>1.3012999999999999</v>
      </c>
      <c r="M138" s="170"/>
      <c r="R138" s="32"/>
      <c r="T138" s="63"/>
      <c r="U138" s="132"/>
      <c r="V138" s="134"/>
    </row>
    <row r="139" spans="1:22" x14ac:dyDescent="0.25">
      <c r="A139">
        <v>1346226040</v>
      </c>
      <c r="B139" s="37">
        <v>0.6517898294668919</v>
      </c>
      <c r="C139" s="67">
        <v>30351</v>
      </c>
      <c r="D139" s="67">
        <v>30351</v>
      </c>
      <c r="E139" s="32">
        <v>28459</v>
      </c>
      <c r="F139" s="67">
        <v>100</v>
      </c>
      <c r="G139" s="63">
        <v>27.930000000000064</v>
      </c>
      <c r="H139" s="67">
        <v>42059.752066115703</v>
      </c>
      <c r="I139" s="63">
        <v>420.59752066115703</v>
      </c>
      <c r="J139" s="132">
        <v>26.74</v>
      </c>
      <c r="K139" s="134">
        <v>1.218</v>
      </c>
      <c r="M139" s="170"/>
      <c r="R139" s="32"/>
      <c r="T139" s="63"/>
      <c r="U139" s="132"/>
      <c r="V139" s="134"/>
    </row>
    <row r="140" spans="1:22" x14ac:dyDescent="0.25">
      <c r="A140">
        <v>1346241627</v>
      </c>
      <c r="B140" s="37">
        <v>0.73720056364490372</v>
      </c>
      <c r="C140" s="67">
        <v>18876</v>
      </c>
      <c r="D140" s="67">
        <v>18876</v>
      </c>
      <c r="E140" s="32">
        <v>28352</v>
      </c>
      <c r="F140" s="67">
        <v>58</v>
      </c>
      <c r="G140" s="63">
        <v>5</v>
      </c>
      <c r="H140" s="67">
        <v>24650</v>
      </c>
      <c r="I140" s="63">
        <v>0</v>
      </c>
      <c r="J140" s="132">
        <v>0</v>
      </c>
      <c r="K140" s="134">
        <v>1.1093</v>
      </c>
      <c r="M140" s="170"/>
      <c r="R140" s="32"/>
      <c r="T140" s="63"/>
      <c r="U140" s="132"/>
      <c r="V140" s="134"/>
    </row>
    <row r="141" spans="1:22" x14ac:dyDescent="0.25">
      <c r="A141">
        <v>1346360328</v>
      </c>
      <c r="B141" s="37">
        <v>0.67990074441687343</v>
      </c>
      <c r="C141" s="67">
        <v>49365</v>
      </c>
      <c r="D141" s="67">
        <v>49365</v>
      </c>
      <c r="E141" s="32">
        <v>28054</v>
      </c>
      <c r="F141" s="67">
        <v>162</v>
      </c>
      <c r="G141" s="63">
        <v>24.670000000000073</v>
      </c>
      <c r="H141" s="67">
        <v>60750</v>
      </c>
      <c r="I141" s="63">
        <v>294.79012345679013</v>
      </c>
      <c r="J141" s="132">
        <v>8.6399999999999988</v>
      </c>
      <c r="K141" s="134">
        <v>1.2097</v>
      </c>
      <c r="M141" s="170"/>
      <c r="R141" s="32"/>
      <c r="T141" s="63"/>
      <c r="U141" s="132"/>
      <c r="V141" s="134"/>
    </row>
    <row r="142" spans="1:22" x14ac:dyDescent="0.25">
      <c r="A142">
        <v>1346806015</v>
      </c>
      <c r="B142" s="37">
        <v>0.58320387462304668</v>
      </c>
      <c r="C142" s="67">
        <v>19782</v>
      </c>
      <c r="D142" s="67">
        <v>19782</v>
      </c>
      <c r="E142" s="32">
        <v>27357</v>
      </c>
      <c r="F142" s="67">
        <v>60</v>
      </c>
      <c r="G142" s="63">
        <v>10.549999999999955</v>
      </c>
      <c r="H142" s="67">
        <v>36992.657505653158</v>
      </c>
      <c r="I142" s="63">
        <v>616.54429176088593</v>
      </c>
      <c r="J142" s="132">
        <v>26.74</v>
      </c>
      <c r="K142" s="134">
        <v>1.1547000000000001</v>
      </c>
      <c r="M142" s="170"/>
      <c r="R142" s="32"/>
      <c r="T142" s="63"/>
      <c r="U142" s="132"/>
      <c r="V142" s="134"/>
    </row>
    <row r="143" spans="1:22" x14ac:dyDescent="0.25">
      <c r="A143">
        <v>1346851052</v>
      </c>
      <c r="B143" s="37">
        <v>0.64148207813129277</v>
      </c>
      <c r="C143" s="67">
        <v>6824</v>
      </c>
      <c r="D143" s="67">
        <v>27147.652173913044</v>
      </c>
      <c r="E143" s="32">
        <v>28335</v>
      </c>
      <c r="F143" s="67">
        <v>100</v>
      </c>
      <c r="G143" s="63">
        <v>24.6400000000001</v>
      </c>
      <c r="H143" s="67">
        <v>37670.231480628012</v>
      </c>
      <c r="I143" s="63">
        <v>376.70231480628013</v>
      </c>
      <c r="J143" s="132">
        <v>26.74</v>
      </c>
      <c r="K143" s="134">
        <v>1.2321</v>
      </c>
      <c r="M143" s="170"/>
      <c r="R143" s="32"/>
      <c r="T143" s="63"/>
      <c r="U143" s="132"/>
      <c r="V143" s="134"/>
    </row>
    <row r="144" spans="1:22" x14ac:dyDescent="0.25">
      <c r="A144">
        <v>1356346191</v>
      </c>
      <c r="B144" s="37">
        <v>0.71884740597076957</v>
      </c>
      <c r="C144" s="67">
        <v>56513</v>
      </c>
      <c r="D144" s="67">
        <v>56513</v>
      </c>
      <c r="E144" s="32">
        <v>28411</v>
      </c>
      <c r="F144" s="67">
        <v>179</v>
      </c>
      <c r="G144" s="63">
        <v>1.8699999999998909</v>
      </c>
      <c r="H144" s="67">
        <v>76075</v>
      </c>
      <c r="I144" s="63">
        <v>0</v>
      </c>
      <c r="J144" s="132">
        <v>8.6399999999999988</v>
      </c>
      <c r="K144" s="134">
        <v>0.89249999999999996</v>
      </c>
      <c r="M144" s="170"/>
      <c r="R144" s="32"/>
      <c r="T144" s="63"/>
      <c r="U144" s="132"/>
      <c r="V144" s="134"/>
    </row>
    <row r="145" spans="1:22" x14ac:dyDescent="0.25">
      <c r="A145">
        <v>1356372650</v>
      </c>
      <c r="B145" s="37">
        <v>0.56010953096016258</v>
      </c>
      <c r="C145" s="67">
        <v>25977</v>
      </c>
      <c r="D145" s="67">
        <v>25977</v>
      </c>
      <c r="E145" s="32">
        <v>28513</v>
      </c>
      <c r="F145" s="67">
        <v>82</v>
      </c>
      <c r="G145" s="63">
        <v>16.619999999999891</v>
      </c>
      <c r="H145" s="67">
        <v>38291</v>
      </c>
      <c r="I145" s="63">
        <v>466.96341463414632</v>
      </c>
      <c r="J145" s="132">
        <v>26.74</v>
      </c>
      <c r="K145" s="134">
        <v>1.3129</v>
      </c>
      <c r="M145" s="170"/>
      <c r="R145" s="32"/>
      <c r="T145" s="63"/>
      <c r="U145" s="132"/>
      <c r="V145" s="134"/>
    </row>
    <row r="146" spans="1:22" x14ac:dyDescent="0.25">
      <c r="A146">
        <v>1356387153</v>
      </c>
      <c r="B146" s="37">
        <v>0.63345081704581852</v>
      </c>
      <c r="C146" s="67">
        <v>34982</v>
      </c>
      <c r="D146" s="67">
        <v>34982</v>
      </c>
      <c r="E146" s="32">
        <v>27604</v>
      </c>
      <c r="F146" s="67">
        <v>180</v>
      </c>
      <c r="G146" s="63">
        <v>23.490000000000009</v>
      </c>
      <c r="H146" s="67">
        <v>67500</v>
      </c>
      <c r="I146" s="63">
        <v>345.22580645161293</v>
      </c>
      <c r="J146" s="132">
        <v>26.74</v>
      </c>
      <c r="K146" s="134">
        <v>1.2529999999999999</v>
      </c>
      <c r="M146" s="170"/>
      <c r="R146" s="32"/>
      <c r="T146" s="63"/>
      <c r="U146" s="132"/>
      <c r="V146" s="134"/>
    </row>
    <row r="147" spans="1:22" x14ac:dyDescent="0.25">
      <c r="A147">
        <v>1356476311</v>
      </c>
      <c r="B147" s="37">
        <v>0.63715652979314596</v>
      </c>
      <c r="C147" s="67">
        <v>20701</v>
      </c>
      <c r="D147" s="67">
        <v>20701</v>
      </c>
      <c r="E147" s="32">
        <v>28782</v>
      </c>
      <c r="F147" s="67">
        <v>70</v>
      </c>
      <c r="G147" s="63">
        <v>1</v>
      </c>
      <c r="H147" s="67">
        <v>30189.811260396673</v>
      </c>
      <c r="I147" s="63">
        <v>431.28301800566675</v>
      </c>
      <c r="J147" s="132">
        <v>0</v>
      </c>
      <c r="K147" s="134">
        <v>1.1223000000000001</v>
      </c>
      <c r="M147" s="170"/>
      <c r="R147" s="32"/>
      <c r="T147" s="63"/>
      <c r="U147" s="132"/>
      <c r="V147" s="134"/>
    </row>
    <row r="148" spans="1:22" x14ac:dyDescent="0.25">
      <c r="A148">
        <v>1366487464</v>
      </c>
      <c r="B148" s="37">
        <v>0.6535192111526692</v>
      </c>
      <c r="C148" s="67">
        <v>21728</v>
      </c>
      <c r="D148" s="67">
        <v>21728</v>
      </c>
      <c r="E148" s="32">
        <v>28771</v>
      </c>
      <c r="F148" s="67">
        <v>80</v>
      </c>
      <c r="G148" s="63">
        <v>26.730000000000018</v>
      </c>
      <c r="H148" s="67">
        <v>28000</v>
      </c>
      <c r="I148" s="63">
        <v>348.57485185470216</v>
      </c>
      <c r="J148" s="132">
        <v>26.74</v>
      </c>
      <c r="K148" s="134">
        <v>1.2876000000000001</v>
      </c>
      <c r="M148" s="170"/>
      <c r="R148" s="32"/>
      <c r="T148" s="63"/>
      <c r="U148" s="132"/>
      <c r="V148" s="134"/>
    </row>
    <row r="149" spans="1:22" x14ac:dyDescent="0.25">
      <c r="A149">
        <v>1366529406</v>
      </c>
      <c r="B149" s="37">
        <v>0.62899502385471706</v>
      </c>
      <c r="C149" s="67">
        <v>37546</v>
      </c>
      <c r="D149" s="67">
        <v>37546</v>
      </c>
      <c r="E149" s="32">
        <v>27608</v>
      </c>
      <c r="F149" s="67">
        <v>71</v>
      </c>
      <c r="G149" s="63">
        <v>30.779999999999973</v>
      </c>
      <c r="H149" s="67">
        <v>49014.517985611506</v>
      </c>
      <c r="I149" s="63">
        <v>690.34532374100718</v>
      </c>
      <c r="J149" s="132">
        <v>0</v>
      </c>
      <c r="K149" s="134">
        <v>1.1938</v>
      </c>
      <c r="M149" s="170"/>
      <c r="R149" s="32"/>
      <c r="T149" s="63"/>
      <c r="U149" s="132"/>
      <c r="V149" s="134"/>
    </row>
    <row r="150" spans="1:22" x14ac:dyDescent="0.25">
      <c r="A150">
        <v>1366552739</v>
      </c>
      <c r="B150" s="37">
        <v>0.65</v>
      </c>
      <c r="C150" s="67">
        <v>35609</v>
      </c>
      <c r="D150" s="67">
        <v>35609</v>
      </c>
      <c r="E150" s="32">
        <v>27282</v>
      </c>
      <c r="F150" s="67">
        <v>120</v>
      </c>
      <c r="G150" s="63">
        <v>20.559999999999945</v>
      </c>
      <c r="H150" s="67">
        <v>45000</v>
      </c>
      <c r="I150" s="63">
        <v>361.45833333333331</v>
      </c>
      <c r="J150" s="132">
        <v>26.74</v>
      </c>
      <c r="K150" s="134">
        <v>1.3230999999999999</v>
      </c>
      <c r="M150" s="170"/>
      <c r="R150" s="32"/>
      <c r="T150" s="63"/>
      <c r="U150" s="132"/>
      <c r="V150" s="134"/>
    </row>
    <row r="151" spans="1:22" x14ac:dyDescent="0.25">
      <c r="A151">
        <v>1366577355</v>
      </c>
      <c r="B151" s="37">
        <v>0.70072232706448878</v>
      </c>
      <c r="C151" s="67">
        <v>52756</v>
      </c>
      <c r="D151" s="67">
        <v>52756</v>
      </c>
      <c r="E151" s="32">
        <v>28211</v>
      </c>
      <c r="F151" s="67">
        <v>180</v>
      </c>
      <c r="G151" s="63">
        <v>16.690000000000055</v>
      </c>
      <c r="H151" s="67">
        <v>72000</v>
      </c>
      <c r="I151" s="63">
        <v>297</v>
      </c>
      <c r="J151" s="132">
        <v>0</v>
      </c>
      <c r="K151" s="134">
        <v>1.0197000000000001</v>
      </c>
      <c r="M151" s="170"/>
      <c r="R151" s="32"/>
      <c r="T151" s="63"/>
      <c r="U151" s="132"/>
      <c r="V151" s="134"/>
    </row>
    <row r="152" spans="1:22" x14ac:dyDescent="0.25">
      <c r="A152">
        <v>1376542878</v>
      </c>
      <c r="B152" s="37">
        <v>0.80819125277983705</v>
      </c>
      <c r="C152" s="67">
        <v>39881</v>
      </c>
      <c r="D152" s="67">
        <v>39881</v>
      </c>
      <c r="E152" s="32">
        <v>27607</v>
      </c>
      <c r="F152" s="67">
        <v>120</v>
      </c>
      <c r="G152" s="63">
        <v>9.2400000000000091</v>
      </c>
      <c r="H152" s="67">
        <v>51000</v>
      </c>
      <c r="I152" s="63">
        <v>0</v>
      </c>
      <c r="J152" s="132">
        <v>26.74</v>
      </c>
      <c r="K152" s="134">
        <v>0.97160000000000002</v>
      </c>
      <c r="M152" s="170"/>
      <c r="R152" s="32"/>
      <c r="T152" s="63"/>
      <c r="U152" s="132"/>
      <c r="V152" s="134"/>
    </row>
    <row r="153" spans="1:22" x14ac:dyDescent="0.25">
      <c r="A153">
        <v>1376570275</v>
      </c>
      <c r="B153" s="37">
        <v>0.61449150720275203</v>
      </c>
      <c r="C153" s="67">
        <v>47602</v>
      </c>
      <c r="D153" s="67">
        <v>47602</v>
      </c>
      <c r="E153" s="32">
        <v>27549</v>
      </c>
      <c r="F153" s="67">
        <v>166</v>
      </c>
      <c r="G153" s="63">
        <v>25.539999999999964</v>
      </c>
      <c r="H153" s="67">
        <v>58100</v>
      </c>
      <c r="I153" s="63">
        <v>312.03036478257241</v>
      </c>
      <c r="J153" s="132">
        <v>8.6399999999999988</v>
      </c>
      <c r="K153" s="134">
        <v>1.1768000000000001</v>
      </c>
      <c r="M153" s="170"/>
      <c r="R153" s="32"/>
      <c r="T153" s="63"/>
      <c r="U153" s="132"/>
      <c r="V153" s="134"/>
    </row>
    <row r="154" spans="1:22" x14ac:dyDescent="0.25">
      <c r="A154">
        <v>1376926519</v>
      </c>
      <c r="B154" s="37">
        <v>0.67281061980708623</v>
      </c>
      <c r="C154" s="67">
        <v>42195</v>
      </c>
      <c r="D154" s="67">
        <v>42195</v>
      </c>
      <c r="E154" s="32">
        <v>28630</v>
      </c>
      <c r="F154" s="67">
        <v>120</v>
      </c>
      <c r="G154" s="63">
        <v>15.6099999999999</v>
      </c>
      <c r="H154" s="67">
        <v>49800</v>
      </c>
      <c r="I154" s="63">
        <v>415</v>
      </c>
      <c r="J154" s="132">
        <v>8.6399999999999988</v>
      </c>
      <c r="K154" s="134">
        <v>1.4007000000000001</v>
      </c>
      <c r="M154" s="170"/>
      <c r="R154" s="32"/>
      <c r="T154" s="63"/>
      <c r="U154" s="132"/>
      <c r="V154" s="134"/>
    </row>
    <row r="155" spans="1:22" x14ac:dyDescent="0.25">
      <c r="A155">
        <v>1376932889</v>
      </c>
      <c r="B155" s="37">
        <v>0.65</v>
      </c>
      <c r="C155" s="67">
        <v>27770</v>
      </c>
      <c r="D155" s="67">
        <v>27770</v>
      </c>
      <c r="E155" s="32">
        <v>28031</v>
      </c>
      <c r="F155" s="67">
        <v>102</v>
      </c>
      <c r="G155" s="63">
        <v>5.3599999999999</v>
      </c>
      <c r="H155" s="67">
        <v>71400</v>
      </c>
      <c r="I155" s="63">
        <v>700.98039215686276</v>
      </c>
      <c r="J155" s="132">
        <v>26.74</v>
      </c>
      <c r="K155" s="134">
        <v>1.1414</v>
      </c>
      <c r="M155" s="170"/>
      <c r="R155" s="32"/>
      <c r="T155" s="63"/>
      <c r="U155" s="132"/>
      <c r="V155" s="134"/>
    </row>
    <row r="156" spans="1:22" x14ac:dyDescent="0.25">
      <c r="A156">
        <v>1386187813</v>
      </c>
      <c r="B156" s="37">
        <v>0.62684290798169806</v>
      </c>
      <c r="C156" s="67">
        <v>30884</v>
      </c>
      <c r="D156" s="67">
        <v>30884</v>
      </c>
      <c r="E156" s="32">
        <v>27712</v>
      </c>
      <c r="F156" s="67">
        <v>132</v>
      </c>
      <c r="G156" s="63">
        <v>27.400000000000091</v>
      </c>
      <c r="H156" s="67">
        <v>50962</v>
      </c>
      <c r="I156" s="63">
        <v>386.07575757575756</v>
      </c>
      <c r="J156" s="132">
        <v>26.74</v>
      </c>
      <c r="K156" s="134">
        <v>1.0482</v>
      </c>
      <c r="M156" s="170"/>
      <c r="R156" s="32"/>
      <c r="T156" s="63"/>
      <c r="U156" s="132"/>
      <c r="V156" s="134"/>
    </row>
    <row r="157" spans="1:22" x14ac:dyDescent="0.25">
      <c r="A157">
        <v>1396161527</v>
      </c>
      <c r="B157" s="37">
        <v>0.57507246376811594</v>
      </c>
      <c r="C157" s="67">
        <v>37179</v>
      </c>
      <c r="D157" s="67">
        <v>37179</v>
      </c>
      <c r="E157" s="32">
        <v>27605</v>
      </c>
      <c r="F157" s="67">
        <v>157</v>
      </c>
      <c r="G157" s="63">
        <v>16.170000000000073</v>
      </c>
      <c r="H157" s="67">
        <v>68791</v>
      </c>
      <c r="I157" s="63">
        <v>438.15923566878979</v>
      </c>
      <c r="J157" s="132">
        <v>26.74</v>
      </c>
      <c r="K157" s="134">
        <v>1.2062999999999999</v>
      </c>
      <c r="M157" s="170"/>
      <c r="R157" s="32"/>
      <c r="T157" s="63"/>
      <c r="U157" s="132"/>
      <c r="V157" s="134"/>
    </row>
    <row r="158" spans="1:22" x14ac:dyDescent="0.25">
      <c r="A158">
        <v>1396202024</v>
      </c>
      <c r="B158" s="37">
        <v>0.6082074147469243</v>
      </c>
      <c r="C158" s="67">
        <v>33945</v>
      </c>
      <c r="D158" s="67">
        <v>33945</v>
      </c>
      <c r="E158" s="32">
        <v>28778</v>
      </c>
      <c r="F158" s="67">
        <v>106</v>
      </c>
      <c r="G158" s="63">
        <v>13.3900000000001</v>
      </c>
      <c r="H158" s="67">
        <v>42400</v>
      </c>
      <c r="I158" s="63">
        <v>324.08490566037733</v>
      </c>
      <c r="J158" s="132">
        <v>26.74</v>
      </c>
      <c r="K158" s="134">
        <v>1.0567</v>
      </c>
      <c r="M158" s="170"/>
      <c r="R158" s="32"/>
      <c r="T158" s="63"/>
      <c r="U158" s="132"/>
      <c r="V158" s="134"/>
    </row>
    <row r="159" spans="1:22" x14ac:dyDescent="0.25">
      <c r="A159">
        <v>1396747689</v>
      </c>
      <c r="B159" s="37">
        <v>0.56938200106682924</v>
      </c>
      <c r="C159" s="67">
        <v>32196</v>
      </c>
      <c r="D159" s="67">
        <v>32196</v>
      </c>
      <c r="E159" s="32">
        <v>28730</v>
      </c>
      <c r="F159" s="67">
        <v>106</v>
      </c>
      <c r="G159" s="63">
        <v>24.960000000000036</v>
      </c>
      <c r="H159" s="67">
        <v>39750</v>
      </c>
      <c r="I159" s="63">
        <v>321.84811172989731</v>
      </c>
      <c r="J159" s="132">
        <v>26.74</v>
      </c>
      <c r="K159" s="134">
        <v>1.1369</v>
      </c>
      <c r="M159" s="170"/>
      <c r="R159" s="32"/>
      <c r="T159" s="63"/>
      <c r="U159" s="132"/>
      <c r="V159" s="134"/>
    </row>
    <row r="160" spans="1:22" x14ac:dyDescent="0.25">
      <c r="A160">
        <v>1396754875</v>
      </c>
      <c r="B160" s="37">
        <v>0.737248213125406</v>
      </c>
      <c r="C160" s="67">
        <v>20098</v>
      </c>
      <c r="D160" s="67">
        <v>20098</v>
      </c>
      <c r="E160" s="32">
        <v>27239</v>
      </c>
      <c r="F160" s="67">
        <v>60</v>
      </c>
      <c r="G160" s="63">
        <v>2.0299999999999727</v>
      </c>
      <c r="H160" s="67">
        <v>26461.653468674376</v>
      </c>
      <c r="I160" s="63">
        <v>441.0275578112396</v>
      </c>
      <c r="J160" s="132">
        <v>26.74</v>
      </c>
      <c r="K160" s="134">
        <v>1.1365000000000001</v>
      </c>
      <c r="M160" s="170"/>
      <c r="R160" s="32"/>
      <c r="T160" s="63"/>
      <c r="U160" s="132"/>
      <c r="V160" s="134"/>
    </row>
    <row r="161" spans="1:22" x14ac:dyDescent="0.25">
      <c r="A161">
        <v>1396771515</v>
      </c>
      <c r="B161" s="37">
        <v>0.60597515433274907</v>
      </c>
      <c r="C161" s="67">
        <v>44557</v>
      </c>
      <c r="D161" s="67">
        <v>44557</v>
      </c>
      <c r="E161" s="32">
        <v>28405</v>
      </c>
      <c r="F161" s="67">
        <v>140</v>
      </c>
      <c r="G161" s="63">
        <v>6.3099999999999454</v>
      </c>
      <c r="H161" s="67">
        <v>93346</v>
      </c>
      <c r="I161" s="63">
        <v>666.75714285714287</v>
      </c>
      <c r="J161" s="132">
        <v>8.6399999999999988</v>
      </c>
      <c r="K161" s="134">
        <v>1.1521999999999999</v>
      </c>
      <c r="M161" s="170"/>
      <c r="R161" s="32"/>
      <c r="T161" s="63"/>
      <c r="U161" s="132"/>
      <c r="V161" s="134"/>
    </row>
    <row r="162" spans="1:22" x14ac:dyDescent="0.25">
      <c r="A162">
        <v>1396802260</v>
      </c>
      <c r="B162" s="37">
        <v>0.62998780983340108</v>
      </c>
      <c r="C162" s="67">
        <v>16052</v>
      </c>
      <c r="D162" s="67">
        <v>16052</v>
      </c>
      <c r="E162" s="32">
        <v>28360</v>
      </c>
      <c r="F162" s="67">
        <v>52</v>
      </c>
      <c r="G162" s="63">
        <v>6.3800000000001091</v>
      </c>
      <c r="H162" s="67">
        <v>35369.85482706043</v>
      </c>
      <c r="I162" s="63">
        <v>680.18951590500831</v>
      </c>
      <c r="J162" s="132">
        <v>26.74</v>
      </c>
      <c r="K162" s="134">
        <v>1.1808000000000001</v>
      </c>
      <c r="M162" s="170"/>
      <c r="R162" s="32"/>
      <c r="T162" s="63"/>
      <c r="U162" s="132"/>
      <c r="V162" s="134"/>
    </row>
    <row r="163" spans="1:22" x14ac:dyDescent="0.25">
      <c r="A163">
        <v>1407325103</v>
      </c>
      <c r="B163" s="37">
        <v>0.67233530876921754</v>
      </c>
      <c r="C163" s="67">
        <v>22363</v>
      </c>
      <c r="D163" s="67">
        <v>22363</v>
      </c>
      <c r="E163" s="32">
        <v>28159</v>
      </c>
      <c r="F163" s="67">
        <v>70</v>
      </c>
      <c r="G163" s="63">
        <v>33.289999999999964</v>
      </c>
      <c r="H163" s="67">
        <v>36301</v>
      </c>
      <c r="I163" s="63">
        <v>518.58571428571429</v>
      </c>
      <c r="J163" s="132">
        <v>26.74</v>
      </c>
      <c r="K163" s="134">
        <v>1.2648999999999999</v>
      </c>
      <c r="M163" s="170"/>
      <c r="R163" s="32"/>
      <c r="T163" s="63"/>
      <c r="U163" s="132"/>
      <c r="V163" s="134"/>
    </row>
    <row r="164" spans="1:22" x14ac:dyDescent="0.25">
      <c r="A164">
        <v>1407800972</v>
      </c>
      <c r="B164" s="37">
        <v>0.68195962081192563</v>
      </c>
      <c r="C164" s="67">
        <v>28335</v>
      </c>
      <c r="D164" s="67">
        <v>28335</v>
      </c>
      <c r="E164" s="32">
        <v>28147</v>
      </c>
      <c r="F164" s="67">
        <v>90</v>
      </c>
      <c r="G164" s="63">
        <v>18.220000000000027</v>
      </c>
      <c r="H164" s="67">
        <v>41711</v>
      </c>
      <c r="I164" s="63">
        <v>463.45555555555558</v>
      </c>
      <c r="J164" s="132">
        <v>26.74</v>
      </c>
      <c r="K164" s="134">
        <v>1.1180000000000001</v>
      </c>
      <c r="M164" s="170"/>
      <c r="R164" s="32"/>
      <c r="T164" s="63"/>
      <c r="U164" s="132"/>
      <c r="V164" s="134"/>
    </row>
    <row r="165" spans="1:22" x14ac:dyDescent="0.25">
      <c r="A165">
        <v>1407803679</v>
      </c>
      <c r="B165" s="37">
        <v>0.64137791696130919</v>
      </c>
      <c r="C165" s="67">
        <v>27966</v>
      </c>
      <c r="D165" s="67">
        <v>27966</v>
      </c>
      <c r="E165" s="32">
        <v>28904</v>
      </c>
      <c r="F165" s="67">
        <v>90</v>
      </c>
      <c r="G165" s="63">
        <v>20.680000000000064</v>
      </c>
      <c r="H165" s="67">
        <v>33750</v>
      </c>
      <c r="I165" s="63">
        <v>323.72222222222223</v>
      </c>
      <c r="J165" s="132">
        <v>26.74</v>
      </c>
      <c r="K165" s="134">
        <v>1.0801000000000001</v>
      </c>
      <c r="M165" s="170"/>
      <c r="R165" s="32"/>
      <c r="T165" s="63"/>
      <c r="U165" s="132"/>
      <c r="V165" s="134"/>
    </row>
    <row r="166" spans="1:22" x14ac:dyDescent="0.25">
      <c r="A166">
        <v>1407803828</v>
      </c>
      <c r="B166" s="37">
        <v>0.69589620905410376</v>
      </c>
      <c r="C166" s="67">
        <v>32167</v>
      </c>
      <c r="D166" s="67">
        <v>32167</v>
      </c>
      <c r="E166" s="32">
        <v>28804</v>
      </c>
      <c r="F166" s="67">
        <v>100</v>
      </c>
      <c r="G166" s="63">
        <v>23.950000000000045</v>
      </c>
      <c r="H166" s="67">
        <v>37500</v>
      </c>
      <c r="I166" s="63">
        <v>333.68</v>
      </c>
      <c r="J166" s="132">
        <v>26.74</v>
      </c>
      <c r="K166" s="134">
        <v>1.1591</v>
      </c>
      <c r="M166" s="170"/>
      <c r="R166" s="32"/>
      <c r="T166" s="63"/>
      <c r="U166" s="132"/>
      <c r="V166" s="134"/>
    </row>
    <row r="167" spans="1:22" x14ac:dyDescent="0.25">
      <c r="A167">
        <v>1407843097</v>
      </c>
      <c r="B167" s="37">
        <v>0.691929974380871</v>
      </c>
      <c r="C167" s="67">
        <v>32833</v>
      </c>
      <c r="D167" s="67">
        <v>32833</v>
      </c>
      <c r="E167" s="32">
        <v>28164</v>
      </c>
      <c r="F167" s="67">
        <v>106</v>
      </c>
      <c r="G167" s="63">
        <v>2</v>
      </c>
      <c r="H167" s="67">
        <v>45050</v>
      </c>
      <c r="I167" s="63">
        <v>407.27266309477568</v>
      </c>
      <c r="J167" s="132">
        <v>0</v>
      </c>
      <c r="K167" s="134">
        <v>1.2074</v>
      </c>
      <c r="M167" s="170"/>
      <c r="R167" s="32"/>
      <c r="T167" s="63"/>
      <c r="U167" s="132"/>
      <c r="V167" s="134"/>
    </row>
    <row r="168" spans="1:22" x14ac:dyDescent="0.25">
      <c r="A168">
        <v>1407882830</v>
      </c>
      <c r="B168" s="37">
        <v>0.55437029686595551</v>
      </c>
      <c r="C168" s="67">
        <v>27903</v>
      </c>
      <c r="D168" s="67">
        <v>27903</v>
      </c>
      <c r="E168" s="32">
        <v>28529</v>
      </c>
      <c r="F168" s="67">
        <v>96</v>
      </c>
      <c r="G168" s="63">
        <v>27.579999999999927</v>
      </c>
      <c r="H168" s="67">
        <v>33600</v>
      </c>
      <c r="I168" s="63">
        <v>333.61514450056114</v>
      </c>
      <c r="J168" s="132">
        <v>26.74</v>
      </c>
      <c r="K168" s="134">
        <v>1.2171000000000001</v>
      </c>
      <c r="M168" s="170"/>
      <c r="R168" s="32"/>
      <c r="T168" s="63"/>
      <c r="U168" s="132"/>
      <c r="V168" s="134"/>
    </row>
    <row r="169" spans="1:22" x14ac:dyDescent="0.25">
      <c r="A169">
        <v>1407966864</v>
      </c>
      <c r="B169" s="37">
        <v>0.73592596672909549</v>
      </c>
      <c r="C169" s="67">
        <v>26131</v>
      </c>
      <c r="D169" s="67">
        <v>26131</v>
      </c>
      <c r="E169" s="32">
        <v>27320</v>
      </c>
      <c r="F169" s="67">
        <v>82</v>
      </c>
      <c r="G169" s="63">
        <v>15.809999999999945</v>
      </c>
      <c r="H169" s="67">
        <v>32800</v>
      </c>
      <c r="I169" s="63">
        <v>0</v>
      </c>
      <c r="J169" s="132">
        <v>26.74</v>
      </c>
      <c r="K169" s="134">
        <v>0.96709999999999996</v>
      </c>
      <c r="M169" s="170"/>
      <c r="R169" s="32"/>
      <c r="T169" s="63"/>
      <c r="U169" s="132"/>
      <c r="V169" s="134"/>
    </row>
    <row r="170" spans="1:22" x14ac:dyDescent="0.25">
      <c r="A170">
        <v>1417368143</v>
      </c>
      <c r="B170" s="37">
        <v>0.61009528714911143</v>
      </c>
      <c r="C170" s="67">
        <v>31554</v>
      </c>
      <c r="D170" s="67">
        <v>31554</v>
      </c>
      <c r="E170" s="32">
        <v>27804</v>
      </c>
      <c r="F170" s="67">
        <v>100</v>
      </c>
      <c r="G170" s="63">
        <v>2</v>
      </c>
      <c r="H170" s="67">
        <v>48753.034912619041</v>
      </c>
      <c r="I170" s="63">
        <v>487.5303491261904</v>
      </c>
      <c r="J170" s="132">
        <v>26.74</v>
      </c>
      <c r="K170" s="134">
        <v>1.4649000000000001</v>
      </c>
      <c r="M170" s="170"/>
      <c r="R170" s="32"/>
      <c r="T170" s="63"/>
      <c r="U170" s="132"/>
      <c r="V170" s="134"/>
    </row>
    <row r="171" spans="1:22" x14ac:dyDescent="0.25">
      <c r="A171">
        <v>1417944752</v>
      </c>
      <c r="B171" s="37">
        <v>0.66011773362766746</v>
      </c>
      <c r="C171" s="67">
        <v>44382</v>
      </c>
      <c r="D171" s="67">
        <v>44382</v>
      </c>
      <c r="E171" s="32">
        <v>28027</v>
      </c>
      <c r="F171" s="67">
        <v>160</v>
      </c>
      <c r="G171" s="63">
        <v>33.5</v>
      </c>
      <c r="H171" s="67">
        <v>52000</v>
      </c>
      <c r="I171" s="63">
        <v>0</v>
      </c>
      <c r="J171" s="132">
        <v>8.6399999999999988</v>
      </c>
      <c r="K171" s="134">
        <v>1.2788999999999999</v>
      </c>
      <c r="M171" s="170"/>
      <c r="R171" s="32"/>
      <c r="T171" s="63"/>
      <c r="U171" s="132"/>
      <c r="V171" s="134"/>
    </row>
    <row r="172" spans="1:22" x14ac:dyDescent="0.25">
      <c r="A172">
        <v>1417951492</v>
      </c>
      <c r="B172" s="37">
        <v>0.61055604738417435</v>
      </c>
      <c r="C172" s="67">
        <v>25254</v>
      </c>
      <c r="D172" s="67">
        <v>25254</v>
      </c>
      <c r="E172" s="32">
        <v>27410</v>
      </c>
      <c r="F172" s="67">
        <v>69</v>
      </c>
      <c r="G172" s="63">
        <v>16</v>
      </c>
      <c r="H172" s="67">
        <v>27600</v>
      </c>
      <c r="I172" s="63">
        <v>0</v>
      </c>
      <c r="J172" s="132">
        <v>0</v>
      </c>
      <c r="K172" s="134">
        <v>0.93779999999999997</v>
      </c>
      <c r="M172" s="170"/>
      <c r="R172" s="32"/>
      <c r="T172" s="63"/>
      <c r="U172" s="132"/>
      <c r="V172" s="134"/>
    </row>
    <row r="173" spans="1:22" x14ac:dyDescent="0.25">
      <c r="A173">
        <v>1427003110</v>
      </c>
      <c r="B173" s="37">
        <v>0.65177195685670264</v>
      </c>
      <c r="C173" s="67">
        <v>38232</v>
      </c>
      <c r="D173" s="67">
        <v>38232</v>
      </c>
      <c r="E173" s="32">
        <v>27529</v>
      </c>
      <c r="F173" s="67">
        <v>120</v>
      </c>
      <c r="G173" s="63">
        <v>13.809999999999945</v>
      </c>
      <c r="H173" s="67">
        <v>48000</v>
      </c>
      <c r="I173" s="63">
        <v>0</v>
      </c>
      <c r="J173" s="132">
        <v>26.74</v>
      </c>
      <c r="K173" s="134">
        <v>1.0710999999999999</v>
      </c>
      <c r="M173" s="170"/>
      <c r="R173" s="32"/>
      <c r="T173" s="63"/>
      <c r="U173" s="132"/>
      <c r="V173" s="134"/>
    </row>
    <row r="174" spans="1:22" x14ac:dyDescent="0.25">
      <c r="A174">
        <v>1427052067</v>
      </c>
      <c r="B174" s="37">
        <v>0.73793414524131706</v>
      </c>
      <c r="C174" s="67">
        <v>34761</v>
      </c>
      <c r="D174" s="67">
        <v>34761</v>
      </c>
      <c r="E174" s="32">
        <v>28601</v>
      </c>
      <c r="F174" s="67">
        <v>104</v>
      </c>
      <c r="G174" s="63">
        <v>1.9700000000000273</v>
      </c>
      <c r="H174" s="67">
        <v>48981.286775235152</v>
      </c>
      <c r="I174" s="63">
        <v>470.97391130033799</v>
      </c>
      <c r="J174" s="132">
        <v>26.74</v>
      </c>
      <c r="K174" s="134">
        <v>1.2789999999999999</v>
      </c>
      <c r="M174" s="170"/>
      <c r="R174" s="32"/>
      <c r="T174" s="63"/>
      <c r="U174" s="132"/>
      <c r="V174" s="134"/>
    </row>
    <row r="175" spans="1:22" x14ac:dyDescent="0.25">
      <c r="A175">
        <v>1427248905</v>
      </c>
      <c r="B175" s="37">
        <v>0.64461788115292484</v>
      </c>
      <c r="C175" s="67">
        <v>42327</v>
      </c>
      <c r="D175" s="67">
        <v>42327</v>
      </c>
      <c r="E175" s="32">
        <v>28205</v>
      </c>
      <c r="F175" s="67">
        <v>142</v>
      </c>
      <c r="G175" s="63">
        <v>11</v>
      </c>
      <c r="H175" s="67">
        <v>70849</v>
      </c>
      <c r="I175" s="63">
        <v>498.93661971830988</v>
      </c>
      <c r="J175" s="132">
        <v>8.6399999999999988</v>
      </c>
      <c r="K175" s="134">
        <v>1.3241000000000001</v>
      </c>
      <c r="M175" s="170"/>
      <c r="R175" s="32"/>
      <c r="T175" s="63"/>
      <c r="U175" s="132"/>
      <c r="V175" s="134"/>
    </row>
    <row r="176" spans="1:22" x14ac:dyDescent="0.25">
      <c r="A176">
        <v>1427608959</v>
      </c>
      <c r="B176" s="37">
        <v>0.71267368421052624</v>
      </c>
      <c r="C176" s="67">
        <v>27096</v>
      </c>
      <c r="D176" s="67">
        <v>27096</v>
      </c>
      <c r="E176" s="32">
        <v>28315</v>
      </c>
      <c r="F176" s="67">
        <v>100</v>
      </c>
      <c r="G176" s="63">
        <v>19.029999999999973</v>
      </c>
      <c r="H176" s="67">
        <v>40000</v>
      </c>
      <c r="I176" s="63">
        <v>362.51873494053524</v>
      </c>
      <c r="J176" s="132">
        <v>26.74</v>
      </c>
      <c r="K176" s="134">
        <v>1.1886000000000001</v>
      </c>
      <c r="M176" s="170"/>
      <c r="R176" s="32"/>
      <c r="T176" s="63"/>
      <c r="U176" s="132"/>
      <c r="V176" s="134"/>
    </row>
    <row r="177" spans="1:22" x14ac:dyDescent="0.25">
      <c r="A177">
        <v>1437103850</v>
      </c>
      <c r="B177" s="37">
        <v>0.62903928229248318</v>
      </c>
      <c r="C177" s="67">
        <v>11691</v>
      </c>
      <c r="D177" s="67">
        <v>11691</v>
      </c>
      <c r="E177" s="32">
        <v>27885</v>
      </c>
      <c r="F177" s="67">
        <v>80</v>
      </c>
      <c r="G177" s="63">
        <v>28.5</v>
      </c>
      <c r="H177" s="67">
        <v>28000</v>
      </c>
      <c r="I177" s="63">
        <v>0</v>
      </c>
      <c r="J177" s="132">
        <v>26.74</v>
      </c>
      <c r="K177" s="134">
        <v>1.179314330001999</v>
      </c>
      <c r="M177" s="170"/>
      <c r="R177" s="32"/>
      <c r="T177" s="63"/>
      <c r="U177" s="132"/>
      <c r="V177" s="134"/>
    </row>
    <row r="178" spans="1:22" x14ac:dyDescent="0.25">
      <c r="A178">
        <v>1437484672</v>
      </c>
      <c r="B178" s="37">
        <v>0.65</v>
      </c>
      <c r="C178" s="67">
        <v>25963</v>
      </c>
      <c r="D178" s="67">
        <v>25963</v>
      </c>
      <c r="E178" s="32">
        <v>28422</v>
      </c>
      <c r="F178" s="67">
        <v>90</v>
      </c>
      <c r="G178" s="63">
        <v>7.5399999999999636</v>
      </c>
      <c r="H178" s="67">
        <v>39346</v>
      </c>
      <c r="I178" s="63">
        <v>437.17777777777781</v>
      </c>
      <c r="J178" s="132">
        <v>26.74</v>
      </c>
      <c r="K178" s="134">
        <v>1.3240000000000001</v>
      </c>
      <c r="M178" s="170"/>
      <c r="R178" s="32"/>
      <c r="T178" s="63"/>
      <c r="U178" s="132"/>
      <c r="V178" s="134"/>
    </row>
    <row r="179" spans="1:22" x14ac:dyDescent="0.25">
      <c r="A179">
        <v>1437564739</v>
      </c>
      <c r="B179" s="37">
        <v>0.60178871867528561</v>
      </c>
      <c r="C179" s="67">
        <v>33718</v>
      </c>
      <c r="D179" s="67">
        <v>33718</v>
      </c>
      <c r="E179" s="32">
        <v>28501</v>
      </c>
      <c r="F179" s="67">
        <v>106</v>
      </c>
      <c r="G179" s="63">
        <v>3.9200000000000728</v>
      </c>
      <c r="H179" s="67">
        <v>45050</v>
      </c>
      <c r="I179" s="63">
        <v>353.15094339622641</v>
      </c>
      <c r="J179" s="132">
        <v>26.74</v>
      </c>
      <c r="K179" s="134">
        <v>1.3574999999999999</v>
      </c>
      <c r="M179" s="170"/>
      <c r="R179" s="32"/>
      <c r="T179" s="63"/>
      <c r="U179" s="132"/>
      <c r="V179" s="134"/>
    </row>
    <row r="180" spans="1:22" x14ac:dyDescent="0.25">
      <c r="A180">
        <v>1437609732</v>
      </c>
      <c r="B180" s="37">
        <v>0.6080713280150164</v>
      </c>
      <c r="C180" s="67">
        <v>41404</v>
      </c>
      <c r="D180" s="67">
        <v>41404</v>
      </c>
      <c r="E180" s="32">
        <v>28358</v>
      </c>
      <c r="F180" s="67">
        <v>122</v>
      </c>
      <c r="G180" s="63">
        <v>19.599999999999909</v>
      </c>
      <c r="H180" s="67">
        <v>48800</v>
      </c>
      <c r="I180" s="63">
        <v>315.3360655737705</v>
      </c>
      <c r="J180" s="132">
        <v>26.74</v>
      </c>
      <c r="K180" s="134">
        <v>1.2055</v>
      </c>
      <c r="M180" s="170"/>
      <c r="R180" s="32"/>
      <c r="T180" s="63"/>
      <c r="U180" s="132"/>
      <c r="V180" s="134"/>
    </row>
    <row r="181" spans="1:22" x14ac:dyDescent="0.25">
      <c r="A181">
        <v>1437627593</v>
      </c>
      <c r="B181" s="37">
        <v>0.65807653496856333</v>
      </c>
      <c r="C181" s="67">
        <v>21355</v>
      </c>
      <c r="D181" s="67">
        <v>21355</v>
      </c>
      <c r="E181" s="32">
        <v>28205</v>
      </c>
      <c r="F181" s="67">
        <v>100</v>
      </c>
      <c r="G181" s="63">
        <v>15.6099999999999</v>
      </c>
      <c r="H181" s="67">
        <v>40000</v>
      </c>
      <c r="I181" s="63">
        <v>289.76</v>
      </c>
      <c r="J181" s="132">
        <v>26.74</v>
      </c>
      <c r="K181" s="134">
        <v>1.1984999999999999</v>
      </c>
      <c r="M181" s="170"/>
      <c r="R181" s="32"/>
      <c r="T181" s="63"/>
      <c r="U181" s="132"/>
      <c r="V181" s="134"/>
    </row>
    <row r="182" spans="1:22" x14ac:dyDescent="0.25">
      <c r="A182">
        <v>1447254149</v>
      </c>
      <c r="B182" s="37">
        <v>0.67657485683119711</v>
      </c>
      <c r="C182" s="67">
        <v>36670</v>
      </c>
      <c r="D182" s="67">
        <v>36670</v>
      </c>
      <c r="E182" s="32">
        <v>28144</v>
      </c>
      <c r="F182" s="67">
        <v>115</v>
      </c>
      <c r="G182" s="63">
        <v>1</v>
      </c>
      <c r="H182" s="67">
        <v>58613.329361741897</v>
      </c>
      <c r="I182" s="63">
        <v>509.68112488471212</v>
      </c>
      <c r="J182" s="132">
        <v>0</v>
      </c>
      <c r="K182" s="134">
        <v>1.2773000000000001</v>
      </c>
      <c r="M182" s="170"/>
      <c r="R182" s="32"/>
      <c r="T182" s="63"/>
      <c r="U182" s="132"/>
      <c r="V182" s="134"/>
    </row>
    <row r="183" spans="1:22" x14ac:dyDescent="0.25">
      <c r="A183">
        <v>1447435722</v>
      </c>
      <c r="B183" s="37">
        <v>0.69359430604982208</v>
      </c>
      <c r="C183" s="67">
        <v>42571</v>
      </c>
      <c r="D183" s="67">
        <v>42571</v>
      </c>
      <c r="E183" s="32">
        <v>27705</v>
      </c>
      <c r="F183" s="67">
        <v>125</v>
      </c>
      <c r="G183" s="63">
        <v>3.1600000000000819</v>
      </c>
      <c r="H183" s="67">
        <v>55784</v>
      </c>
      <c r="I183" s="63">
        <v>446.27199999999999</v>
      </c>
      <c r="J183" s="132">
        <v>8.6399999999999988</v>
      </c>
      <c r="K183" s="134">
        <v>1.1224000000000001</v>
      </c>
      <c r="M183" s="170"/>
      <c r="R183" s="32"/>
      <c r="T183" s="63"/>
      <c r="U183" s="132"/>
      <c r="V183" s="134"/>
    </row>
    <row r="184" spans="1:22" x14ac:dyDescent="0.25">
      <c r="A184">
        <v>1447736087</v>
      </c>
      <c r="B184" s="37">
        <v>0.53794353794353789</v>
      </c>
      <c r="C184" s="67">
        <v>20993</v>
      </c>
      <c r="D184" s="67">
        <v>20993</v>
      </c>
      <c r="E184" s="32">
        <v>28170</v>
      </c>
      <c r="F184" s="67">
        <v>66</v>
      </c>
      <c r="G184" s="63">
        <v>33.5</v>
      </c>
      <c r="H184" s="67">
        <v>24000</v>
      </c>
      <c r="I184" s="63">
        <v>363.63636363636363</v>
      </c>
      <c r="J184" s="132">
        <v>26.74</v>
      </c>
      <c r="K184" s="134">
        <v>1.2513000000000001</v>
      </c>
      <c r="M184" s="170"/>
      <c r="R184" s="32"/>
      <c r="T184" s="63"/>
      <c r="U184" s="132"/>
      <c r="V184" s="134"/>
    </row>
    <row r="185" spans="1:22" x14ac:dyDescent="0.25">
      <c r="A185">
        <v>1457397952</v>
      </c>
      <c r="B185" s="37">
        <v>0.59755467539176854</v>
      </c>
      <c r="C185" s="67">
        <v>27482</v>
      </c>
      <c r="D185" s="67">
        <v>27482</v>
      </c>
      <c r="E185" s="32">
        <v>28734</v>
      </c>
      <c r="F185" s="67">
        <v>200</v>
      </c>
      <c r="G185" s="63">
        <v>27.509999999999991</v>
      </c>
      <c r="H185" s="67">
        <v>70000</v>
      </c>
      <c r="I185" s="63">
        <v>329.76</v>
      </c>
      <c r="J185" s="132">
        <v>26.74</v>
      </c>
      <c r="K185" s="134">
        <v>1.2497</v>
      </c>
      <c r="M185" s="170"/>
      <c r="R185" s="32"/>
      <c r="T185" s="63"/>
      <c r="U185" s="132"/>
      <c r="V185" s="134"/>
    </row>
    <row r="186" spans="1:22" x14ac:dyDescent="0.25">
      <c r="A186">
        <v>1467007856</v>
      </c>
      <c r="B186" s="37">
        <v>0.60218607015760039</v>
      </c>
      <c r="C186" s="67">
        <v>20090</v>
      </c>
      <c r="D186" s="67">
        <v>30259.012345679013</v>
      </c>
      <c r="E186" s="32">
        <v>28374</v>
      </c>
      <c r="F186" s="67">
        <v>144</v>
      </c>
      <c r="G186" s="63">
        <v>27.740000000000009</v>
      </c>
      <c r="H186" s="67">
        <v>50400</v>
      </c>
      <c r="I186" s="63">
        <v>333.22222222222223</v>
      </c>
      <c r="J186" s="132">
        <v>26.74</v>
      </c>
      <c r="K186" s="134">
        <v>1.1413</v>
      </c>
      <c r="M186" s="170"/>
      <c r="R186" s="32"/>
      <c r="T186" s="63"/>
      <c r="U186" s="132"/>
      <c r="V186" s="134"/>
    </row>
    <row r="187" spans="1:22" x14ac:dyDescent="0.25">
      <c r="A187">
        <v>1467016105</v>
      </c>
      <c r="B187" s="37">
        <v>0.62765957446808518</v>
      </c>
      <c r="C187" s="67">
        <v>29733</v>
      </c>
      <c r="D187" s="67">
        <v>29733</v>
      </c>
      <c r="E187" s="32">
        <v>27203</v>
      </c>
      <c r="F187" s="67">
        <v>100</v>
      </c>
      <c r="G187" s="63">
        <v>18.369999999999891</v>
      </c>
      <c r="H187" s="67">
        <v>40000</v>
      </c>
      <c r="I187" s="63">
        <v>358.14</v>
      </c>
      <c r="J187" s="132">
        <v>26.74</v>
      </c>
      <c r="K187" s="134">
        <v>1.1747000000000001</v>
      </c>
      <c r="M187" s="170"/>
      <c r="R187" s="32"/>
      <c r="T187" s="63"/>
      <c r="U187" s="132"/>
      <c r="V187" s="134"/>
    </row>
    <row r="188" spans="1:22" x14ac:dyDescent="0.25">
      <c r="A188">
        <v>1467407775</v>
      </c>
      <c r="B188" s="37">
        <v>0.64460784313725483</v>
      </c>
      <c r="C188" s="67">
        <v>18565</v>
      </c>
      <c r="D188" s="67">
        <v>18565</v>
      </c>
      <c r="E188" s="32">
        <v>28805</v>
      </c>
      <c r="F188" s="67">
        <v>60</v>
      </c>
      <c r="G188" s="63">
        <v>2.3900000000001</v>
      </c>
      <c r="H188" s="67">
        <v>25500</v>
      </c>
      <c r="I188" s="63">
        <v>0</v>
      </c>
      <c r="J188" s="132">
        <v>26.74</v>
      </c>
      <c r="K188" s="134">
        <v>1.1056999999999999</v>
      </c>
      <c r="M188" s="170"/>
      <c r="R188" s="32"/>
      <c r="T188" s="63"/>
      <c r="U188" s="132"/>
      <c r="V188" s="134"/>
    </row>
    <row r="189" spans="1:22" x14ac:dyDescent="0.25">
      <c r="A189">
        <v>1467421024</v>
      </c>
      <c r="B189" s="37">
        <v>0.57742018317213051</v>
      </c>
      <c r="C189" s="67">
        <v>27264</v>
      </c>
      <c r="D189" s="67">
        <v>27264</v>
      </c>
      <c r="E189" s="32">
        <v>27615</v>
      </c>
      <c r="F189" s="67">
        <v>90</v>
      </c>
      <c r="G189" s="63">
        <v>15.8900000000001</v>
      </c>
      <c r="H189" s="67">
        <v>36000</v>
      </c>
      <c r="I189" s="63">
        <v>372.88888888888891</v>
      </c>
      <c r="J189" s="132">
        <v>26.74</v>
      </c>
      <c r="K189" s="134">
        <v>1.3991</v>
      </c>
      <c r="M189" s="170"/>
      <c r="R189" s="32"/>
      <c r="T189" s="63"/>
      <c r="U189" s="132"/>
      <c r="V189" s="134"/>
    </row>
    <row r="190" spans="1:22" x14ac:dyDescent="0.25">
      <c r="A190">
        <v>1477137628</v>
      </c>
      <c r="B190" s="37">
        <v>0.65</v>
      </c>
      <c r="C190" s="67">
        <v>29401</v>
      </c>
      <c r="D190" s="67">
        <v>29401</v>
      </c>
      <c r="E190" s="32">
        <v>28078</v>
      </c>
      <c r="F190" s="67">
        <v>90</v>
      </c>
      <c r="G190" s="63">
        <v>3.1400000000001</v>
      </c>
      <c r="H190" s="67">
        <v>55597</v>
      </c>
      <c r="I190" s="63">
        <v>617.74444444444441</v>
      </c>
      <c r="J190" s="132">
        <v>26.74</v>
      </c>
      <c r="K190" s="134">
        <v>1.2114</v>
      </c>
      <c r="M190" s="170"/>
      <c r="R190" s="32"/>
      <c r="T190" s="63"/>
      <c r="U190" s="132"/>
      <c r="V190" s="134"/>
    </row>
    <row r="191" spans="1:22" x14ac:dyDescent="0.25">
      <c r="A191">
        <v>1477146959</v>
      </c>
      <c r="B191" s="37">
        <v>0.62016766178155713</v>
      </c>
      <c r="C191" s="67">
        <v>46210</v>
      </c>
      <c r="D191" s="67">
        <v>46210</v>
      </c>
      <c r="E191" s="32">
        <v>27105</v>
      </c>
      <c r="F191" s="67">
        <v>152</v>
      </c>
      <c r="G191" s="63">
        <v>20.099999999999909</v>
      </c>
      <c r="H191" s="67">
        <v>57000</v>
      </c>
      <c r="I191" s="63">
        <v>368.9</v>
      </c>
      <c r="J191" s="132">
        <v>8.6399999999999988</v>
      </c>
      <c r="K191" s="134">
        <v>1.4132</v>
      </c>
      <c r="M191" s="170"/>
      <c r="R191" s="32"/>
      <c r="T191" s="63"/>
      <c r="U191" s="132"/>
      <c r="V191" s="134"/>
    </row>
    <row r="192" spans="1:22" x14ac:dyDescent="0.25">
      <c r="A192">
        <v>1477511079</v>
      </c>
      <c r="B192" s="37">
        <v>0.6402313093762908</v>
      </c>
      <c r="C192" s="67">
        <v>26689</v>
      </c>
      <c r="D192" s="67">
        <v>26689</v>
      </c>
      <c r="E192" s="32">
        <v>28607</v>
      </c>
      <c r="F192" s="67">
        <v>134</v>
      </c>
      <c r="G192" s="63">
        <v>18.559999999999945</v>
      </c>
      <c r="H192" s="67">
        <v>53600</v>
      </c>
      <c r="I192" s="63">
        <v>0</v>
      </c>
      <c r="J192" s="132">
        <v>26.74</v>
      </c>
      <c r="K192" s="134">
        <v>1.0578000000000001</v>
      </c>
      <c r="M192" s="170"/>
      <c r="R192" s="32"/>
      <c r="T192" s="63"/>
      <c r="U192" s="132"/>
      <c r="V192" s="134"/>
    </row>
    <row r="193" spans="1:22" x14ac:dyDescent="0.25">
      <c r="A193">
        <v>1477537199</v>
      </c>
      <c r="B193" s="37">
        <v>0.70020273694880897</v>
      </c>
      <c r="C193" s="67">
        <v>39892</v>
      </c>
      <c r="D193" s="67">
        <v>39892</v>
      </c>
      <c r="E193" s="32">
        <v>28761</v>
      </c>
      <c r="F193" s="67">
        <v>140</v>
      </c>
      <c r="G193" s="63">
        <v>33.5</v>
      </c>
      <c r="H193" s="67">
        <v>45500</v>
      </c>
      <c r="I193" s="63">
        <v>0</v>
      </c>
      <c r="J193" s="132">
        <v>26.74</v>
      </c>
      <c r="K193" s="134">
        <v>1.2123999999999999</v>
      </c>
      <c r="M193" s="170"/>
      <c r="R193" s="32"/>
      <c r="T193" s="63"/>
      <c r="U193" s="132"/>
      <c r="V193" s="134"/>
    </row>
    <row r="194" spans="1:22" x14ac:dyDescent="0.25">
      <c r="A194">
        <v>1477641694</v>
      </c>
      <c r="B194" s="37">
        <v>0.65353595947477172</v>
      </c>
      <c r="C194" s="67">
        <v>41246</v>
      </c>
      <c r="D194" s="67">
        <v>41246</v>
      </c>
      <c r="E194" s="32">
        <v>27260</v>
      </c>
      <c r="F194" s="67">
        <v>125</v>
      </c>
      <c r="G194" s="63">
        <v>10.420000000000073</v>
      </c>
      <c r="H194" s="67">
        <v>50000</v>
      </c>
      <c r="I194" s="63">
        <v>0</v>
      </c>
      <c r="J194" s="132">
        <v>0</v>
      </c>
      <c r="K194" s="134">
        <v>0.90500000000000003</v>
      </c>
      <c r="M194" s="170"/>
      <c r="R194" s="32"/>
      <c r="T194" s="63"/>
      <c r="U194" s="132"/>
      <c r="V194" s="134"/>
    </row>
    <row r="195" spans="1:22" x14ac:dyDescent="0.25">
      <c r="A195">
        <v>1487060893</v>
      </c>
      <c r="B195" s="37">
        <v>0.8077793493635077</v>
      </c>
      <c r="C195" s="67">
        <v>30896</v>
      </c>
      <c r="D195" s="67">
        <v>30896</v>
      </c>
      <c r="E195" s="32">
        <v>28170</v>
      </c>
      <c r="F195" s="67">
        <v>95</v>
      </c>
      <c r="G195" s="63">
        <v>20.3599999999999</v>
      </c>
      <c r="H195" s="67">
        <v>38518</v>
      </c>
      <c r="I195" s="63">
        <v>405.45263157894738</v>
      </c>
      <c r="J195" s="132">
        <v>26.74</v>
      </c>
      <c r="K195" s="134">
        <v>1.3697999999999999</v>
      </c>
      <c r="M195" s="170"/>
      <c r="R195" s="32"/>
      <c r="T195" s="63"/>
      <c r="U195" s="132"/>
      <c r="V195" s="134"/>
    </row>
    <row r="196" spans="1:22" x14ac:dyDescent="0.25">
      <c r="A196">
        <v>1497058416</v>
      </c>
      <c r="B196" s="37">
        <v>0.63147569570587803</v>
      </c>
      <c r="C196" s="67">
        <v>32111</v>
      </c>
      <c r="D196" s="67">
        <v>32111</v>
      </c>
      <c r="E196" s="32">
        <v>28754</v>
      </c>
      <c r="F196" s="67">
        <v>100</v>
      </c>
      <c r="G196" s="63">
        <v>23.849999999999909</v>
      </c>
      <c r="H196" s="67">
        <v>37500</v>
      </c>
      <c r="I196" s="63">
        <v>300</v>
      </c>
      <c r="J196" s="132">
        <v>26.74</v>
      </c>
      <c r="K196" s="134">
        <v>1.4806999999999999</v>
      </c>
      <c r="M196" s="170"/>
      <c r="R196" s="32"/>
      <c r="T196" s="63"/>
      <c r="U196" s="132"/>
      <c r="V196" s="134"/>
    </row>
    <row r="197" spans="1:22" x14ac:dyDescent="0.25">
      <c r="A197">
        <v>1497283899</v>
      </c>
      <c r="B197" s="37">
        <v>0.64867384119989835</v>
      </c>
      <c r="C197" s="67">
        <v>23909</v>
      </c>
      <c r="D197" s="67">
        <v>23909</v>
      </c>
      <c r="E197" s="32">
        <v>28337</v>
      </c>
      <c r="F197" s="67">
        <v>90</v>
      </c>
      <c r="G197" s="63">
        <v>29.630000000000109</v>
      </c>
      <c r="H197" s="67">
        <v>31500</v>
      </c>
      <c r="I197" s="63">
        <v>0</v>
      </c>
      <c r="J197" s="132">
        <v>26.74</v>
      </c>
      <c r="K197" s="134">
        <v>1.0389999999999999</v>
      </c>
      <c r="M197" s="170"/>
      <c r="R197" s="32"/>
      <c r="T197" s="63"/>
      <c r="U197" s="132"/>
      <c r="V197" s="134"/>
    </row>
    <row r="198" spans="1:22" x14ac:dyDescent="0.25">
      <c r="A198">
        <v>1497996920</v>
      </c>
      <c r="B198" s="37">
        <v>0.6782113517550411</v>
      </c>
      <c r="C198" s="67">
        <v>44334</v>
      </c>
      <c r="D198" s="67">
        <v>44334</v>
      </c>
      <c r="E198" s="32">
        <v>27565</v>
      </c>
      <c r="F198" s="67">
        <v>160</v>
      </c>
      <c r="G198" s="63">
        <v>27.8599999999999</v>
      </c>
      <c r="H198" s="67">
        <v>56000</v>
      </c>
      <c r="I198" s="63">
        <v>247.30807072783574</v>
      </c>
      <c r="J198" s="132">
        <v>8.6399999999999988</v>
      </c>
      <c r="K198" s="134">
        <v>1.2919</v>
      </c>
      <c r="M198" s="170"/>
      <c r="R198" s="32"/>
      <c r="T198" s="63"/>
      <c r="U198" s="132"/>
      <c r="V198" s="134"/>
    </row>
    <row r="199" spans="1:22" x14ac:dyDescent="0.25">
      <c r="A199">
        <v>1508802497</v>
      </c>
      <c r="B199" s="37">
        <v>0.60246821241585646</v>
      </c>
      <c r="C199" s="67">
        <v>57896</v>
      </c>
      <c r="D199" s="67">
        <v>57896</v>
      </c>
      <c r="E199" s="32">
        <v>27532</v>
      </c>
      <c r="F199" s="67">
        <v>200</v>
      </c>
      <c r="G199" s="63">
        <v>29.589999999999918</v>
      </c>
      <c r="H199" s="67">
        <v>70000</v>
      </c>
      <c r="I199" s="63">
        <v>328.35</v>
      </c>
      <c r="J199" s="132">
        <v>8.6399999999999988</v>
      </c>
      <c r="K199" s="134">
        <v>1.2156</v>
      </c>
      <c r="M199" s="170"/>
      <c r="R199" s="32"/>
      <c r="T199" s="63"/>
      <c r="U199" s="132"/>
      <c r="V199" s="134"/>
    </row>
    <row r="200" spans="1:22" x14ac:dyDescent="0.25">
      <c r="A200">
        <v>1508842295</v>
      </c>
      <c r="B200" s="37">
        <v>0.61915501428356645</v>
      </c>
      <c r="C200" s="67">
        <v>30106</v>
      </c>
      <c r="D200" s="67">
        <v>30106</v>
      </c>
      <c r="E200" s="32">
        <v>28144</v>
      </c>
      <c r="F200" s="67">
        <v>97</v>
      </c>
      <c r="G200" s="63">
        <v>10.480000000000018</v>
      </c>
      <c r="H200" s="67">
        <v>56620.522264980762</v>
      </c>
      <c r="I200" s="63">
        <v>583.71672438124494</v>
      </c>
      <c r="J200" s="132">
        <v>26.74</v>
      </c>
      <c r="K200" s="134">
        <v>1.1452</v>
      </c>
      <c r="M200" s="170"/>
      <c r="R200" s="32"/>
      <c r="T200" s="63"/>
      <c r="U200" s="132"/>
      <c r="V200" s="134"/>
    </row>
    <row r="201" spans="1:22" x14ac:dyDescent="0.25">
      <c r="A201">
        <v>1508864323</v>
      </c>
      <c r="B201" s="37">
        <v>0.68209901968860698</v>
      </c>
      <c r="C201" s="67">
        <v>40547</v>
      </c>
      <c r="D201" s="67">
        <v>40547</v>
      </c>
      <c r="E201" s="32">
        <v>28602</v>
      </c>
      <c r="F201" s="67">
        <v>120</v>
      </c>
      <c r="G201" s="63">
        <v>8.6500000000000909</v>
      </c>
      <c r="H201" s="67">
        <v>84000</v>
      </c>
      <c r="I201" s="63">
        <v>760.36666666666667</v>
      </c>
      <c r="J201" s="132">
        <v>26.74</v>
      </c>
      <c r="K201" s="134">
        <v>1.2101</v>
      </c>
      <c r="M201" s="170"/>
      <c r="R201" s="32"/>
      <c r="T201" s="63"/>
      <c r="U201" s="132"/>
      <c r="V201" s="134"/>
    </row>
    <row r="202" spans="1:22" x14ac:dyDescent="0.25">
      <c r="A202">
        <v>1518088830</v>
      </c>
      <c r="B202" s="37">
        <v>0.68806250618138665</v>
      </c>
      <c r="C202" s="67">
        <v>43001</v>
      </c>
      <c r="D202" s="67">
        <v>43001</v>
      </c>
      <c r="E202" s="32">
        <v>27379</v>
      </c>
      <c r="F202" s="67">
        <v>157</v>
      </c>
      <c r="G202" s="63">
        <v>22.740000000000009</v>
      </c>
      <c r="H202" s="67">
        <v>58875</v>
      </c>
      <c r="I202" s="63">
        <v>316.66242038216558</v>
      </c>
      <c r="J202" s="132">
        <v>8.6399999999999988</v>
      </c>
      <c r="K202" s="134">
        <v>1.1205000000000001</v>
      </c>
      <c r="M202" s="170"/>
      <c r="R202" s="32"/>
      <c r="T202" s="63"/>
      <c r="U202" s="132"/>
      <c r="V202" s="134"/>
    </row>
    <row r="203" spans="1:22" x14ac:dyDescent="0.25">
      <c r="A203">
        <v>1518112036</v>
      </c>
      <c r="B203" s="37">
        <v>0.65</v>
      </c>
      <c r="C203" s="67">
        <v>40466</v>
      </c>
      <c r="D203" s="67">
        <v>40466</v>
      </c>
      <c r="E203" s="32">
        <v>27705</v>
      </c>
      <c r="F203" s="67">
        <v>138</v>
      </c>
      <c r="G203" s="63">
        <v>5.4800000000000182</v>
      </c>
      <c r="H203" s="67">
        <v>58650</v>
      </c>
      <c r="I203" s="63">
        <v>329.83571428571429</v>
      </c>
      <c r="J203" s="132">
        <v>26.74</v>
      </c>
      <c r="K203" s="134">
        <v>1.0656000000000001</v>
      </c>
      <c r="M203" s="170"/>
      <c r="R203" s="32"/>
      <c r="T203" s="63"/>
      <c r="U203" s="132"/>
      <c r="V203" s="134"/>
    </row>
    <row r="204" spans="1:22" x14ac:dyDescent="0.25">
      <c r="A204">
        <v>1518435650</v>
      </c>
      <c r="B204" s="37">
        <v>0.69462681409813409</v>
      </c>
      <c r="C204" s="67">
        <v>29561</v>
      </c>
      <c r="D204" s="67">
        <v>29561</v>
      </c>
      <c r="E204" s="32">
        <v>28212</v>
      </c>
      <c r="F204" s="67">
        <v>120</v>
      </c>
      <c r="G204" s="63">
        <v>9.8099999999999454</v>
      </c>
      <c r="H204" s="67">
        <v>83990</v>
      </c>
      <c r="I204" s="63">
        <v>699.91666666666663</v>
      </c>
      <c r="J204" s="132">
        <v>26.74</v>
      </c>
      <c r="K204" s="134">
        <v>1.1509</v>
      </c>
      <c r="M204" s="170"/>
      <c r="R204" s="32"/>
      <c r="T204" s="63"/>
      <c r="U204" s="132"/>
      <c r="V204" s="134"/>
    </row>
    <row r="205" spans="1:22" x14ac:dyDescent="0.25">
      <c r="A205">
        <v>1518968890</v>
      </c>
      <c r="B205" s="37">
        <v>0.69987522794893942</v>
      </c>
      <c r="C205" s="67">
        <v>18524</v>
      </c>
      <c r="D205" s="67">
        <v>18524</v>
      </c>
      <c r="E205" s="32">
        <v>27235</v>
      </c>
      <c r="F205" s="67">
        <v>60</v>
      </c>
      <c r="G205" s="63">
        <v>11.950000000000045</v>
      </c>
      <c r="H205" s="67">
        <v>24000</v>
      </c>
      <c r="I205" s="63">
        <v>0</v>
      </c>
      <c r="J205" s="132">
        <v>0</v>
      </c>
      <c r="K205" s="134">
        <v>0.98819999999999997</v>
      </c>
      <c r="M205" s="170"/>
      <c r="R205" s="32"/>
      <c r="T205" s="63"/>
      <c r="U205" s="132"/>
      <c r="V205" s="134"/>
    </row>
    <row r="206" spans="1:22" x14ac:dyDescent="0.25">
      <c r="A206">
        <v>1528040888</v>
      </c>
      <c r="B206" s="37">
        <v>0.39681728344578482</v>
      </c>
      <c r="C206" s="67">
        <v>35907</v>
      </c>
      <c r="D206" s="67">
        <v>35907</v>
      </c>
      <c r="E206" s="32">
        <v>38358</v>
      </c>
      <c r="F206" s="67">
        <v>115</v>
      </c>
      <c r="G206" s="63">
        <v>8</v>
      </c>
      <c r="H206" s="67">
        <v>48875</v>
      </c>
      <c r="I206" s="63">
        <v>0</v>
      </c>
      <c r="J206" s="132">
        <v>26.74</v>
      </c>
      <c r="K206" s="134">
        <v>1.1186</v>
      </c>
      <c r="M206" s="170"/>
      <c r="R206" s="32"/>
      <c r="T206" s="63"/>
      <c r="U206" s="132"/>
      <c r="V206" s="134"/>
    </row>
    <row r="207" spans="1:22" x14ac:dyDescent="0.25">
      <c r="A207">
        <v>1528044294</v>
      </c>
      <c r="B207" s="37">
        <v>0.67093191694833409</v>
      </c>
      <c r="C207" s="67">
        <v>27542</v>
      </c>
      <c r="D207" s="67">
        <v>27542</v>
      </c>
      <c r="E207" s="32">
        <v>28786</v>
      </c>
      <c r="F207" s="67">
        <v>90</v>
      </c>
      <c r="G207" s="63">
        <v>18.099999999999909</v>
      </c>
      <c r="H207" s="67">
        <v>42841.028416779431</v>
      </c>
      <c r="I207" s="63">
        <v>476.01142685310481</v>
      </c>
      <c r="J207" s="132">
        <v>26.74</v>
      </c>
      <c r="K207" s="134">
        <v>1.2455000000000001</v>
      </c>
      <c r="M207" s="170"/>
      <c r="R207" s="32"/>
      <c r="T207" s="63"/>
      <c r="U207" s="132"/>
      <c r="V207" s="134"/>
    </row>
    <row r="208" spans="1:22" x14ac:dyDescent="0.25">
      <c r="A208">
        <v>1528505757</v>
      </c>
      <c r="B208" s="37">
        <v>0.60266691533010075</v>
      </c>
      <c r="C208" s="67">
        <v>15844</v>
      </c>
      <c r="D208" s="67">
        <v>15844</v>
      </c>
      <c r="E208" s="32">
        <v>27874</v>
      </c>
      <c r="F208" s="67">
        <v>62</v>
      </c>
      <c r="G208" s="63">
        <v>17.029999999999973</v>
      </c>
      <c r="H208" s="67">
        <v>24800</v>
      </c>
      <c r="I208" s="63">
        <v>264.82258064516128</v>
      </c>
      <c r="J208" s="132">
        <v>26.74</v>
      </c>
      <c r="K208" s="134">
        <v>1.1583000000000001</v>
      </c>
      <c r="M208" s="170"/>
      <c r="R208" s="32"/>
      <c r="T208" s="63"/>
      <c r="U208" s="132"/>
      <c r="V208" s="134"/>
    </row>
    <row r="209" spans="1:22" x14ac:dyDescent="0.25">
      <c r="A209">
        <v>1528544145</v>
      </c>
      <c r="B209" s="37">
        <v>0.59949904992226632</v>
      </c>
      <c r="C209" s="67">
        <v>33827</v>
      </c>
      <c r="D209" s="67">
        <v>33827</v>
      </c>
      <c r="E209" s="32">
        <v>28374</v>
      </c>
      <c r="F209" s="67">
        <v>120</v>
      </c>
      <c r="G209" s="63">
        <v>18.710000000000036</v>
      </c>
      <c r="H209" s="67">
        <v>48000</v>
      </c>
      <c r="I209" s="63">
        <v>0</v>
      </c>
      <c r="J209" s="132">
        <v>26.74</v>
      </c>
      <c r="K209" s="134">
        <v>1.4863999999999999</v>
      </c>
      <c r="M209" s="170"/>
      <c r="R209" s="32"/>
      <c r="T209" s="63"/>
      <c r="U209" s="132"/>
      <c r="V209" s="134"/>
    </row>
    <row r="210" spans="1:22" x14ac:dyDescent="0.25">
      <c r="A210">
        <v>1528606225</v>
      </c>
      <c r="B210" s="37">
        <v>0.56608584785380367</v>
      </c>
      <c r="C210" s="67">
        <v>44728</v>
      </c>
      <c r="D210" s="67">
        <v>35743.336244541482</v>
      </c>
      <c r="E210" s="32">
        <v>28659</v>
      </c>
      <c r="F210" s="67">
        <v>111</v>
      </c>
      <c r="G210" s="63">
        <v>5.6099999999999</v>
      </c>
      <c r="H210" s="67">
        <v>54034.8</v>
      </c>
      <c r="I210" s="63">
        <v>486.8</v>
      </c>
      <c r="J210" s="132">
        <v>26.74</v>
      </c>
      <c r="K210" s="134">
        <v>1.3995</v>
      </c>
      <c r="M210" s="170"/>
      <c r="R210" s="32"/>
      <c r="T210" s="63"/>
      <c r="U210" s="132"/>
      <c r="V210" s="134"/>
    </row>
    <row r="211" spans="1:22" x14ac:dyDescent="0.25">
      <c r="A211">
        <v>1538113014</v>
      </c>
      <c r="B211" s="37">
        <v>0.66956746510425635</v>
      </c>
      <c r="C211" s="67">
        <v>33222</v>
      </c>
      <c r="D211" s="67">
        <v>33222</v>
      </c>
      <c r="E211" s="32">
        <v>28472</v>
      </c>
      <c r="F211" s="67">
        <v>107</v>
      </c>
      <c r="G211" s="63">
        <v>15.730000000000018</v>
      </c>
      <c r="H211" s="67">
        <v>55077.152477253607</v>
      </c>
      <c r="I211" s="63">
        <v>514.7397427780711</v>
      </c>
      <c r="J211" s="132">
        <v>26.74</v>
      </c>
      <c r="K211" s="134">
        <v>1.1500999999999999</v>
      </c>
      <c r="M211" s="170"/>
      <c r="R211" s="32"/>
      <c r="T211" s="63"/>
      <c r="U211" s="132"/>
      <c r="V211" s="134"/>
    </row>
    <row r="212" spans="1:22" x14ac:dyDescent="0.25">
      <c r="A212">
        <v>1538137468</v>
      </c>
      <c r="B212" s="37">
        <v>0.25893180347290018</v>
      </c>
      <c r="C212" s="67">
        <v>11875</v>
      </c>
      <c r="D212" s="67">
        <v>11875</v>
      </c>
      <c r="E212" s="32">
        <v>28425</v>
      </c>
      <c r="F212" s="67">
        <v>43</v>
      </c>
      <c r="G212" s="63">
        <v>25.480000000000018</v>
      </c>
      <c r="H212" s="67">
        <v>15050</v>
      </c>
      <c r="I212" s="63">
        <v>0</v>
      </c>
      <c r="J212" s="132">
        <v>26.74</v>
      </c>
      <c r="K212" s="134">
        <v>1.0301</v>
      </c>
      <c r="M212" s="170"/>
      <c r="R212" s="32"/>
      <c r="T212" s="63"/>
      <c r="U212" s="132"/>
      <c r="V212" s="134"/>
    </row>
    <row r="213" spans="1:22" x14ac:dyDescent="0.25">
      <c r="A213">
        <v>1548206907</v>
      </c>
      <c r="B213" s="37">
        <v>0.60215479679949302</v>
      </c>
      <c r="C213" s="67">
        <v>33857</v>
      </c>
      <c r="D213" s="67">
        <v>33857</v>
      </c>
      <c r="E213" s="32">
        <v>28079</v>
      </c>
      <c r="F213" s="67">
        <v>120</v>
      </c>
      <c r="G213" s="63">
        <v>3.3299999999999272</v>
      </c>
      <c r="H213" s="67">
        <v>51000</v>
      </c>
      <c r="I213" s="63">
        <v>424.1</v>
      </c>
      <c r="J213" s="132">
        <v>26.74</v>
      </c>
      <c r="K213" s="134">
        <v>1.1352</v>
      </c>
      <c r="M213" s="170"/>
      <c r="R213" s="32"/>
      <c r="T213" s="63"/>
      <c r="U213" s="132"/>
      <c r="V213" s="134"/>
    </row>
    <row r="214" spans="1:22" x14ac:dyDescent="0.25">
      <c r="A214">
        <v>1548230188</v>
      </c>
      <c r="B214" s="37">
        <v>0.7354962721342031</v>
      </c>
      <c r="C214" s="67">
        <v>28495</v>
      </c>
      <c r="D214" s="67">
        <v>28495</v>
      </c>
      <c r="E214" s="32">
        <v>27407</v>
      </c>
      <c r="F214" s="67">
        <v>88</v>
      </c>
      <c r="G214" s="63">
        <v>22</v>
      </c>
      <c r="H214" s="67">
        <v>33000</v>
      </c>
      <c r="I214" s="63">
        <v>0</v>
      </c>
      <c r="J214" s="132">
        <v>0</v>
      </c>
      <c r="K214" s="134">
        <v>0.8619</v>
      </c>
      <c r="M214" s="170"/>
      <c r="R214" s="32"/>
      <c r="T214" s="63"/>
      <c r="U214" s="132"/>
      <c r="V214" s="134"/>
    </row>
    <row r="215" spans="1:22" x14ac:dyDescent="0.25">
      <c r="A215">
        <v>1548293988</v>
      </c>
      <c r="B215" s="37">
        <v>0.53781512605042014</v>
      </c>
      <c r="C215" s="67">
        <v>15056</v>
      </c>
      <c r="D215" s="67">
        <v>15056</v>
      </c>
      <c r="E215" s="32">
        <v>28759</v>
      </c>
      <c r="F215" s="67">
        <v>50</v>
      </c>
      <c r="G215" s="63">
        <v>6.8199999999999363</v>
      </c>
      <c r="H215" s="67">
        <v>34781</v>
      </c>
      <c r="I215" s="63">
        <v>695.62</v>
      </c>
      <c r="J215" s="132">
        <v>26.74</v>
      </c>
      <c r="K215" s="134">
        <v>1.5269999999999999</v>
      </c>
      <c r="M215" s="170"/>
      <c r="R215" s="32"/>
      <c r="T215" s="63"/>
      <c r="U215" s="132"/>
      <c r="V215" s="134"/>
    </row>
    <row r="216" spans="1:22" x14ac:dyDescent="0.25">
      <c r="A216">
        <v>1548696834</v>
      </c>
      <c r="B216" s="37">
        <v>0.6325340903330462</v>
      </c>
      <c r="C216" s="67">
        <v>16628</v>
      </c>
      <c r="D216" s="67">
        <v>16628</v>
      </c>
      <c r="E216" s="32">
        <v>28374</v>
      </c>
      <c r="F216" s="67">
        <v>60</v>
      </c>
      <c r="G216" s="63">
        <v>18.339999999999918</v>
      </c>
      <c r="H216" s="67">
        <v>34857.427555781251</v>
      </c>
      <c r="I216" s="63">
        <v>580.95712592968755</v>
      </c>
      <c r="J216" s="132">
        <v>0</v>
      </c>
      <c r="K216" s="134">
        <v>1.1321000000000001</v>
      </c>
      <c r="M216" s="170"/>
      <c r="R216" s="32"/>
      <c r="T216" s="63"/>
      <c r="U216" s="132"/>
      <c r="V216" s="134"/>
    </row>
    <row r="217" spans="1:22" x14ac:dyDescent="0.25">
      <c r="A217">
        <v>1548770423</v>
      </c>
      <c r="B217" s="37">
        <v>0.55437946546705474</v>
      </c>
      <c r="C217" s="67">
        <v>27352</v>
      </c>
      <c r="D217" s="67">
        <v>27352</v>
      </c>
      <c r="E217" s="32">
        <v>28461</v>
      </c>
      <c r="F217" s="67">
        <v>99</v>
      </c>
      <c r="G217" s="63">
        <v>22.099999999999909</v>
      </c>
      <c r="H217" s="67">
        <v>38820.450025726779</v>
      </c>
      <c r="I217" s="63">
        <v>392.12575783562403</v>
      </c>
      <c r="J217" s="132">
        <v>26.74</v>
      </c>
      <c r="K217" s="134">
        <v>1.1014999999999999</v>
      </c>
      <c r="M217" s="170"/>
      <c r="R217" s="32"/>
      <c r="T217" s="63"/>
      <c r="U217" s="132"/>
      <c r="V217" s="134"/>
    </row>
    <row r="218" spans="1:22" x14ac:dyDescent="0.25">
      <c r="A218">
        <v>1558391250</v>
      </c>
      <c r="B218" s="37">
        <v>0.57334132693844919</v>
      </c>
      <c r="C218" s="67">
        <v>17480</v>
      </c>
      <c r="D218" s="67">
        <v>17480</v>
      </c>
      <c r="E218" s="32">
        <v>27874</v>
      </c>
      <c r="F218" s="67">
        <v>60</v>
      </c>
      <c r="G218" s="63">
        <v>27.6400000000001</v>
      </c>
      <c r="H218" s="67">
        <v>30440.402732527589</v>
      </c>
      <c r="I218" s="63">
        <v>507.34004554212646</v>
      </c>
      <c r="J218" s="132">
        <v>26.74</v>
      </c>
      <c r="K218" s="134">
        <v>1.2197</v>
      </c>
      <c r="M218" s="170"/>
      <c r="R218" s="32"/>
      <c r="T218" s="63"/>
      <c r="U218" s="132"/>
      <c r="V218" s="134"/>
    </row>
    <row r="219" spans="1:22" x14ac:dyDescent="0.25">
      <c r="A219">
        <v>1558393835</v>
      </c>
      <c r="B219" s="37">
        <v>0.59681908548707752</v>
      </c>
      <c r="C219" s="67">
        <v>32729</v>
      </c>
      <c r="D219" s="67">
        <v>32729</v>
      </c>
      <c r="E219" s="32">
        <v>28540</v>
      </c>
      <c r="F219" s="67">
        <v>120</v>
      </c>
      <c r="G219" s="63">
        <v>23.460000000000036</v>
      </c>
      <c r="H219" s="67">
        <v>45000</v>
      </c>
      <c r="I219" s="63">
        <v>365.23333333333335</v>
      </c>
      <c r="J219" s="132">
        <v>26.74</v>
      </c>
      <c r="K219" s="134">
        <v>1.1755</v>
      </c>
      <c r="M219" s="170"/>
      <c r="R219" s="32"/>
      <c r="T219" s="63"/>
      <c r="U219" s="132"/>
      <c r="V219" s="134"/>
    </row>
    <row r="220" spans="1:22" x14ac:dyDescent="0.25">
      <c r="A220">
        <v>1558872333</v>
      </c>
      <c r="B220" s="37">
        <v>0.65</v>
      </c>
      <c r="C220" s="67">
        <v>29713</v>
      </c>
      <c r="D220" s="67">
        <v>29713</v>
      </c>
      <c r="E220" s="32">
        <v>28420</v>
      </c>
      <c r="F220" s="67">
        <v>100</v>
      </c>
      <c r="G220" s="63">
        <v>2.7599999999999909</v>
      </c>
      <c r="H220" s="67">
        <v>64400</v>
      </c>
      <c r="I220" s="63">
        <v>644</v>
      </c>
      <c r="J220" s="132">
        <v>26.74</v>
      </c>
      <c r="K220" s="134">
        <v>1.0390999999999999</v>
      </c>
      <c r="M220" s="170"/>
      <c r="R220" s="32"/>
      <c r="T220" s="63"/>
      <c r="U220" s="132"/>
      <c r="V220" s="134"/>
    </row>
    <row r="221" spans="1:22" x14ac:dyDescent="0.25">
      <c r="A221">
        <v>1568454262</v>
      </c>
      <c r="B221" s="37">
        <v>0.58735689397710311</v>
      </c>
      <c r="C221" s="67">
        <v>33449</v>
      </c>
      <c r="D221" s="67">
        <v>33449</v>
      </c>
      <c r="E221" s="32">
        <v>27106</v>
      </c>
      <c r="F221" s="67">
        <v>100</v>
      </c>
      <c r="G221" s="63">
        <v>4.5399999999999636</v>
      </c>
      <c r="H221" s="67">
        <v>42500</v>
      </c>
      <c r="I221" s="63">
        <v>0</v>
      </c>
      <c r="J221" s="132">
        <v>0</v>
      </c>
      <c r="K221" s="134">
        <v>1.0435000000000001</v>
      </c>
      <c r="M221" s="170"/>
      <c r="R221" s="32"/>
      <c r="T221" s="63"/>
      <c r="U221" s="132"/>
      <c r="V221" s="134"/>
    </row>
    <row r="222" spans="1:22" x14ac:dyDescent="0.25">
      <c r="A222">
        <v>1578013876</v>
      </c>
      <c r="B222" s="37">
        <v>0.62302144797227688</v>
      </c>
      <c r="C222" s="67">
        <v>27680</v>
      </c>
      <c r="D222" s="67">
        <v>27680</v>
      </c>
      <c r="E222" s="32">
        <v>28739</v>
      </c>
      <c r="F222" s="67">
        <v>150</v>
      </c>
      <c r="G222" s="63">
        <v>33.5</v>
      </c>
      <c r="H222" s="67">
        <v>48750</v>
      </c>
      <c r="I222" s="63">
        <v>259.13333333333333</v>
      </c>
      <c r="J222" s="132">
        <v>26.74</v>
      </c>
      <c r="K222" s="134">
        <v>1.1486000000000001</v>
      </c>
      <c r="M222" s="170"/>
      <c r="R222" s="32"/>
      <c r="T222" s="63"/>
      <c r="U222" s="132"/>
      <c r="V222" s="134"/>
    </row>
    <row r="223" spans="1:22" x14ac:dyDescent="0.25">
      <c r="A223">
        <v>1578059085</v>
      </c>
      <c r="B223" s="37">
        <v>0.61728946897908099</v>
      </c>
      <c r="C223" s="67">
        <v>21713</v>
      </c>
      <c r="D223" s="67">
        <v>21713</v>
      </c>
      <c r="E223" s="32">
        <v>28804</v>
      </c>
      <c r="F223" s="67">
        <v>77</v>
      </c>
      <c r="G223" s="63">
        <v>25.960000000000036</v>
      </c>
      <c r="H223" s="67">
        <v>30026</v>
      </c>
      <c r="I223" s="63">
        <v>389.94805194805195</v>
      </c>
      <c r="J223" s="132">
        <v>26.74</v>
      </c>
      <c r="K223" s="134">
        <v>1.0572999999999999</v>
      </c>
      <c r="M223" s="170"/>
      <c r="R223" s="32"/>
      <c r="T223" s="63"/>
      <c r="U223" s="132"/>
      <c r="V223" s="134"/>
    </row>
    <row r="224" spans="1:22" x14ac:dyDescent="0.25">
      <c r="A224">
        <v>1578683439</v>
      </c>
      <c r="B224" s="37">
        <v>0.66529898943849242</v>
      </c>
      <c r="C224" s="67">
        <v>0</v>
      </c>
      <c r="D224" s="67">
        <v>0</v>
      </c>
      <c r="E224" s="32">
        <v>27713</v>
      </c>
      <c r="F224" s="67">
        <v>140</v>
      </c>
      <c r="G224" s="63">
        <v>7.3499999999999091</v>
      </c>
      <c r="H224" s="67">
        <v>60484</v>
      </c>
      <c r="I224" s="63">
        <v>432.02857142857141</v>
      </c>
      <c r="J224" s="132">
        <v>26.74</v>
      </c>
      <c r="K224" s="134">
        <v>1.2784</v>
      </c>
      <c r="M224" s="170"/>
      <c r="R224" s="32"/>
      <c r="T224" s="63"/>
      <c r="U224" s="132"/>
      <c r="V224" s="134"/>
    </row>
    <row r="225" spans="1:22" x14ac:dyDescent="0.25">
      <c r="A225">
        <v>1578715504</v>
      </c>
      <c r="B225" s="37">
        <v>0.74766251113089932</v>
      </c>
      <c r="C225" s="67">
        <v>35232</v>
      </c>
      <c r="D225" s="67">
        <v>35232</v>
      </c>
      <c r="E225" s="32">
        <v>28731</v>
      </c>
      <c r="F225" s="67">
        <v>130</v>
      </c>
      <c r="G225" s="63">
        <v>13.130000000000109</v>
      </c>
      <c r="H225" s="67">
        <v>52000</v>
      </c>
      <c r="I225" s="63">
        <v>388.23076923076923</v>
      </c>
      <c r="J225" s="132">
        <v>26.74</v>
      </c>
      <c r="K225" s="134">
        <v>1.5336000000000001</v>
      </c>
      <c r="M225" s="170"/>
      <c r="R225" s="32"/>
      <c r="T225" s="63"/>
      <c r="U225" s="132"/>
      <c r="V225" s="134"/>
    </row>
    <row r="226" spans="1:22" x14ac:dyDescent="0.25">
      <c r="A226">
        <v>1588219828</v>
      </c>
      <c r="B226" s="37">
        <v>0.64852477800057295</v>
      </c>
      <c r="C226" s="67">
        <v>27353</v>
      </c>
      <c r="D226" s="67">
        <v>27353</v>
      </c>
      <c r="E226" s="32">
        <v>28337</v>
      </c>
      <c r="F226" s="67">
        <v>94</v>
      </c>
      <c r="G226" s="63">
        <v>33.5</v>
      </c>
      <c r="H226" s="67">
        <v>52816</v>
      </c>
      <c r="I226" s="63">
        <v>561.87234042553189</v>
      </c>
      <c r="J226" s="132">
        <v>26.74</v>
      </c>
      <c r="K226" s="134">
        <v>1.1308</v>
      </c>
      <c r="M226" s="170"/>
      <c r="R226" s="32"/>
      <c r="T226" s="63"/>
      <c r="U226" s="132"/>
      <c r="V226" s="134"/>
    </row>
    <row r="227" spans="1:22" x14ac:dyDescent="0.25">
      <c r="A227">
        <v>1588618045</v>
      </c>
      <c r="B227" s="37">
        <v>0.59930915371329874</v>
      </c>
      <c r="C227" s="67">
        <v>16821</v>
      </c>
      <c r="D227" s="67">
        <v>16821</v>
      </c>
      <c r="E227" s="32">
        <v>28342</v>
      </c>
      <c r="F227" s="67">
        <v>58</v>
      </c>
      <c r="G227" s="63">
        <v>33.5</v>
      </c>
      <c r="H227" s="67">
        <v>18850</v>
      </c>
      <c r="I227" s="63">
        <v>298.36206896551727</v>
      </c>
      <c r="J227" s="132">
        <v>26.74</v>
      </c>
      <c r="K227" s="134">
        <v>1.2632000000000001</v>
      </c>
      <c r="M227" s="170"/>
      <c r="R227" s="32"/>
      <c r="T227" s="63"/>
      <c r="U227" s="132"/>
      <c r="V227" s="134"/>
    </row>
    <row r="228" spans="1:22" x14ac:dyDescent="0.25">
      <c r="A228">
        <v>1588642102</v>
      </c>
      <c r="B228" s="37">
        <v>0.67825719120135364</v>
      </c>
      <c r="C228" s="67">
        <v>35451</v>
      </c>
      <c r="D228" s="67">
        <v>35451</v>
      </c>
      <c r="E228" s="32">
        <v>27370</v>
      </c>
      <c r="F228" s="67">
        <v>128</v>
      </c>
      <c r="G228" s="63">
        <v>11.160000000000082</v>
      </c>
      <c r="H228" s="67">
        <v>51200</v>
      </c>
      <c r="I228" s="63">
        <v>0</v>
      </c>
      <c r="J228" s="132">
        <v>26.74</v>
      </c>
      <c r="K228" s="134">
        <v>1.2398</v>
      </c>
      <c r="M228" s="170"/>
      <c r="R228" s="32"/>
      <c r="T228" s="63"/>
      <c r="U228" s="132"/>
      <c r="V228" s="134"/>
    </row>
    <row r="229" spans="1:22" x14ac:dyDescent="0.25">
      <c r="A229">
        <v>1588805014</v>
      </c>
      <c r="B229" s="37">
        <v>0.65</v>
      </c>
      <c r="C229" s="67">
        <v>31399</v>
      </c>
      <c r="D229" s="67">
        <v>31399</v>
      </c>
      <c r="E229" s="32">
        <v>27526</v>
      </c>
      <c r="F229" s="67">
        <v>100</v>
      </c>
      <c r="G229" s="63">
        <v>6</v>
      </c>
      <c r="H229" s="67">
        <v>54066</v>
      </c>
      <c r="I229" s="63">
        <v>540.66</v>
      </c>
      <c r="J229" s="132">
        <v>26.74</v>
      </c>
      <c r="K229" s="134">
        <v>1.3915</v>
      </c>
      <c r="M229" s="170"/>
      <c r="R229" s="32"/>
      <c r="T229" s="63"/>
      <c r="U229" s="132"/>
      <c r="V229" s="134"/>
    </row>
    <row r="230" spans="1:22" x14ac:dyDescent="0.25">
      <c r="A230">
        <v>1598127276</v>
      </c>
      <c r="B230" s="37">
        <v>0.50628739918480614</v>
      </c>
      <c r="C230" s="67">
        <v>19030</v>
      </c>
      <c r="D230" s="67">
        <v>19030</v>
      </c>
      <c r="E230" s="32">
        <v>27869</v>
      </c>
      <c r="F230" s="67">
        <v>69</v>
      </c>
      <c r="G230" s="63">
        <v>12</v>
      </c>
      <c r="H230" s="67">
        <v>28496</v>
      </c>
      <c r="I230" s="63">
        <v>412.98550724637681</v>
      </c>
      <c r="J230" s="132">
        <v>26.74</v>
      </c>
      <c r="K230" s="134">
        <v>1.2210000000000001</v>
      </c>
      <c r="M230" s="170"/>
      <c r="R230" s="32"/>
      <c r="T230" s="63"/>
      <c r="U230" s="132"/>
      <c r="V230" s="134"/>
    </row>
    <row r="231" spans="1:22" x14ac:dyDescent="0.25">
      <c r="A231">
        <v>1598233645</v>
      </c>
      <c r="B231" s="37">
        <v>0.64997066588442354</v>
      </c>
      <c r="C231" s="67">
        <v>17394</v>
      </c>
      <c r="D231" s="67">
        <v>17394</v>
      </c>
      <c r="E231" s="32">
        <v>28112</v>
      </c>
      <c r="F231" s="67">
        <v>60</v>
      </c>
      <c r="G231" s="63">
        <v>13.019999999999982</v>
      </c>
      <c r="H231" s="67">
        <v>33543.132337747724</v>
      </c>
      <c r="I231" s="63">
        <v>559.05220562912871</v>
      </c>
      <c r="J231" s="132">
        <v>26.74</v>
      </c>
      <c r="K231" s="134">
        <v>1.1684000000000001</v>
      </c>
      <c r="M231" s="170"/>
      <c r="R231" s="32"/>
      <c r="T231" s="63"/>
      <c r="U231" s="132"/>
      <c r="V231" s="134"/>
    </row>
    <row r="232" spans="1:22" x14ac:dyDescent="0.25">
      <c r="A232">
        <v>1598262198</v>
      </c>
      <c r="B232" s="37">
        <v>0.68658676736168123</v>
      </c>
      <c r="C232" s="67">
        <v>31853</v>
      </c>
      <c r="D232" s="67">
        <v>31853</v>
      </c>
      <c r="E232" s="32">
        <v>27292</v>
      </c>
      <c r="F232" s="67">
        <v>106</v>
      </c>
      <c r="G232" s="63">
        <v>12.029999999999973</v>
      </c>
      <c r="H232" s="67">
        <v>51368</v>
      </c>
      <c r="I232" s="63">
        <v>484.60377358490564</v>
      </c>
      <c r="J232" s="132">
        <v>26.74</v>
      </c>
      <c r="K232" s="134">
        <v>1.1949000000000001</v>
      </c>
      <c r="M232" s="170"/>
      <c r="R232" s="32"/>
      <c r="T232" s="63"/>
      <c r="U232" s="132"/>
      <c r="V232" s="134"/>
    </row>
    <row r="233" spans="1:22" x14ac:dyDescent="0.25">
      <c r="A233">
        <v>1598704504</v>
      </c>
      <c r="B233" s="37">
        <v>0.66164439044147427</v>
      </c>
      <c r="C233" s="67">
        <v>25990</v>
      </c>
      <c r="D233" s="67">
        <v>25990</v>
      </c>
      <c r="E233" s="32">
        <v>28712</v>
      </c>
      <c r="F233" s="67">
        <v>110</v>
      </c>
      <c r="G233" s="63">
        <v>7.2400000000000091</v>
      </c>
      <c r="H233" s="67">
        <v>46750</v>
      </c>
      <c r="I233" s="63">
        <v>343.89090909090908</v>
      </c>
      <c r="J233" s="132">
        <v>26.74</v>
      </c>
      <c r="K233" s="134">
        <v>1.0807</v>
      </c>
      <c r="M233" s="170"/>
      <c r="R233" s="32"/>
      <c r="T233" s="63"/>
      <c r="U233" s="132"/>
      <c r="V233" s="134"/>
    </row>
    <row r="234" spans="1:22" x14ac:dyDescent="0.25">
      <c r="A234">
        <v>1598710949</v>
      </c>
      <c r="B234" s="37">
        <v>0.60585183984438318</v>
      </c>
      <c r="C234" s="67">
        <v>29413</v>
      </c>
      <c r="D234" s="67">
        <v>29413</v>
      </c>
      <c r="E234" s="32">
        <v>28803</v>
      </c>
      <c r="F234" s="67">
        <v>98</v>
      </c>
      <c r="G234" s="63">
        <v>14.190000000000055</v>
      </c>
      <c r="H234" s="67">
        <v>39200</v>
      </c>
      <c r="I234" s="63">
        <v>0</v>
      </c>
      <c r="J234" s="132">
        <v>26.74</v>
      </c>
      <c r="K234" s="134">
        <v>1.2153</v>
      </c>
      <c r="M234" s="170"/>
      <c r="R234" s="32"/>
      <c r="T234" s="63"/>
      <c r="U234" s="132"/>
      <c r="V234" s="134"/>
    </row>
    <row r="235" spans="1:22" x14ac:dyDescent="0.25">
      <c r="A235">
        <v>1609124155</v>
      </c>
      <c r="B235" s="37">
        <v>0.58407576852074805</v>
      </c>
      <c r="C235" s="67">
        <v>30809</v>
      </c>
      <c r="D235" s="67">
        <v>30809</v>
      </c>
      <c r="E235" s="32">
        <v>27546</v>
      </c>
      <c r="F235" s="67">
        <v>96</v>
      </c>
      <c r="G235" s="63">
        <v>7.6800000000000637</v>
      </c>
      <c r="H235" s="67">
        <v>53500</v>
      </c>
      <c r="I235" s="63">
        <v>557.29166666666663</v>
      </c>
      <c r="J235" s="132">
        <v>26.74</v>
      </c>
      <c r="K235" s="134">
        <v>1.1335999999999999</v>
      </c>
      <c r="M235" s="170"/>
      <c r="R235" s="32"/>
      <c r="T235" s="63"/>
      <c r="U235" s="132"/>
      <c r="V235" s="134"/>
    </row>
    <row r="236" spans="1:22" x14ac:dyDescent="0.25">
      <c r="A236">
        <v>1609852375</v>
      </c>
      <c r="B236" s="37">
        <v>0.62216174183514772</v>
      </c>
      <c r="C236" s="67">
        <v>33634</v>
      </c>
      <c r="D236" s="67">
        <v>33634</v>
      </c>
      <c r="E236" s="32">
        <v>28752</v>
      </c>
      <c r="F236" s="67">
        <v>110</v>
      </c>
      <c r="G236" s="63">
        <v>32.3599999999999</v>
      </c>
      <c r="H236" s="67">
        <v>37900.498753117208</v>
      </c>
      <c r="I236" s="63">
        <v>344.54998866470191</v>
      </c>
      <c r="J236" s="132">
        <v>26.74</v>
      </c>
      <c r="K236" s="134">
        <v>1.145</v>
      </c>
      <c r="M236" s="170"/>
      <c r="R236" s="32"/>
      <c r="T236" s="63"/>
      <c r="U236" s="132"/>
      <c r="V236" s="134"/>
    </row>
    <row r="237" spans="1:22" x14ac:dyDescent="0.25">
      <c r="A237">
        <v>1609976901</v>
      </c>
      <c r="B237" s="37">
        <v>0.54747783942350614</v>
      </c>
      <c r="C237" s="67">
        <v>22233</v>
      </c>
      <c r="D237" s="67">
        <v>22233</v>
      </c>
      <c r="E237" s="32">
        <v>28021</v>
      </c>
      <c r="F237" s="67">
        <v>54</v>
      </c>
      <c r="G237" s="63">
        <v>6.4000000000000909</v>
      </c>
      <c r="H237" s="67">
        <v>31499.509494745678</v>
      </c>
      <c r="I237" s="63">
        <v>583.32424990269772</v>
      </c>
      <c r="J237" s="132">
        <v>26.74</v>
      </c>
      <c r="K237" s="134">
        <v>1.3035000000000001</v>
      </c>
      <c r="M237" s="170"/>
      <c r="R237" s="32"/>
      <c r="T237" s="63"/>
      <c r="U237" s="132"/>
      <c r="V237" s="134"/>
    </row>
    <row r="238" spans="1:22" x14ac:dyDescent="0.25">
      <c r="A238">
        <v>1609996552</v>
      </c>
      <c r="B238" s="37">
        <v>0.53858827610128346</v>
      </c>
      <c r="C238" s="67">
        <v>15095</v>
      </c>
      <c r="D238" s="67">
        <v>15095</v>
      </c>
      <c r="E238" s="32">
        <v>28466</v>
      </c>
      <c r="F238" s="67">
        <v>80</v>
      </c>
      <c r="G238" s="63">
        <v>2</v>
      </c>
      <c r="H238" s="67">
        <v>34000</v>
      </c>
      <c r="I238" s="63">
        <v>334.48750000000001</v>
      </c>
      <c r="J238" s="132">
        <v>26.74</v>
      </c>
      <c r="K238" s="134">
        <v>1.1513</v>
      </c>
      <c r="M238" s="170"/>
      <c r="R238" s="32"/>
      <c r="T238" s="63"/>
      <c r="U238" s="132"/>
      <c r="V238" s="134"/>
    </row>
    <row r="239" spans="1:22" x14ac:dyDescent="0.25">
      <c r="A239">
        <v>1619099520</v>
      </c>
      <c r="B239" s="37">
        <v>0.64503494355272262</v>
      </c>
      <c r="C239" s="67">
        <v>29180</v>
      </c>
      <c r="D239" s="67">
        <v>29180</v>
      </c>
      <c r="E239" s="32">
        <v>28601</v>
      </c>
      <c r="F239" s="67">
        <v>104</v>
      </c>
      <c r="G239" s="63">
        <v>15.369999999999891</v>
      </c>
      <c r="H239" s="67">
        <v>41600</v>
      </c>
      <c r="I239" s="63">
        <v>305.19230769230768</v>
      </c>
      <c r="J239" s="132">
        <v>26.74</v>
      </c>
      <c r="K239" s="134">
        <v>1.2399</v>
      </c>
      <c r="M239" s="170"/>
      <c r="R239" s="32"/>
      <c r="T239" s="63"/>
      <c r="U239" s="132"/>
      <c r="V239" s="134"/>
    </row>
    <row r="240" spans="1:22" x14ac:dyDescent="0.25">
      <c r="A240">
        <v>1619908977</v>
      </c>
      <c r="B240" s="37">
        <v>0.62493340436867351</v>
      </c>
      <c r="C240" s="67">
        <v>31262</v>
      </c>
      <c r="D240" s="67">
        <v>31262</v>
      </c>
      <c r="E240" s="32">
        <v>27406</v>
      </c>
      <c r="F240" s="67">
        <v>120</v>
      </c>
      <c r="G240" s="63">
        <v>31.230000000000018</v>
      </c>
      <c r="H240" s="67">
        <v>39000</v>
      </c>
      <c r="I240" s="63">
        <v>275.67500000000001</v>
      </c>
      <c r="J240" s="132">
        <v>26.74</v>
      </c>
      <c r="K240" s="134">
        <v>1.2614000000000001</v>
      </c>
      <c r="M240" s="170"/>
      <c r="R240" s="32"/>
      <c r="T240" s="63"/>
      <c r="U240" s="132"/>
      <c r="V240" s="134"/>
    </row>
    <row r="241" spans="1:22" x14ac:dyDescent="0.25">
      <c r="A241">
        <v>1629016340</v>
      </c>
      <c r="B241" s="37">
        <v>0.67950236966824651</v>
      </c>
      <c r="C241" s="67">
        <v>24069</v>
      </c>
      <c r="D241" s="67">
        <v>24069</v>
      </c>
      <c r="E241" s="32">
        <v>27055</v>
      </c>
      <c r="F241" s="67">
        <v>76</v>
      </c>
      <c r="G241" s="63">
        <v>24.599999999999909</v>
      </c>
      <c r="H241" s="67">
        <v>28500</v>
      </c>
      <c r="I241" s="63">
        <v>357.88157894736844</v>
      </c>
      <c r="J241" s="132">
        <v>26.74</v>
      </c>
      <c r="K241" s="134">
        <v>1.1546000000000001</v>
      </c>
      <c r="M241" s="170"/>
      <c r="R241" s="32"/>
      <c r="T241" s="63"/>
      <c r="U241" s="132"/>
      <c r="V241" s="134"/>
    </row>
    <row r="242" spans="1:22" x14ac:dyDescent="0.25">
      <c r="A242">
        <v>1629047279</v>
      </c>
      <c r="B242" s="37">
        <v>0.62633125229526265</v>
      </c>
      <c r="C242" s="67">
        <v>32107</v>
      </c>
      <c r="D242" s="67">
        <v>32107</v>
      </c>
      <c r="E242" s="32">
        <v>27021</v>
      </c>
      <c r="F242" s="67">
        <v>96</v>
      </c>
      <c r="G242" s="63">
        <v>24.420000000000073</v>
      </c>
      <c r="H242" s="67">
        <v>36000</v>
      </c>
      <c r="I242" s="63">
        <v>269.52499999999998</v>
      </c>
      <c r="J242" s="132">
        <v>26.74</v>
      </c>
      <c r="K242" s="134">
        <v>1.3721000000000001</v>
      </c>
      <c r="M242" s="170"/>
      <c r="R242" s="32"/>
      <c r="T242" s="63"/>
      <c r="U242" s="132"/>
      <c r="V242" s="134"/>
    </row>
    <row r="243" spans="1:22" x14ac:dyDescent="0.25">
      <c r="A243">
        <v>1629198577</v>
      </c>
      <c r="B243" s="37">
        <v>0.68181818181818177</v>
      </c>
      <c r="C243" s="67">
        <v>39698</v>
      </c>
      <c r="D243" s="67">
        <v>39698</v>
      </c>
      <c r="E243" s="32">
        <v>28787</v>
      </c>
      <c r="F243" s="67">
        <v>122</v>
      </c>
      <c r="G243" s="63">
        <v>19.940000000000055</v>
      </c>
      <c r="H243" s="67">
        <v>48800</v>
      </c>
      <c r="I243" s="63">
        <v>353.15555689673818</v>
      </c>
      <c r="J243" s="132">
        <v>26.74</v>
      </c>
      <c r="K243" s="134">
        <v>1.2000999999999999</v>
      </c>
      <c r="M243" s="170"/>
      <c r="R243" s="32"/>
      <c r="T243" s="63"/>
      <c r="U243" s="132"/>
      <c r="V243" s="134"/>
    </row>
    <row r="244" spans="1:22" x14ac:dyDescent="0.25">
      <c r="A244">
        <v>1629425491</v>
      </c>
      <c r="B244" s="37">
        <v>0.73464027764750028</v>
      </c>
      <c r="C244" s="67">
        <v>38877</v>
      </c>
      <c r="D244" s="67">
        <v>38877</v>
      </c>
      <c r="E244" s="32">
        <v>28139</v>
      </c>
      <c r="F244" s="67">
        <v>136</v>
      </c>
      <c r="G244" s="63">
        <v>32.980000000000018</v>
      </c>
      <c r="H244" s="67">
        <v>44200</v>
      </c>
      <c r="I244" s="63">
        <v>0</v>
      </c>
      <c r="J244" s="132">
        <v>26.74</v>
      </c>
      <c r="K244" s="134">
        <v>1.2849999999999999</v>
      </c>
      <c r="M244" s="170"/>
      <c r="R244" s="32"/>
      <c r="T244" s="63"/>
      <c r="U244" s="132"/>
      <c r="V244" s="134"/>
    </row>
    <row r="245" spans="1:22" x14ac:dyDescent="0.25">
      <c r="A245">
        <v>1629494059</v>
      </c>
      <c r="B245" s="37">
        <v>0.58331977217249797</v>
      </c>
      <c r="C245" s="67">
        <v>32569</v>
      </c>
      <c r="D245" s="67">
        <v>32569</v>
      </c>
      <c r="E245" s="32">
        <v>28092</v>
      </c>
      <c r="F245" s="67">
        <v>120</v>
      </c>
      <c r="G245" s="63">
        <v>26.230000000000018</v>
      </c>
      <c r="H245" s="67">
        <v>42000</v>
      </c>
      <c r="I245" s="63">
        <v>285.72500000000002</v>
      </c>
      <c r="J245" s="132">
        <v>26.74</v>
      </c>
      <c r="K245" s="134">
        <v>1.3304</v>
      </c>
      <c r="M245" s="170"/>
      <c r="R245" s="32"/>
      <c r="T245" s="63"/>
      <c r="U245" s="132"/>
      <c r="V245" s="134"/>
    </row>
    <row r="246" spans="1:22" x14ac:dyDescent="0.25">
      <c r="A246">
        <v>1629511597</v>
      </c>
      <c r="B246" s="37">
        <v>0.57242339832869082</v>
      </c>
      <c r="C246" s="67">
        <v>13494</v>
      </c>
      <c r="D246" s="67">
        <v>13494</v>
      </c>
      <c r="E246" s="32">
        <v>27016</v>
      </c>
      <c r="F246" s="67">
        <v>40</v>
      </c>
      <c r="G246" s="63">
        <v>33.5</v>
      </c>
      <c r="H246" s="67">
        <v>25352</v>
      </c>
      <c r="I246" s="63">
        <v>633.79999999999995</v>
      </c>
      <c r="J246" s="132">
        <v>26.74</v>
      </c>
      <c r="K246" s="134">
        <v>0.878</v>
      </c>
      <c r="M246" s="170"/>
      <c r="R246" s="32"/>
      <c r="T246" s="63"/>
      <c r="U246" s="132"/>
      <c r="V246" s="134"/>
    </row>
    <row r="247" spans="1:22" x14ac:dyDescent="0.25">
      <c r="A247">
        <v>1629515499</v>
      </c>
      <c r="B247" s="37">
        <v>0.65237088492902451</v>
      </c>
      <c r="C247" s="67">
        <v>29231</v>
      </c>
      <c r="D247" s="67">
        <v>29231</v>
      </c>
      <c r="E247" s="32">
        <v>27021</v>
      </c>
      <c r="F247" s="67">
        <v>96</v>
      </c>
      <c r="G247" s="63">
        <v>25.1400000000001</v>
      </c>
      <c r="H247" s="67">
        <v>50218.114602587797</v>
      </c>
      <c r="I247" s="63">
        <v>523.10536044362289</v>
      </c>
      <c r="J247" s="132">
        <v>26.74</v>
      </c>
      <c r="K247" s="134">
        <v>1.1375</v>
      </c>
      <c r="M247" s="170"/>
      <c r="R247" s="32"/>
      <c r="T247" s="63"/>
      <c r="U247" s="132"/>
      <c r="V247" s="134"/>
    </row>
    <row r="248" spans="1:22" x14ac:dyDescent="0.25">
      <c r="A248">
        <v>1629535455</v>
      </c>
      <c r="B248" s="37">
        <v>0.6417322834645669</v>
      </c>
      <c r="C248" s="67">
        <v>27139</v>
      </c>
      <c r="D248" s="67">
        <v>27139</v>
      </c>
      <c r="E248" s="32">
        <v>28605</v>
      </c>
      <c r="F248" s="67">
        <v>92</v>
      </c>
      <c r="G248" s="63">
        <v>3.5499999999999545</v>
      </c>
      <c r="H248" s="67">
        <v>64259.722815478242</v>
      </c>
      <c r="I248" s="63">
        <v>698.4752479943287</v>
      </c>
      <c r="J248" s="132">
        <v>26.74</v>
      </c>
      <c r="K248" s="134">
        <v>1.1555</v>
      </c>
      <c r="M248" s="170"/>
      <c r="R248" s="32"/>
      <c r="T248" s="63"/>
      <c r="U248" s="132"/>
      <c r="V248" s="134"/>
    </row>
    <row r="249" spans="1:22" x14ac:dyDescent="0.25">
      <c r="A249">
        <v>1639122328</v>
      </c>
      <c r="B249" s="37">
        <v>0.56047224224945924</v>
      </c>
      <c r="C249" s="67">
        <v>26395</v>
      </c>
      <c r="D249" s="67">
        <v>26395</v>
      </c>
      <c r="E249" s="32">
        <v>28675</v>
      </c>
      <c r="F249" s="67">
        <v>90</v>
      </c>
      <c r="G249" s="63">
        <v>32.6099999999999</v>
      </c>
      <c r="H249" s="67">
        <v>30165</v>
      </c>
      <c r="I249" s="63">
        <v>335.16666666666669</v>
      </c>
      <c r="J249" s="132">
        <v>26.74</v>
      </c>
      <c r="K249" s="134">
        <v>1.0466</v>
      </c>
      <c r="M249" s="170"/>
      <c r="R249" s="32"/>
      <c r="T249" s="63"/>
      <c r="U249" s="132"/>
      <c r="V249" s="134"/>
    </row>
    <row r="250" spans="1:22" x14ac:dyDescent="0.25">
      <c r="A250">
        <v>1639153919</v>
      </c>
      <c r="B250" s="37">
        <v>0.51255504906126859</v>
      </c>
      <c r="C250" s="67">
        <v>19399</v>
      </c>
      <c r="D250" s="67">
        <v>19399</v>
      </c>
      <c r="E250" s="32">
        <v>28358</v>
      </c>
      <c r="F250" s="67">
        <v>62</v>
      </c>
      <c r="G250" s="63">
        <v>6.8099999999999454</v>
      </c>
      <c r="H250" s="67">
        <v>26350</v>
      </c>
      <c r="I250" s="63">
        <v>0</v>
      </c>
      <c r="J250" s="132">
        <v>0</v>
      </c>
      <c r="K250" s="134">
        <v>1.0641</v>
      </c>
      <c r="M250" s="170"/>
      <c r="R250" s="32"/>
      <c r="T250" s="63"/>
      <c r="U250" s="132"/>
      <c r="V250" s="134"/>
    </row>
    <row r="251" spans="1:22" x14ac:dyDescent="0.25">
      <c r="A251">
        <v>1639155302</v>
      </c>
      <c r="B251" s="37">
        <v>0.64059420948916168</v>
      </c>
      <c r="C251" s="67">
        <v>26400</v>
      </c>
      <c r="D251" s="67">
        <v>26400</v>
      </c>
      <c r="E251" s="32">
        <v>28773</v>
      </c>
      <c r="F251" s="67">
        <v>99</v>
      </c>
      <c r="G251" s="63">
        <v>33.059999999999945</v>
      </c>
      <c r="H251" s="67">
        <v>38120</v>
      </c>
      <c r="I251" s="63">
        <v>385.05050505050502</v>
      </c>
      <c r="J251" s="132">
        <v>26.74</v>
      </c>
      <c r="K251" s="134">
        <v>1.3344</v>
      </c>
      <c r="M251" s="170"/>
      <c r="R251" s="32"/>
      <c r="T251" s="63"/>
      <c r="U251" s="132"/>
      <c r="V251" s="134"/>
    </row>
    <row r="252" spans="1:22" x14ac:dyDescent="0.25">
      <c r="A252">
        <v>1639299571</v>
      </c>
      <c r="B252" s="37">
        <v>0.63697809719370302</v>
      </c>
      <c r="C252" s="67">
        <v>31381</v>
      </c>
      <c r="D252" s="67">
        <v>31381</v>
      </c>
      <c r="E252" s="32">
        <v>27893</v>
      </c>
      <c r="F252" s="67">
        <v>99</v>
      </c>
      <c r="G252" s="63">
        <v>19.230000000000018</v>
      </c>
      <c r="H252" s="67">
        <v>39600</v>
      </c>
      <c r="I252" s="63">
        <v>352.31313131313129</v>
      </c>
      <c r="J252" s="132">
        <v>26.74</v>
      </c>
      <c r="K252" s="134">
        <v>1.1640999999999999</v>
      </c>
      <c r="M252" s="170"/>
      <c r="R252" s="32"/>
      <c r="T252" s="63"/>
      <c r="U252" s="132"/>
      <c r="V252" s="134"/>
    </row>
    <row r="253" spans="1:22" x14ac:dyDescent="0.25">
      <c r="A253">
        <v>1639556806</v>
      </c>
      <c r="B253" s="37">
        <v>0.59406319332874302</v>
      </c>
      <c r="C253" s="67">
        <v>35613</v>
      </c>
      <c r="D253" s="67">
        <v>35613</v>
      </c>
      <c r="E253" s="32">
        <v>27612</v>
      </c>
      <c r="F253" s="67">
        <v>134</v>
      </c>
      <c r="G253" s="63">
        <v>10.970000000000027</v>
      </c>
      <c r="H253" s="67">
        <v>53600</v>
      </c>
      <c r="I253" s="63">
        <v>378.1044776119403</v>
      </c>
      <c r="J253" s="132">
        <v>26.74</v>
      </c>
      <c r="K253" s="134">
        <v>0.96399999999999997</v>
      </c>
      <c r="M253" s="170"/>
      <c r="R253" s="32"/>
      <c r="T253" s="63"/>
      <c r="U253" s="132"/>
      <c r="V253" s="134"/>
    </row>
    <row r="254" spans="1:22" x14ac:dyDescent="0.25">
      <c r="A254">
        <v>1639630452</v>
      </c>
      <c r="B254" s="37">
        <v>0.65648441030275639</v>
      </c>
      <c r="C254" s="67">
        <v>19854</v>
      </c>
      <c r="D254" s="67">
        <v>19854</v>
      </c>
      <c r="E254" s="32">
        <v>27917</v>
      </c>
      <c r="F254" s="67">
        <v>100</v>
      </c>
      <c r="G254" s="63">
        <v>1</v>
      </c>
      <c r="H254" s="67">
        <v>42500</v>
      </c>
      <c r="I254" s="63">
        <v>336</v>
      </c>
      <c r="J254" s="132">
        <v>26.74</v>
      </c>
      <c r="K254" s="134">
        <v>1.1032999999999999</v>
      </c>
      <c r="M254" s="170"/>
      <c r="R254" s="32"/>
      <c r="T254" s="63"/>
      <c r="U254" s="132"/>
      <c r="V254" s="134"/>
    </row>
    <row r="255" spans="1:22" x14ac:dyDescent="0.25">
      <c r="A255">
        <v>1649224056</v>
      </c>
      <c r="B255" s="37">
        <v>0.61205817201194257</v>
      </c>
      <c r="C255" s="67">
        <v>36894</v>
      </c>
      <c r="D255" s="67">
        <v>36894</v>
      </c>
      <c r="E255" s="32">
        <v>28365</v>
      </c>
      <c r="F255" s="67">
        <v>150</v>
      </c>
      <c r="G255" s="63">
        <v>33.5</v>
      </c>
      <c r="H255" s="67">
        <v>48750</v>
      </c>
      <c r="I255" s="63">
        <v>289.38</v>
      </c>
      <c r="J255" s="132">
        <v>26.74</v>
      </c>
      <c r="K255" s="134">
        <v>1.0902000000000001</v>
      </c>
      <c r="M255" s="170"/>
      <c r="R255" s="32"/>
      <c r="T255" s="63"/>
      <c r="U255" s="132"/>
      <c r="V255" s="134"/>
    </row>
    <row r="256" spans="1:22" x14ac:dyDescent="0.25">
      <c r="A256">
        <v>1649254582</v>
      </c>
      <c r="B256" s="37">
        <v>0.67677956130767292</v>
      </c>
      <c r="C256" s="67">
        <v>19319</v>
      </c>
      <c r="D256" s="67">
        <v>19319</v>
      </c>
      <c r="E256" s="32">
        <v>28560</v>
      </c>
      <c r="F256" s="67">
        <v>60</v>
      </c>
      <c r="G256" s="63">
        <v>6.7000000000000455</v>
      </c>
      <c r="H256" s="67">
        <v>42000</v>
      </c>
      <c r="I256" s="63">
        <v>748.7714099046126</v>
      </c>
      <c r="J256" s="132">
        <v>26.74</v>
      </c>
      <c r="K256" s="134">
        <v>1.2272000000000001</v>
      </c>
      <c r="M256" s="170"/>
      <c r="R256" s="32"/>
      <c r="T256" s="63"/>
      <c r="U256" s="132"/>
      <c r="V256" s="134"/>
    </row>
    <row r="257" spans="1:22" x14ac:dyDescent="0.25">
      <c r="A257">
        <v>1649268335</v>
      </c>
      <c r="B257" s="37">
        <v>0.64059960267292748</v>
      </c>
      <c r="C257" s="67">
        <v>48667</v>
      </c>
      <c r="D257" s="67">
        <v>48667</v>
      </c>
      <c r="E257" s="32">
        <v>27577</v>
      </c>
      <c r="F257" s="67">
        <v>160</v>
      </c>
      <c r="G257" s="63">
        <v>32.539999999999964</v>
      </c>
      <c r="H257" s="67">
        <v>52000</v>
      </c>
      <c r="I257" s="63">
        <v>321.51249999999999</v>
      </c>
      <c r="J257" s="132">
        <v>8.6399999999999988</v>
      </c>
      <c r="K257" s="134">
        <v>1.1516</v>
      </c>
      <c r="M257" s="170"/>
      <c r="R257" s="32"/>
      <c r="T257" s="63"/>
      <c r="U257" s="132"/>
      <c r="V257" s="134"/>
    </row>
    <row r="258" spans="1:22" x14ac:dyDescent="0.25">
      <c r="A258">
        <v>1649590498</v>
      </c>
      <c r="B258" s="37">
        <v>0.55533540900084921</v>
      </c>
      <c r="C258" s="67">
        <v>0</v>
      </c>
      <c r="D258" s="67">
        <v>0</v>
      </c>
      <c r="E258" s="32">
        <v>28557</v>
      </c>
      <c r="F258" s="67">
        <v>122</v>
      </c>
      <c r="G258" s="63">
        <v>30.970000000000027</v>
      </c>
      <c r="H258" s="67">
        <v>39650</v>
      </c>
      <c r="I258" s="63">
        <v>0</v>
      </c>
      <c r="J258" s="132">
        <v>26.74</v>
      </c>
      <c r="K258" s="134">
        <v>1.179314330001999</v>
      </c>
      <c r="M258" s="170"/>
      <c r="R258" s="32"/>
      <c r="T258" s="63"/>
      <c r="U258" s="132"/>
      <c r="V258" s="134"/>
    </row>
    <row r="259" spans="1:22" x14ac:dyDescent="0.25">
      <c r="A259">
        <v>1649685132</v>
      </c>
      <c r="B259" s="37">
        <v>0.5909513480012395</v>
      </c>
      <c r="C259" s="67">
        <v>32767</v>
      </c>
      <c r="D259" s="67">
        <v>32767</v>
      </c>
      <c r="E259" s="32">
        <v>27870</v>
      </c>
      <c r="F259" s="67">
        <v>108</v>
      </c>
      <c r="G259" s="63">
        <v>4.2400000000000091</v>
      </c>
      <c r="H259" s="67">
        <v>45900</v>
      </c>
      <c r="I259" s="63">
        <v>307.15740740740739</v>
      </c>
      <c r="J259" s="132">
        <v>26.74</v>
      </c>
      <c r="K259" s="134">
        <v>1.1238999999999999</v>
      </c>
      <c r="M259" s="170"/>
      <c r="R259" s="32"/>
      <c r="T259" s="63"/>
      <c r="U259" s="132"/>
      <c r="V259" s="134"/>
    </row>
    <row r="260" spans="1:22" x14ac:dyDescent="0.25">
      <c r="A260">
        <v>1659307395</v>
      </c>
      <c r="B260" s="37">
        <v>0.57831120190670748</v>
      </c>
      <c r="C260" s="67">
        <v>32467</v>
      </c>
      <c r="D260" s="67">
        <v>32467</v>
      </c>
      <c r="E260" s="32">
        <v>28564</v>
      </c>
      <c r="F260" s="67">
        <v>105</v>
      </c>
      <c r="G260" s="63">
        <v>23.200000000000045</v>
      </c>
      <c r="H260" s="67">
        <v>39375</v>
      </c>
      <c r="I260" s="63">
        <v>334.90848383874612</v>
      </c>
      <c r="J260" s="132">
        <v>26.74</v>
      </c>
      <c r="K260" s="134">
        <v>1.1515</v>
      </c>
      <c r="M260" s="170"/>
      <c r="R260" s="32"/>
      <c r="T260" s="63"/>
      <c r="U260" s="132"/>
      <c r="V260" s="134"/>
    </row>
    <row r="261" spans="1:22" x14ac:dyDescent="0.25">
      <c r="A261">
        <v>1659319366</v>
      </c>
      <c r="B261" s="37">
        <v>0.66211470932500971</v>
      </c>
      <c r="C261" s="67">
        <v>28654</v>
      </c>
      <c r="D261" s="67">
        <v>28654</v>
      </c>
      <c r="E261" s="32">
        <v>27052</v>
      </c>
      <c r="F261" s="67">
        <v>90</v>
      </c>
      <c r="G261" s="63">
        <v>33.5</v>
      </c>
      <c r="H261" s="67">
        <v>29250</v>
      </c>
      <c r="I261" s="63">
        <v>295.21417831349061</v>
      </c>
      <c r="J261" s="132">
        <v>26.74</v>
      </c>
      <c r="K261" s="134">
        <v>1.2688999999999999</v>
      </c>
      <c r="M261" s="170"/>
      <c r="R261" s="32"/>
      <c r="T261" s="63"/>
      <c r="U261" s="132"/>
      <c r="V261" s="134"/>
    </row>
    <row r="262" spans="1:22" x14ac:dyDescent="0.25">
      <c r="A262">
        <v>1659849701</v>
      </c>
      <c r="B262" s="37">
        <v>0.70790071382219333</v>
      </c>
      <c r="C262" s="67">
        <v>22938</v>
      </c>
      <c r="D262" s="67">
        <v>22938</v>
      </c>
      <c r="E262" s="32">
        <v>28115</v>
      </c>
      <c r="F262" s="67">
        <v>131</v>
      </c>
      <c r="G262" s="63">
        <v>19.660000000000082</v>
      </c>
      <c r="H262" s="67">
        <v>52400</v>
      </c>
      <c r="I262" s="63">
        <v>359.8854961832061</v>
      </c>
      <c r="J262" s="132">
        <v>26.74</v>
      </c>
      <c r="K262" s="134">
        <v>1.1861999999999999</v>
      </c>
      <c r="M262" s="170"/>
      <c r="R262" s="32"/>
      <c r="T262" s="63"/>
      <c r="U262" s="132"/>
      <c r="V262" s="134"/>
    </row>
    <row r="263" spans="1:22" x14ac:dyDescent="0.25">
      <c r="A263">
        <v>1669023685</v>
      </c>
      <c r="B263" s="37">
        <v>0.71206865072119774</v>
      </c>
      <c r="C263" s="67">
        <v>38306</v>
      </c>
      <c r="D263" s="67">
        <v>30611.344978165936</v>
      </c>
      <c r="E263" s="32">
        <v>28270</v>
      </c>
      <c r="F263" s="67">
        <v>124</v>
      </c>
      <c r="G263" s="63">
        <v>2</v>
      </c>
      <c r="H263" s="67">
        <v>52700</v>
      </c>
      <c r="I263" s="63">
        <v>0</v>
      </c>
      <c r="J263" s="132">
        <v>26.74</v>
      </c>
      <c r="K263" s="134">
        <v>1.0376000000000001</v>
      </c>
      <c r="M263" s="170"/>
      <c r="R263" s="32"/>
      <c r="T263" s="63"/>
      <c r="U263" s="132"/>
      <c r="V263" s="134"/>
    </row>
    <row r="264" spans="1:22" x14ac:dyDescent="0.25">
      <c r="A264">
        <v>1669083291</v>
      </c>
      <c r="B264" s="37">
        <v>0.59077834179357014</v>
      </c>
      <c r="C264" s="67">
        <v>39126</v>
      </c>
      <c r="D264" s="67">
        <v>39126</v>
      </c>
      <c r="E264" s="32">
        <v>27892</v>
      </c>
      <c r="F264" s="67">
        <v>154</v>
      </c>
      <c r="G264" s="63">
        <v>33.5</v>
      </c>
      <c r="H264" s="67">
        <v>50050</v>
      </c>
      <c r="I264" s="63">
        <v>302.65584415584414</v>
      </c>
      <c r="J264" s="132">
        <v>26.74</v>
      </c>
      <c r="K264" s="134">
        <v>1.0771999999999999</v>
      </c>
      <c r="M264" s="170"/>
      <c r="R264" s="32"/>
      <c r="T264" s="63"/>
      <c r="U264" s="132"/>
      <c r="V264" s="134"/>
    </row>
    <row r="265" spans="1:22" x14ac:dyDescent="0.25">
      <c r="A265">
        <v>1669408969</v>
      </c>
      <c r="B265" s="37">
        <v>0.6099436186570989</v>
      </c>
      <c r="C265" s="67">
        <v>56651</v>
      </c>
      <c r="D265" s="67">
        <v>56651</v>
      </c>
      <c r="E265" s="32">
        <v>28256</v>
      </c>
      <c r="F265" s="67">
        <v>207</v>
      </c>
      <c r="G265" s="63">
        <v>13.509999999999991</v>
      </c>
      <c r="H265" s="67">
        <v>82800</v>
      </c>
      <c r="I265" s="63">
        <v>313.09216589861751</v>
      </c>
      <c r="J265" s="132">
        <v>8.6399999999999988</v>
      </c>
      <c r="K265" s="134">
        <v>1.0992999999999999</v>
      </c>
      <c r="M265" s="170"/>
      <c r="R265" s="32"/>
      <c r="T265" s="63"/>
      <c r="U265" s="132"/>
      <c r="V265" s="134"/>
    </row>
    <row r="266" spans="1:22" x14ac:dyDescent="0.25">
      <c r="A266">
        <v>1669410312</v>
      </c>
      <c r="B266" s="37">
        <v>0.65587441746382147</v>
      </c>
      <c r="C266" s="67">
        <v>30717</v>
      </c>
      <c r="D266" s="67">
        <v>30717</v>
      </c>
      <c r="E266" s="32">
        <v>28083</v>
      </c>
      <c r="F266" s="67">
        <v>107</v>
      </c>
      <c r="G266" s="63">
        <v>24.730000000000018</v>
      </c>
      <c r="H266" s="67">
        <v>40276</v>
      </c>
      <c r="I266" s="63">
        <v>376.41121495327104</v>
      </c>
      <c r="J266" s="132">
        <v>26.74</v>
      </c>
      <c r="K266" s="134">
        <v>1.1842999999999999</v>
      </c>
      <c r="M266" s="170"/>
      <c r="R266" s="32"/>
      <c r="T266" s="63"/>
      <c r="U266" s="132"/>
      <c r="V266" s="134"/>
    </row>
    <row r="267" spans="1:22" x14ac:dyDescent="0.25">
      <c r="A267">
        <v>1669425401</v>
      </c>
      <c r="B267" s="37">
        <v>0.62065068216678776</v>
      </c>
      <c r="C267" s="67">
        <v>30597</v>
      </c>
      <c r="D267" s="67">
        <v>30597</v>
      </c>
      <c r="E267" s="32">
        <v>27504</v>
      </c>
      <c r="F267" s="67">
        <v>100</v>
      </c>
      <c r="G267" s="63">
        <v>18.730000000000018</v>
      </c>
      <c r="H267" s="67">
        <v>56575.626634079803</v>
      </c>
      <c r="I267" s="63">
        <v>565.75626634079799</v>
      </c>
      <c r="J267" s="132">
        <v>26.74</v>
      </c>
      <c r="K267" s="134">
        <v>1.0629999999999999</v>
      </c>
      <c r="M267" s="170"/>
      <c r="R267" s="32"/>
      <c r="T267" s="63"/>
      <c r="U267" s="132"/>
      <c r="V267" s="134"/>
    </row>
    <row r="268" spans="1:22" x14ac:dyDescent="0.25">
      <c r="A268">
        <v>1669449799</v>
      </c>
      <c r="B268" s="37">
        <v>0.65694229778464708</v>
      </c>
      <c r="C268" s="67">
        <v>33662</v>
      </c>
      <c r="D268" s="67">
        <v>33662</v>
      </c>
      <c r="E268" s="32">
        <v>27215</v>
      </c>
      <c r="F268" s="67">
        <v>104</v>
      </c>
      <c r="G268" s="63">
        <v>1</v>
      </c>
      <c r="H268" s="67">
        <v>72800</v>
      </c>
      <c r="I268" s="63">
        <v>1259.6153846153845</v>
      </c>
      <c r="J268" s="132">
        <v>0</v>
      </c>
      <c r="K268" s="134">
        <v>0.93200000000000005</v>
      </c>
      <c r="M268" s="170"/>
      <c r="R268" s="32"/>
      <c r="T268" s="63"/>
      <c r="U268" s="132"/>
      <c r="V268" s="134"/>
    </row>
    <row r="269" spans="1:22" x14ac:dyDescent="0.25">
      <c r="A269">
        <v>1669613071</v>
      </c>
      <c r="B269" s="37">
        <v>0.65</v>
      </c>
      <c r="C269" s="67">
        <v>35052</v>
      </c>
      <c r="D269" s="67">
        <v>35052</v>
      </c>
      <c r="E269" s="32">
        <v>27282</v>
      </c>
      <c r="F269" s="67">
        <v>150</v>
      </c>
      <c r="G269" s="63">
        <v>12</v>
      </c>
      <c r="H269" s="67">
        <v>60000</v>
      </c>
      <c r="I269" s="63">
        <v>0</v>
      </c>
      <c r="J269" s="132">
        <v>26.74</v>
      </c>
      <c r="K269" s="134">
        <v>1.2555000000000001</v>
      </c>
      <c r="M269" s="170"/>
      <c r="R269" s="32"/>
      <c r="T269" s="63"/>
      <c r="U269" s="132"/>
      <c r="V269" s="134"/>
    </row>
    <row r="270" spans="1:22" x14ac:dyDescent="0.25">
      <c r="A270">
        <v>1669821336</v>
      </c>
      <c r="B270" s="37">
        <v>0.68462464873544759</v>
      </c>
      <c r="C270" s="67">
        <v>55356</v>
      </c>
      <c r="D270" s="67">
        <v>55356</v>
      </c>
      <c r="E270" s="32">
        <v>27704</v>
      </c>
      <c r="F270" s="67">
        <v>232</v>
      </c>
      <c r="G270" s="63">
        <v>24.700000000000045</v>
      </c>
      <c r="H270" s="67">
        <v>87000</v>
      </c>
      <c r="I270" s="63">
        <v>0</v>
      </c>
      <c r="J270" s="132">
        <v>8.6399999999999988</v>
      </c>
      <c r="K270" s="134">
        <v>1.1734</v>
      </c>
      <c r="M270" s="170"/>
      <c r="R270" s="32"/>
      <c r="T270" s="63"/>
      <c r="U270" s="132"/>
      <c r="V270" s="134"/>
    </row>
    <row r="271" spans="1:22" x14ac:dyDescent="0.25">
      <c r="A271">
        <v>1669991865</v>
      </c>
      <c r="B271" s="37">
        <v>0.65375406191209173</v>
      </c>
      <c r="C271" s="67">
        <v>28905</v>
      </c>
      <c r="D271" s="67">
        <v>28905</v>
      </c>
      <c r="E271" s="32">
        <v>27012</v>
      </c>
      <c r="F271" s="67">
        <v>120</v>
      </c>
      <c r="G271" s="63">
        <v>33.5</v>
      </c>
      <c r="H271" s="67">
        <v>49074.893617021276</v>
      </c>
      <c r="I271" s="63">
        <v>408.95744680851061</v>
      </c>
      <c r="J271" s="132">
        <v>26.74</v>
      </c>
      <c r="K271" s="134">
        <v>1.1074999999999999</v>
      </c>
      <c r="M271" s="170"/>
      <c r="R271" s="32"/>
      <c r="T271" s="63"/>
      <c r="U271" s="132"/>
      <c r="V271" s="134"/>
    </row>
    <row r="272" spans="1:22" x14ac:dyDescent="0.25">
      <c r="A272">
        <v>1679555403</v>
      </c>
      <c r="B272" s="37">
        <v>0.68091956619972893</v>
      </c>
      <c r="C272" s="67">
        <v>25992</v>
      </c>
      <c r="D272" s="67">
        <v>25992</v>
      </c>
      <c r="E272" s="32">
        <v>28803</v>
      </c>
      <c r="F272" s="67">
        <v>70</v>
      </c>
      <c r="G272" s="63">
        <v>1.5099999999999909</v>
      </c>
      <c r="H272" s="67">
        <v>45943.370541791446</v>
      </c>
      <c r="I272" s="63">
        <v>656.33386488273493</v>
      </c>
      <c r="J272" s="132">
        <v>0</v>
      </c>
      <c r="K272" s="134">
        <v>0.94350000000000001</v>
      </c>
      <c r="M272" s="170"/>
      <c r="R272" s="32"/>
      <c r="T272" s="63"/>
      <c r="U272" s="132"/>
      <c r="V272" s="134"/>
    </row>
    <row r="273" spans="1:22" x14ac:dyDescent="0.25">
      <c r="A273">
        <v>1689147035</v>
      </c>
      <c r="B273" s="37">
        <v>0.65725574121326857</v>
      </c>
      <c r="C273" s="67">
        <v>27754</v>
      </c>
      <c r="D273" s="67">
        <v>27754</v>
      </c>
      <c r="E273" s="32">
        <v>27401</v>
      </c>
      <c r="F273" s="67">
        <v>105</v>
      </c>
      <c r="G273" s="63">
        <v>29.430000000000064</v>
      </c>
      <c r="H273" s="67">
        <v>36750</v>
      </c>
      <c r="I273" s="63">
        <v>255.09790476190474</v>
      </c>
      <c r="J273" s="132">
        <v>26.74</v>
      </c>
      <c r="K273" s="134">
        <v>1.0818000000000001</v>
      </c>
      <c r="M273" s="170"/>
      <c r="R273" s="32"/>
      <c r="T273" s="63"/>
      <c r="U273" s="132"/>
      <c r="V273" s="134"/>
    </row>
    <row r="274" spans="1:22" x14ac:dyDescent="0.25">
      <c r="A274">
        <v>1689603060</v>
      </c>
      <c r="B274" s="37">
        <v>0.66518987341772151</v>
      </c>
      <c r="C274" s="67">
        <v>30252</v>
      </c>
      <c r="D274" s="67">
        <v>30252</v>
      </c>
      <c r="E274" s="32">
        <v>28345</v>
      </c>
      <c r="F274" s="67">
        <v>105</v>
      </c>
      <c r="G274" s="63">
        <v>22.660000000000082</v>
      </c>
      <c r="H274" s="67">
        <v>39375</v>
      </c>
      <c r="I274" s="63">
        <v>333.19895839316831</v>
      </c>
      <c r="J274" s="132">
        <v>26.74</v>
      </c>
      <c r="K274" s="134">
        <v>1.2374000000000001</v>
      </c>
      <c r="M274" s="170"/>
      <c r="R274" s="32"/>
      <c r="T274" s="63"/>
      <c r="U274" s="132"/>
      <c r="V274" s="134"/>
    </row>
    <row r="275" spans="1:22" x14ac:dyDescent="0.25">
      <c r="A275">
        <v>1689621880</v>
      </c>
      <c r="B275" s="37">
        <v>0.67562380038387715</v>
      </c>
      <c r="C275" s="67">
        <v>32867</v>
      </c>
      <c r="D275" s="67">
        <v>32867</v>
      </c>
      <c r="E275" s="32">
        <v>28213</v>
      </c>
      <c r="F275" s="67">
        <v>120</v>
      </c>
      <c r="G275" s="63">
        <v>24.230000000000018</v>
      </c>
      <c r="H275" s="67">
        <v>45000</v>
      </c>
      <c r="I275" s="63">
        <v>321.3</v>
      </c>
      <c r="J275" s="132">
        <v>26.74</v>
      </c>
      <c r="K275" s="134">
        <v>1.1157999999999999</v>
      </c>
      <c r="M275" s="170"/>
      <c r="R275" s="32"/>
      <c r="T275" s="63"/>
      <c r="U275" s="132"/>
      <c r="V275" s="134"/>
    </row>
    <row r="276" spans="1:22" x14ac:dyDescent="0.25">
      <c r="A276">
        <v>1689628141</v>
      </c>
      <c r="B276" s="37">
        <v>0.63938856515497</v>
      </c>
      <c r="C276" s="67">
        <v>807</v>
      </c>
      <c r="D276" s="67">
        <v>807</v>
      </c>
      <c r="E276" s="32">
        <v>28472</v>
      </c>
      <c r="F276" s="67">
        <v>89</v>
      </c>
      <c r="G276" s="63">
        <v>11.039999999999964</v>
      </c>
      <c r="H276" s="67">
        <v>35600</v>
      </c>
      <c r="I276" s="63">
        <v>309.73015070025031</v>
      </c>
      <c r="J276" s="132">
        <v>26.74</v>
      </c>
      <c r="K276" s="134">
        <v>1.1968000000000001</v>
      </c>
      <c r="M276" s="170"/>
      <c r="R276" s="32"/>
      <c r="T276" s="63"/>
      <c r="U276" s="132"/>
      <c r="V276" s="134"/>
    </row>
    <row r="277" spans="1:22" x14ac:dyDescent="0.25">
      <c r="A277">
        <v>1689640583</v>
      </c>
      <c r="B277" s="37">
        <v>0.62985595809690087</v>
      </c>
      <c r="C277" s="67">
        <v>24126</v>
      </c>
      <c r="D277" s="67">
        <v>24126</v>
      </c>
      <c r="E277" s="32">
        <v>28681</v>
      </c>
      <c r="F277" s="67">
        <v>144</v>
      </c>
      <c r="G277" s="63">
        <v>26.829999999999927</v>
      </c>
      <c r="H277" s="67">
        <v>54609.836065573771</v>
      </c>
      <c r="I277" s="63">
        <v>379.23497267759564</v>
      </c>
      <c r="J277" s="132">
        <v>26.74</v>
      </c>
      <c r="K277" s="134">
        <v>1.3571</v>
      </c>
      <c r="M277" s="170"/>
      <c r="R277" s="32"/>
      <c r="T277" s="63"/>
      <c r="U277" s="132"/>
      <c r="V277" s="134"/>
    </row>
    <row r="278" spans="1:22" x14ac:dyDescent="0.25">
      <c r="A278">
        <v>1689777971</v>
      </c>
      <c r="B278" s="37">
        <v>0.56386922817660945</v>
      </c>
      <c r="C278" s="67">
        <v>23002</v>
      </c>
      <c r="D278" s="67">
        <v>23002</v>
      </c>
      <c r="E278" s="32">
        <v>28349</v>
      </c>
      <c r="F278" s="67">
        <v>92</v>
      </c>
      <c r="G278" s="63">
        <v>32.380000000000109</v>
      </c>
      <c r="H278" s="67">
        <v>29900</v>
      </c>
      <c r="I278" s="63">
        <v>277.17391304347825</v>
      </c>
      <c r="J278" s="132">
        <v>26.74</v>
      </c>
      <c r="K278" s="134">
        <v>1.3514999999999999</v>
      </c>
      <c r="M278" s="170"/>
      <c r="R278" s="32"/>
      <c r="T278" s="63"/>
      <c r="U278" s="132"/>
      <c r="V278" s="134"/>
    </row>
    <row r="279" spans="1:22" x14ac:dyDescent="0.25">
      <c r="A279">
        <v>1699310839</v>
      </c>
      <c r="B279" s="37">
        <v>0.68137806800270206</v>
      </c>
      <c r="C279" s="67">
        <v>25946</v>
      </c>
      <c r="D279" s="67">
        <v>23919.989924433248</v>
      </c>
      <c r="E279" s="32">
        <v>28139</v>
      </c>
      <c r="F279" s="67">
        <v>80</v>
      </c>
      <c r="G279" s="63">
        <v>15.6099999999999</v>
      </c>
      <c r="H279" s="67">
        <v>33469</v>
      </c>
      <c r="I279" s="63">
        <v>418.36250000000001</v>
      </c>
      <c r="J279" s="132">
        <v>26.74</v>
      </c>
      <c r="K279" s="134">
        <v>1.1529</v>
      </c>
      <c r="M279" s="170"/>
      <c r="R279" s="32"/>
      <c r="T279" s="63"/>
      <c r="U279" s="132"/>
      <c r="V279" s="134"/>
    </row>
    <row r="280" spans="1:22" x14ac:dyDescent="0.25">
      <c r="A280">
        <v>1699313544</v>
      </c>
      <c r="B280" s="37">
        <v>0.65053975258056895</v>
      </c>
      <c r="C280" s="67">
        <v>37968</v>
      </c>
      <c r="D280" s="67">
        <v>37968</v>
      </c>
      <c r="E280" s="32">
        <v>28115</v>
      </c>
      <c r="F280" s="67">
        <v>130</v>
      </c>
      <c r="G280" s="63">
        <v>11.230000000000018</v>
      </c>
      <c r="H280" s="67">
        <v>52000</v>
      </c>
      <c r="I280" s="63">
        <v>190.91939476726961</v>
      </c>
      <c r="J280" s="132">
        <v>26.74</v>
      </c>
      <c r="K280" s="134">
        <v>1.0370999999999999</v>
      </c>
      <c r="M280" s="170"/>
      <c r="R280" s="32"/>
      <c r="T280" s="63"/>
      <c r="U280" s="132"/>
      <c r="V280" s="134"/>
    </row>
    <row r="281" spans="1:22" x14ac:dyDescent="0.25">
      <c r="A281">
        <v>1699336776</v>
      </c>
      <c r="B281" s="37">
        <v>0.59826346746335546</v>
      </c>
      <c r="C281" s="67">
        <v>13207</v>
      </c>
      <c r="D281" s="67">
        <v>13207</v>
      </c>
      <c r="E281" s="32">
        <v>28056</v>
      </c>
      <c r="F281" s="67">
        <v>50</v>
      </c>
      <c r="G281" s="63">
        <v>33.5</v>
      </c>
      <c r="H281" s="67">
        <v>16250</v>
      </c>
      <c r="I281" s="63">
        <v>0</v>
      </c>
      <c r="J281" s="132">
        <v>26.74</v>
      </c>
      <c r="K281" s="134">
        <v>1.1173</v>
      </c>
      <c r="M281" s="170"/>
      <c r="R281" s="32"/>
      <c r="T281" s="63"/>
      <c r="U281" s="132"/>
      <c r="V281" s="134"/>
    </row>
    <row r="282" spans="1:22" x14ac:dyDescent="0.25">
      <c r="A282">
        <v>1699710293</v>
      </c>
      <c r="B282" s="37">
        <v>0.52830844043070513</v>
      </c>
      <c r="C282" s="67">
        <v>21142</v>
      </c>
      <c r="D282" s="67">
        <v>21142</v>
      </c>
      <c r="E282" s="32">
        <v>28532</v>
      </c>
      <c r="F282" s="67">
        <v>70</v>
      </c>
      <c r="G282" s="63">
        <v>13.190000000000055</v>
      </c>
      <c r="H282" s="67">
        <v>32602</v>
      </c>
      <c r="I282" s="63">
        <v>465.74285714285713</v>
      </c>
      <c r="J282" s="132">
        <v>26.74</v>
      </c>
      <c r="K282" s="134">
        <v>1.1680999999999999</v>
      </c>
      <c r="M282" s="170"/>
      <c r="R282" s="32"/>
      <c r="T282" s="63"/>
      <c r="U282" s="132"/>
      <c r="V282" s="134"/>
    </row>
    <row r="283" spans="1:22" x14ac:dyDescent="0.25">
      <c r="A283">
        <v>1699886085</v>
      </c>
      <c r="B283" s="37">
        <v>0.69083293056226835</v>
      </c>
      <c r="C283" s="67">
        <v>32187</v>
      </c>
      <c r="D283" s="67">
        <v>32187</v>
      </c>
      <c r="E283" s="32">
        <v>28303</v>
      </c>
      <c r="F283" s="67">
        <v>106</v>
      </c>
      <c r="G283" s="63">
        <v>18.980000000000018</v>
      </c>
      <c r="H283" s="67">
        <v>62214.991169641842</v>
      </c>
      <c r="I283" s="63">
        <v>586.93387895888532</v>
      </c>
      <c r="J283" s="132">
        <v>26.74</v>
      </c>
      <c r="K283" s="134">
        <v>1.2190000000000001</v>
      </c>
      <c r="M283" s="170"/>
      <c r="R283" s="32"/>
      <c r="T283" s="63"/>
      <c r="U283" s="132"/>
      <c r="V283" s="134"/>
    </row>
    <row r="284" spans="1:22" x14ac:dyDescent="0.25">
      <c r="A284">
        <v>1700812146</v>
      </c>
      <c r="B284" s="37">
        <v>0.61473906911142451</v>
      </c>
      <c r="C284" s="67">
        <v>30703</v>
      </c>
      <c r="D284" s="67">
        <v>30703</v>
      </c>
      <c r="E284" s="32">
        <v>27893</v>
      </c>
      <c r="F284" s="67">
        <v>95</v>
      </c>
      <c r="G284" s="63">
        <v>15.069999999999936</v>
      </c>
      <c r="H284" s="67">
        <v>38000</v>
      </c>
      <c r="I284" s="63">
        <v>343.92228830492724</v>
      </c>
      <c r="J284" s="132">
        <v>26.74</v>
      </c>
      <c r="K284" s="134">
        <v>1.2452000000000001</v>
      </c>
      <c r="M284" s="170"/>
      <c r="R284" s="32"/>
      <c r="T284" s="63"/>
      <c r="U284" s="132"/>
      <c r="V284" s="134"/>
    </row>
    <row r="285" spans="1:22" x14ac:dyDescent="0.25">
      <c r="A285">
        <v>1700821865</v>
      </c>
      <c r="B285" s="37">
        <v>0.6609371126353194</v>
      </c>
      <c r="C285" s="67">
        <v>19168</v>
      </c>
      <c r="D285" s="67">
        <v>19168</v>
      </c>
      <c r="E285" s="32">
        <v>27263</v>
      </c>
      <c r="F285" s="67">
        <v>68</v>
      </c>
      <c r="G285" s="63">
        <v>20.589999999999918</v>
      </c>
      <c r="H285" s="67">
        <v>26352</v>
      </c>
      <c r="I285" s="63">
        <v>387.52941176470586</v>
      </c>
      <c r="J285" s="132">
        <v>26.74</v>
      </c>
      <c r="K285" s="134">
        <v>1.2192000000000001</v>
      </c>
      <c r="M285" s="170"/>
      <c r="R285" s="32"/>
      <c r="T285" s="63"/>
      <c r="U285" s="132"/>
      <c r="V285" s="134"/>
    </row>
    <row r="286" spans="1:22" x14ac:dyDescent="0.25">
      <c r="A286">
        <v>1700833233</v>
      </c>
      <c r="B286" s="37">
        <v>0.52217022289204407</v>
      </c>
      <c r="C286" s="67">
        <v>23703</v>
      </c>
      <c r="D286" s="67">
        <v>23703</v>
      </c>
      <c r="E286" s="32">
        <v>28075</v>
      </c>
      <c r="F286" s="67">
        <v>70</v>
      </c>
      <c r="G286" s="63">
        <v>5.0499999999999545</v>
      </c>
      <c r="H286" s="67">
        <v>32224</v>
      </c>
      <c r="I286" s="63">
        <v>460.34285714285716</v>
      </c>
      <c r="J286" s="132">
        <v>26.74</v>
      </c>
      <c r="K286" s="134">
        <v>1.1909000000000001</v>
      </c>
      <c r="M286" s="170"/>
      <c r="R286" s="32"/>
      <c r="T286" s="63"/>
      <c r="U286" s="132"/>
      <c r="V286" s="134"/>
    </row>
    <row r="287" spans="1:22" x14ac:dyDescent="0.25">
      <c r="A287">
        <v>1700874880</v>
      </c>
      <c r="B287" s="37">
        <v>0.65005129958960328</v>
      </c>
      <c r="C287" s="67">
        <v>14896</v>
      </c>
      <c r="D287" s="67">
        <v>14896</v>
      </c>
      <c r="E287" s="32">
        <v>28806</v>
      </c>
      <c r="F287" s="67">
        <v>100</v>
      </c>
      <c r="G287" s="63">
        <v>5.3499999999999091</v>
      </c>
      <c r="H287" s="67">
        <v>42500</v>
      </c>
      <c r="I287" s="63">
        <v>0</v>
      </c>
      <c r="J287" s="132">
        <v>26.74</v>
      </c>
      <c r="K287" s="134">
        <v>1.1194</v>
      </c>
      <c r="M287" s="170"/>
      <c r="R287" s="32"/>
      <c r="T287" s="63"/>
      <c r="U287" s="132"/>
      <c r="V287" s="134"/>
    </row>
    <row r="288" spans="1:22" x14ac:dyDescent="0.25">
      <c r="A288">
        <v>1710008669</v>
      </c>
      <c r="B288" s="37">
        <v>0.65658362989323849</v>
      </c>
      <c r="C288" s="67">
        <v>34952</v>
      </c>
      <c r="D288" s="67">
        <v>34952</v>
      </c>
      <c r="E288" s="32">
        <v>28777</v>
      </c>
      <c r="F288" s="67">
        <v>127</v>
      </c>
      <c r="G288" s="63">
        <v>30.950000000000045</v>
      </c>
      <c r="H288" s="67">
        <v>41275</v>
      </c>
      <c r="I288" s="63">
        <v>284.08661417322833</v>
      </c>
      <c r="J288" s="132">
        <v>26.74</v>
      </c>
      <c r="K288" s="134">
        <v>1.1666000000000001</v>
      </c>
      <c r="M288" s="170"/>
      <c r="R288" s="32"/>
      <c r="T288" s="63"/>
      <c r="U288" s="132"/>
      <c r="V288" s="134"/>
    </row>
    <row r="289" spans="1:22" x14ac:dyDescent="0.25">
      <c r="A289">
        <v>1710244827</v>
      </c>
      <c r="B289" s="37">
        <v>0.71873120865904983</v>
      </c>
      <c r="C289" s="67">
        <v>34458</v>
      </c>
      <c r="D289" s="67">
        <v>34458</v>
      </c>
      <c r="E289" s="32">
        <v>27284</v>
      </c>
      <c r="F289" s="67">
        <v>200</v>
      </c>
      <c r="G289" s="63">
        <v>3.9200000000000728</v>
      </c>
      <c r="H289" s="67">
        <v>132646.53333333333</v>
      </c>
      <c r="I289" s="63">
        <v>663.23266666666666</v>
      </c>
      <c r="J289" s="132">
        <v>26.74</v>
      </c>
      <c r="K289" s="134">
        <v>1.2659</v>
      </c>
      <c r="M289" s="170"/>
      <c r="R289" s="32"/>
      <c r="T289" s="63"/>
      <c r="U289" s="132"/>
      <c r="V289" s="134"/>
    </row>
    <row r="290" spans="1:22" x14ac:dyDescent="0.25">
      <c r="A290">
        <v>1710312079</v>
      </c>
      <c r="B290" s="37">
        <v>0.65</v>
      </c>
      <c r="C290" s="67">
        <v>34368</v>
      </c>
      <c r="D290" s="67">
        <v>34368</v>
      </c>
      <c r="E290" s="32">
        <v>28227</v>
      </c>
      <c r="F290" s="67">
        <v>120</v>
      </c>
      <c r="G290" s="63">
        <v>8.5</v>
      </c>
      <c r="H290" s="67">
        <v>66812</v>
      </c>
      <c r="I290" s="63">
        <v>556.76666666666665</v>
      </c>
      <c r="J290" s="132">
        <v>26.74</v>
      </c>
      <c r="K290" s="134">
        <v>1.2786999999999999</v>
      </c>
      <c r="M290" s="170"/>
      <c r="R290" s="32"/>
      <c r="T290" s="63"/>
      <c r="U290" s="132"/>
      <c r="V290" s="134"/>
    </row>
    <row r="291" spans="1:22" x14ac:dyDescent="0.25">
      <c r="A291">
        <v>1710537998</v>
      </c>
      <c r="B291" s="37">
        <v>0.71403903903903909</v>
      </c>
      <c r="C291" s="67">
        <v>34583</v>
      </c>
      <c r="D291" s="67">
        <v>34583</v>
      </c>
      <c r="E291" s="32">
        <v>28150</v>
      </c>
      <c r="F291" s="67">
        <v>120</v>
      </c>
      <c r="G291" s="63">
        <v>2</v>
      </c>
      <c r="H291" s="67">
        <v>51000</v>
      </c>
      <c r="I291" s="63">
        <v>0</v>
      </c>
      <c r="J291" s="132">
        <v>26.74</v>
      </c>
      <c r="K291" s="134">
        <v>1.0238</v>
      </c>
      <c r="M291" s="170"/>
      <c r="R291" s="32"/>
      <c r="T291" s="63"/>
      <c r="U291" s="132"/>
      <c r="V291" s="134"/>
    </row>
    <row r="292" spans="1:22" x14ac:dyDescent="0.25">
      <c r="A292">
        <v>1710932355</v>
      </c>
      <c r="B292" s="37">
        <v>0.65145205775782811</v>
      </c>
      <c r="C292" s="67">
        <v>8136</v>
      </c>
      <c r="D292" s="67">
        <v>8136</v>
      </c>
      <c r="E292" s="32">
        <v>27886</v>
      </c>
      <c r="F292" s="67">
        <v>30</v>
      </c>
      <c r="G292" s="63">
        <v>2</v>
      </c>
      <c r="H292" s="67">
        <v>12750</v>
      </c>
      <c r="I292" s="63">
        <v>0</v>
      </c>
      <c r="J292" s="132">
        <v>26.74</v>
      </c>
      <c r="K292" s="134">
        <v>0.95320000000000005</v>
      </c>
      <c r="M292" s="170"/>
      <c r="R292" s="32"/>
      <c r="T292" s="63"/>
      <c r="U292" s="132"/>
      <c r="V292" s="134"/>
    </row>
    <row r="293" spans="1:22" x14ac:dyDescent="0.25">
      <c r="A293">
        <v>1720033475</v>
      </c>
      <c r="B293" s="37">
        <v>0.68405478525532626</v>
      </c>
      <c r="C293" s="67">
        <v>36774</v>
      </c>
      <c r="D293" s="67">
        <v>36774</v>
      </c>
      <c r="E293" s="32">
        <v>28329</v>
      </c>
      <c r="F293" s="67">
        <v>212</v>
      </c>
      <c r="G293" s="63">
        <v>33.5</v>
      </c>
      <c r="H293" s="67">
        <v>68900</v>
      </c>
      <c r="I293" s="63">
        <v>301.06690865202421</v>
      </c>
      <c r="J293" s="132">
        <v>26.74</v>
      </c>
      <c r="K293" s="134">
        <v>1.2101999999999999</v>
      </c>
      <c r="M293" s="170"/>
      <c r="R293" s="32"/>
      <c r="T293" s="63"/>
      <c r="U293" s="132"/>
      <c r="V293" s="134"/>
    </row>
    <row r="294" spans="1:22" x14ac:dyDescent="0.25">
      <c r="A294">
        <v>1720085293</v>
      </c>
      <c r="B294" s="37">
        <v>0.66428136419001216</v>
      </c>
      <c r="C294" s="67">
        <v>27332</v>
      </c>
      <c r="D294" s="67">
        <v>27332</v>
      </c>
      <c r="E294" s="32">
        <v>28450</v>
      </c>
      <c r="F294" s="67">
        <v>127</v>
      </c>
      <c r="G294" s="63">
        <v>32.730000000000018</v>
      </c>
      <c r="H294" s="67">
        <v>44849.588697017272</v>
      </c>
      <c r="I294" s="63">
        <v>353.1463676930494</v>
      </c>
      <c r="J294" s="132">
        <v>26.74</v>
      </c>
      <c r="K294" s="134">
        <v>1.2010000000000001</v>
      </c>
      <c r="M294" s="170"/>
      <c r="R294" s="32"/>
      <c r="T294" s="63"/>
      <c r="U294" s="132"/>
      <c r="V294" s="134"/>
    </row>
    <row r="295" spans="1:22" x14ac:dyDescent="0.25">
      <c r="A295">
        <v>1720088339</v>
      </c>
      <c r="B295" s="37">
        <v>0.62858664536315823</v>
      </c>
      <c r="C295" s="67">
        <v>35712</v>
      </c>
      <c r="D295" s="67">
        <v>35712</v>
      </c>
      <c r="E295" s="32">
        <v>27288</v>
      </c>
      <c r="F295" s="67">
        <v>121</v>
      </c>
      <c r="G295" s="63">
        <v>26.460000000000036</v>
      </c>
      <c r="H295" s="67">
        <v>42350</v>
      </c>
      <c r="I295" s="63">
        <v>0</v>
      </c>
      <c r="J295" s="132">
        <v>26.74</v>
      </c>
      <c r="K295" s="134">
        <v>1.0246999999999999</v>
      </c>
      <c r="M295" s="170"/>
      <c r="R295" s="32"/>
      <c r="T295" s="63"/>
      <c r="U295" s="132"/>
      <c r="V295" s="134"/>
    </row>
    <row r="296" spans="1:22" x14ac:dyDescent="0.25">
      <c r="A296">
        <v>1720166838</v>
      </c>
      <c r="B296" s="37">
        <v>0.63591459528362015</v>
      </c>
      <c r="C296" s="67">
        <v>35778</v>
      </c>
      <c r="D296" s="67">
        <v>35778</v>
      </c>
      <c r="E296" s="32">
        <v>27886</v>
      </c>
      <c r="F296" s="67">
        <v>118</v>
      </c>
      <c r="G296" s="63">
        <v>24.970000000000027</v>
      </c>
      <c r="H296" s="67">
        <v>47225</v>
      </c>
      <c r="I296" s="63">
        <v>400.21186440677968</v>
      </c>
      <c r="J296" s="132">
        <v>26.74</v>
      </c>
      <c r="K296" s="134">
        <v>1.2576000000000001</v>
      </c>
      <c r="M296" s="170"/>
      <c r="R296" s="32"/>
      <c r="T296" s="63"/>
      <c r="U296" s="132"/>
      <c r="V296" s="134"/>
    </row>
    <row r="297" spans="1:22" x14ac:dyDescent="0.25">
      <c r="A297">
        <v>1730136128</v>
      </c>
      <c r="B297" s="37">
        <v>0.6020549298557597</v>
      </c>
      <c r="C297" s="67">
        <v>31821</v>
      </c>
      <c r="D297" s="67">
        <v>31821</v>
      </c>
      <c r="E297" s="32">
        <v>28645</v>
      </c>
      <c r="F297" s="67">
        <v>100</v>
      </c>
      <c r="G297" s="63">
        <v>27.3900000000001</v>
      </c>
      <c r="H297" s="67">
        <v>38383</v>
      </c>
      <c r="I297" s="63">
        <v>383.83</v>
      </c>
      <c r="J297" s="132">
        <v>26.74</v>
      </c>
      <c r="K297" s="134">
        <v>1.1995</v>
      </c>
      <c r="M297" s="170"/>
      <c r="R297" s="32"/>
      <c r="T297" s="63"/>
      <c r="U297" s="132"/>
      <c r="V297" s="134"/>
    </row>
    <row r="298" spans="1:22" x14ac:dyDescent="0.25">
      <c r="A298">
        <v>1730136250</v>
      </c>
      <c r="B298" s="37">
        <v>0.65</v>
      </c>
      <c r="C298" s="67">
        <v>50672</v>
      </c>
      <c r="D298" s="67">
        <v>50672</v>
      </c>
      <c r="E298" s="32">
        <v>27603</v>
      </c>
      <c r="F298" s="67">
        <v>150</v>
      </c>
      <c r="G298" s="63">
        <v>3.5199999999999818</v>
      </c>
      <c r="H298" s="67">
        <v>63750</v>
      </c>
      <c r="I298" s="63">
        <v>384.63333333333333</v>
      </c>
      <c r="J298" s="132">
        <v>8.6399999999999988</v>
      </c>
      <c r="K298" s="134">
        <v>1.1876</v>
      </c>
      <c r="M298" s="170"/>
      <c r="R298" s="32"/>
      <c r="T298" s="63"/>
      <c r="U298" s="132"/>
      <c r="V298" s="134"/>
    </row>
    <row r="299" spans="1:22" x14ac:dyDescent="0.25">
      <c r="A299">
        <v>1730183625</v>
      </c>
      <c r="B299" s="37">
        <v>0.65</v>
      </c>
      <c r="C299" s="67">
        <v>13672</v>
      </c>
      <c r="D299" s="67">
        <v>13672</v>
      </c>
      <c r="E299" s="32">
        <v>27410</v>
      </c>
      <c r="F299" s="67">
        <v>40</v>
      </c>
      <c r="G299" s="63">
        <v>27</v>
      </c>
      <c r="H299" s="67">
        <v>14000</v>
      </c>
      <c r="I299" s="63">
        <v>0</v>
      </c>
      <c r="J299" s="132">
        <v>0</v>
      </c>
      <c r="K299" s="134">
        <v>0.93630000000000002</v>
      </c>
      <c r="M299" s="170"/>
      <c r="R299" s="32"/>
      <c r="T299" s="63"/>
      <c r="U299" s="132"/>
      <c r="V299" s="134"/>
    </row>
    <row r="300" spans="1:22" x14ac:dyDescent="0.25">
      <c r="A300">
        <v>1730209677</v>
      </c>
      <c r="B300" s="37">
        <v>0.6609157701390711</v>
      </c>
      <c r="C300" s="67">
        <v>46826</v>
      </c>
      <c r="D300" s="67">
        <v>46826</v>
      </c>
      <c r="E300" s="32">
        <v>28602</v>
      </c>
      <c r="F300" s="67">
        <v>150</v>
      </c>
      <c r="G300" s="63">
        <v>24.259999999999991</v>
      </c>
      <c r="H300" s="67">
        <v>56250</v>
      </c>
      <c r="I300" s="63">
        <v>247.34</v>
      </c>
      <c r="J300" s="132">
        <v>8.6399999999999988</v>
      </c>
      <c r="K300" s="134">
        <v>1.2801</v>
      </c>
      <c r="M300" s="170"/>
      <c r="R300" s="32"/>
      <c r="T300" s="63"/>
      <c r="U300" s="132"/>
      <c r="V300" s="134"/>
    </row>
    <row r="301" spans="1:22" x14ac:dyDescent="0.25">
      <c r="A301">
        <v>1730722240</v>
      </c>
      <c r="B301" s="37">
        <v>0.62320980363206846</v>
      </c>
      <c r="C301" s="67">
        <v>28749</v>
      </c>
      <c r="D301" s="67">
        <v>28749</v>
      </c>
      <c r="E301" s="32">
        <v>28677</v>
      </c>
      <c r="F301" s="67">
        <v>103</v>
      </c>
      <c r="G301" s="63">
        <v>6.5299999999999727</v>
      </c>
      <c r="H301" s="67">
        <v>57607.079646017693</v>
      </c>
      <c r="I301" s="63">
        <v>559.29203539823004</v>
      </c>
      <c r="J301" s="132">
        <v>26.74</v>
      </c>
      <c r="K301" s="134">
        <v>1.1781999999999999</v>
      </c>
      <c r="M301" s="170"/>
      <c r="R301" s="32"/>
      <c r="T301" s="63"/>
      <c r="U301" s="132"/>
      <c r="V301" s="134"/>
    </row>
    <row r="302" spans="1:22" x14ac:dyDescent="0.25">
      <c r="A302">
        <v>1740249382</v>
      </c>
      <c r="B302" s="37">
        <v>0.58290378006872856</v>
      </c>
      <c r="C302" s="67">
        <v>30812</v>
      </c>
      <c r="D302" s="67">
        <v>30812</v>
      </c>
      <c r="E302" s="32">
        <v>27203</v>
      </c>
      <c r="F302" s="67">
        <v>96</v>
      </c>
      <c r="G302" s="63">
        <v>5.5399999999999636</v>
      </c>
      <c r="H302" s="67">
        <v>67200</v>
      </c>
      <c r="I302" s="63">
        <v>715.28125</v>
      </c>
      <c r="J302" s="132">
        <v>26.74</v>
      </c>
      <c r="K302" s="134">
        <v>1.0821000000000001</v>
      </c>
      <c r="M302" s="170"/>
      <c r="R302" s="32"/>
      <c r="T302" s="63"/>
      <c r="U302" s="132"/>
      <c r="V302" s="134"/>
    </row>
    <row r="303" spans="1:22" x14ac:dyDescent="0.25">
      <c r="A303">
        <v>1740278126</v>
      </c>
      <c r="B303" s="37">
        <v>0.61162573298206846</v>
      </c>
      <c r="C303" s="67">
        <v>19597</v>
      </c>
      <c r="D303" s="67">
        <v>19597</v>
      </c>
      <c r="E303" s="32">
        <v>27536</v>
      </c>
      <c r="F303" s="67">
        <v>60</v>
      </c>
      <c r="G303" s="63">
        <v>32</v>
      </c>
      <c r="H303" s="67">
        <v>19500</v>
      </c>
      <c r="I303" s="63">
        <v>293.30938582695114</v>
      </c>
      <c r="J303" s="132">
        <v>26.74</v>
      </c>
      <c r="K303" s="134">
        <v>1.2766</v>
      </c>
      <c r="M303" s="170"/>
      <c r="R303" s="32"/>
      <c r="T303" s="63"/>
      <c r="U303" s="132"/>
      <c r="V303" s="134"/>
    </row>
    <row r="304" spans="1:22" x14ac:dyDescent="0.25">
      <c r="A304">
        <v>1740300607</v>
      </c>
      <c r="B304" s="37">
        <v>0.66233555302907265</v>
      </c>
      <c r="C304" s="67">
        <v>30395</v>
      </c>
      <c r="D304" s="67">
        <v>30395</v>
      </c>
      <c r="E304" s="32">
        <v>28025</v>
      </c>
      <c r="F304" s="67">
        <v>90</v>
      </c>
      <c r="G304" s="63">
        <v>21.279999999999973</v>
      </c>
      <c r="H304" s="67">
        <v>35257</v>
      </c>
      <c r="I304" s="63">
        <v>391.74444444444447</v>
      </c>
      <c r="J304" s="132">
        <v>26.74</v>
      </c>
      <c r="K304" s="134">
        <v>1.3218000000000001</v>
      </c>
      <c r="M304" s="170"/>
      <c r="R304" s="32"/>
      <c r="T304" s="63"/>
      <c r="U304" s="132"/>
      <c r="V304" s="134"/>
    </row>
    <row r="305" spans="1:22" x14ac:dyDescent="0.25">
      <c r="A305">
        <v>1740301050</v>
      </c>
      <c r="B305" s="37">
        <v>0.67282274126380592</v>
      </c>
      <c r="C305" s="67">
        <v>39593</v>
      </c>
      <c r="D305" s="67">
        <v>39593</v>
      </c>
      <c r="E305" s="32">
        <v>28093</v>
      </c>
      <c r="F305" s="67">
        <v>117</v>
      </c>
      <c r="G305" s="63">
        <v>17.170000000000073</v>
      </c>
      <c r="H305" s="67">
        <v>47048.744777536624</v>
      </c>
      <c r="I305" s="63">
        <v>402.12602373962926</v>
      </c>
      <c r="J305" s="132">
        <v>26.74</v>
      </c>
      <c r="K305" s="134">
        <v>1.2192000000000001</v>
      </c>
      <c r="M305" s="170"/>
      <c r="R305" s="32"/>
      <c r="T305" s="63"/>
      <c r="U305" s="132"/>
      <c r="V305" s="134"/>
    </row>
    <row r="306" spans="1:22" x14ac:dyDescent="0.25">
      <c r="A306">
        <v>1740386473</v>
      </c>
      <c r="B306" s="37">
        <v>0.6399262332872292</v>
      </c>
      <c r="C306" s="67">
        <v>15594</v>
      </c>
      <c r="D306" s="67">
        <v>15594</v>
      </c>
      <c r="E306" s="32">
        <v>28638</v>
      </c>
      <c r="F306" s="67">
        <v>60</v>
      </c>
      <c r="G306" s="63">
        <v>1</v>
      </c>
      <c r="H306" s="67">
        <v>33020</v>
      </c>
      <c r="I306" s="63">
        <v>550.33333333333337</v>
      </c>
      <c r="J306" s="132">
        <v>26.74</v>
      </c>
      <c r="K306" s="134">
        <v>0.94069999999999998</v>
      </c>
      <c r="M306" s="170"/>
      <c r="R306" s="32"/>
      <c r="T306" s="63"/>
      <c r="U306" s="132"/>
      <c r="V306" s="134"/>
    </row>
    <row r="307" spans="1:22" x14ac:dyDescent="0.25">
      <c r="A307">
        <v>1750317897</v>
      </c>
      <c r="B307" s="37">
        <v>0.59639041034389872</v>
      </c>
      <c r="C307" s="67">
        <v>45961</v>
      </c>
      <c r="D307" s="67">
        <v>45961</v>
      </c>
      <c r="E307" s="32">
        <v>27889</v>
      </c>
      <c r="F307" s="67">
        <v>140</v>
      </c>
      <c r="G307" s="63">
        <v>20.160000000000082</v>
      </c>
      <c r="H307" s="67">
        <v>52500</v>
      </c>
      <c r="I307" s="63">
        <v>357.84365068260405</v>
      </c>
      <c r="J307" s="132">
        <v>8.6399999999999988</v>
      </c>
      <c r="K307" s="134">
        <v>1.2038</v>
      </c>
      <c r="M307" s="170"/>
      <c r="R307" s="32"/>
      <c r="T307" s="63"/>
      <c r="U307" s="132"/>
      <c r="V307" s="134"/>
    </row>
    <row r="308" spans="1:22" x14ac:dyDescent="0.25">
      <c r="A308">
        <v>1750418802</v>
      </c>
      <c r="B308" s="37">
        <v>0.62347307729893475</v>
      </c>
      <c r="C308" s="67">
        <v>17826</v>
      </c>
      <c r="D308" s="67">
        <v>17826</v>
      </c>
      <c r="E308" s="32">
        <v>27215</v>
      </c>
      <c r="F308" s="67">
        <v>105</v>
      </c>
      <c r="G308" s="63">
        <v>21</v>
      </c>
      <c r="H308" s="67">
        <v>39375</v>
      </c>
      <c r="I308" s="63">
        <v>0</v>
      </c>
      <c r="J308" s="132">
        <v>0</v>
      </c>
      <c r="K308" s="134">
        <v>1.179314330001999</v>
      </c>
      <c r="M308" s="170"/>
      <c r="R308" s="32"/>
      <c r="T308" s="63"/>
      <c r="U308" s="132"/>
      <c r="V308" s="134"/>
    </row>
    <row r="309" spans="1:22" x14ac:dyDescent="0.25">
      <c r="A309">
        <v>1750703278</v>
      </c>
      <c r="B309" s="37">
        <v>0.61911681091667192</v>
      </c>
      <c r="C309" s="67">
        <v>23162</v>
      </c>
      <c r="D309" s="67">
        <v>23162</v>
      </c>
      <c r="E309" s="32">
        <v>27893</v>
      </c>
      <c r="F309" s="67">
        <v>90</v>
      </c>
      <c r="G309" s="63">
        <v>16.1099999999999</v>
      </c>
      <c r="H309" s="67">
        <v>36000</v>
      </c>
      <c r="I309" s="63">
        <v>0</v>
      </c>
      <c r="J309" s="132">
        <v>26.74</v>
      </c>
      <c r="K309" s="134">
        <v>0.99929999999999997</v>
      </c>
      <c r="M309" s="170"/>
      <c r="R309" s="32"/>
      <c r="T309" s="63"/>
      <c r="U309" s="132"/>
      <c r="V309" s="134"/>
    </row>
    <row r="310" spans="1:22" x14ac:dyDescent="0.25">
      <c r="A310">
        <v>1760032296</v>
      </c>
      <c r="B310" s="37">
        <v>0.54505282054822901</v>
      </c>
      <c r="C310" s="67">
        <v>23926</v>
      </c>
      <c r="D310" s="67">
        <v>23926</v>
      </c>
      <c r="E310" s="32">
        <v>27895</v>
      </c>
      <c r="F310" s="67">
        <v>110</v>
      </c>
      <c r="G310" s="63">
        <v>33.5</v>
      </c>
      <c r="H310" s="67">
        <v>35750</v>
      </c>
      <c r="I310" s="63">
        <v>277.67272727272729</v>
      </c>
      <c r="J310" s="132">
        <v>26.74</v>
      </c>
      <c r="K310" s="134">
        <v>1.2704</v>
      </c>
      <c r="M310" s="170"/>
      <c r="R310" s="32"/>
      <c r="T310" s="63"/>
      <c r="U310" s="132"/>
      <c r="V310" s="134"/>
    </row>
    <row r="311" spans="1:22" x14ac:dyDescent="0.25">
      <c r="A311">
        <v>1760415434</v>
      </c>
      <c r="B311" s="37">
        <v>0.53791101208561198</v>
      </c>
      <c r="C311" s="67">
        <v>24760</v>
      </c>
      <c r="D311" s="67">
        <v>24760</v>
      </c>
      <c r="E311" s="32">
        <v>28792</v>
      </c>
      <c r="F311" s="67">
        <v>80</v>
      </c>
      <c r="G311" s="63">
        <v>28</v>
      </c>
      <c r="H311" s="67">
        <v>38004</v>
      </c>
      <c r="I311" s="63">
        <v>475.05</v>
      </c>
      <c r="J311" s="132">
        <v>26.74</v>
      </c>
      <c r="K311" s="134">
        <v>1.0612999999999999</v>
      </c>
      <c r="M311" s="170"/>
      <c r="R311" s="32"/>
      <c r="T311" s="63"/>
      <c r="U311" s="132"/>
      <c r="V311" s="134"/>
    </row>
    <row r="312" spans="1:22" x14ac:dyDescent="0.25">
      <c r="A312">
        <v>1760462196</v>
      </c>
      <c r="B312" s="37">
        <v>0.64982541455208587</v>
      </c>
      <c r="C312" s="67">
        <v>11978</v>
      </c>
      <c r="D312" s="67">
        <v>11978</v>
      </c>
      <c r="E312" s="32">
        <v>28687</v>
      </c>
      <c r="F312" s="67">
        <v>48</v>
      </c>
      <c r="G312" s="63">
        <v>33.5</v>
      </c>
      <c r="H312" s="67">
        <v>21394.17</v>
      </c>
      <c r="I312" s="63">
        <v>445.71187499999996</v>
      </c>
      <c r="J312" s="132">
        <v>26.74</v>
      </c>
      <c r="K312" s="134">
        <v>0.99580000000000002</v>
      </c>
      <c r="M312" s="170"/>
      <c r="R312" s="32"/>
      <c r="T312" s="63"/>
      <c r="U312" s="132"/>
      <c r="V312" s="134"/>
    </row>
    <row r="313" spans="1:22" x14ac:dyDescent="0.25">
      <c r="A313">
        <v>1770149270</v>
      </c>
      <c r="B313" s="37">
        <v>0.60951682405794438</v>
      </c>
      <c r="C313" s="67">
        <v>32168</v>
      </c>
      <c r="D313" s="67">
        <v>32168</v>
      </c>
      <c r="E313" s="32">
        <v>27704</v>
      </c>
      <c r="F313" s="67">
        <v>111</v>
      </c>
      <c r="G313" s="63">
        <v>6.4300000000000637</v>
      </c>
      <c r="H313" s="67">
        <v>47175</v>
      </c>
      <c r="I313" s="63">
        <v>311.87387387387389</v>
      </c>
      <c r="J313" s="132">
        <v>26.74</v>
      </c>
      <c r="K313" s="134">
        <v>1.1294</v>
      </c>
      <c r="M313" s="170"/>
      <c r="R313" s="32"/>
      <c r="T313" s="63"/>
      <c r="U313" s="132"/>
      <c r="V313" s="134"/>
    </row>
    <row r="314" spans="1:22" x14ac:dyDescent="0.25">
      <c r="A314">
        <v>1770538092</v>
      </c>
      <c r="B314" s="37">
        <v>0.65607766990291261</v>
      </c>
      <c r="C314" s="67">
        <v>27999</v>
      </c>
      <c r="D314" s="67">
        <v>27999</v>
      </c>
      <c r="E314" s="32">
        <v>28792</v>
      </c>
      <c r="F314" s="67">
        <v>100</v>
      </c>
      <c r="G314" s="63">
        <v>23.8900000000001</v>
      </c>
      <c r="H314" s="67">
        <v>37500</v>
      </c>
      <c r="I314" s="63">
        <v>0</v>
      </c>
      <c r="J314" s="132">
        <v>26.74</v>
      </c>
      <c r="K314" s="134">
        <v>1.1859</v>
      </c>
      <c r="M314" s="170"/>
      <c r="R314" s="32"/>
      <c r="T314" s="63"/>
      <c r="U314" s="132"/>
      <c r="V314" s="134"/>
    </row>
    <row r="315" spans="1:22" x14ac:dyDescent="0.25">
      <c r="A315">
        <v>1770582363</v>
      </c>
      <c r="B315" s="37">
        <v>0.60726558664703001</v>
      </c>
      <c r="C315" s="67">
        <v>34584</v>
      </c>
      <c r="D315" s="67">
        <v>34584</v>
      </c>
      <c r="E315" s="32">
        <v>27502</v>
      </c>
      <c r="F315" s="67">
        <v>107</v>
      </c>
      <c r="G315" s="63">
        <v>9.8900000000001</v>
      </c>
      <c r="H315" s="67">
        <v>45475</v>
      </c>
      <c r="I315" s="63">
        <v>0</v>
      </c>
      <c r="J315" s="132">
        <v>26.74</v>
      </c>
      <c r="K315" s="134">
        <v>0.95899999999999996</v>
      </c>
      <c r="M315" s="170"/>
      <c r="R315" s="32"/>
      <c r="T315" s="63"/>
      <c r="U315" s="132"/>
      <c r="V315" s="134"/>
    </row>
    <row r="316" spans="1:22" x14ac:dyDescent="0.25">
      <c r="A316">
        <v>1770618720</v>
      </c>
      <c r="B316" s="37">
        <v>0.71287522891949995</v>
      </c>
      <c r="C316" s="67">
        <v>43404</v>
      </c>
      <c r="D316" s="67">
        <v>43404</v>
      </c>
      <c r="E316" s="32">
        <v>28150</v>
      </c>
      <c r="F316" s="67">
        <v>160</v>
      </c>
      <c r="G316" s="63">
        <v>4.1400000000001</v>
      </c>
      <c r="H316" s="67">
        <v>68000</v>
      </c>
      <c r="I316" s="63">
        <v>408.6875</v>
      </c>
      <c r="J316" s="132">
        <v>8.6399999999999988</v>
      </c>
      <c r="K316" s="134">
        <v>1.1878</v>
      </c>
      <c r="M316" s="170"/>
      <c r="R316" s="32"/>
      <c r="T316" s="63"/>
      <c r="U316" s="132"/>
      <c r="V316" s="134"/>
    </row>
    <row r="317" spans="1:22" x14ac:dyDescent="0.25">
      <c r="A317">
        <v>1770995094</v>
      </c>
      <c r="B317" s="37">
        <v>0.62449560882981248</v>
      </c>
      <c r="C317" s="67">
        <v>32125</v>
      </c>
      <c r="D317" s="67">
        <v>32125</v>
      </c>
      <c r="E317" s="32">
        <v>28043</v>
      </c>
      <c r="F317" s="67">
        <v>100</v>
      </c>
      <c r="G317" s="63">
        <v>25.25</v>
      </c>
      <c r="H317" s="67">
        <v>35000</v>
      </c>
      <c r="I317" s="63">
        <v>251.29789985029481</v>
      </c>
      <c r="J317" s="132">
        <v>26.74</v>
      </c>
      <c r="K317" s="134">
        <v>1.0337000000000001</v>
      </c>
      <c r="M317" s="170"/>
      <c r="R317" s="32"/>
      <c r="T317" s="63"/>
      <c r="U317" s="132"/>
      <c r="V317" s="134"/>
    </row>
    <row r="318" spans="1:22" x14ac:dyDescent="0.25">
      <c r="A318">
        <v>1780693663</v>
      </c>
      <c r="B318" s="37">
        <v>0.62988072178611476</v>
      </c>
      <c r="C318" s="67">
        <v>14083</v>
      </c>
      <c r="D318" s="67">
        <v>14083</v>
      </c>
      <c r="E318" s="32">
        <v>28388</v>
      </c>
      <c r="F318" s="67">
        <v>50</v>
      </c>
      <c r="G318" s="63">
        <v>32.930000000000064</v>
      </c>
      <c r="H318" s="67">
        <v>32959.430236062282</v>
      </c>
      <c r="I318" s="63">
        <v>659.18860472124561</v>
      </c>
      <c r="J318" s="132">
        <v>0</v>
      </c>
      <c r="K318" s="134">
        <v>0.8327</v>
      </c>
      <c r="M318" s="170"/>
      <c r="R318" s="32"/>
      <c r="T318" s="63"/>
      <c r="U318" s="132"/>
      <c r="V318" s="134"/>
    </row>
    <row r="319" spans="1:22" x14ac:dyDescent="0.25">
      <c r="A319">
        <v>1790317840</v>
      </c>
      <c r="B319" s="37">
        <v>0.67001067235859124</v>
      </c>
      <c r="C319" s="67">
        <v>38516</v>
      </c>
      <c r="D319" s="67">
        <v>30779.161572052402</v>
      </c>
      <c r="E319" s="32">
        <v>28273</v>
      </c>
      <c r="F319" s="67">
        <v>100</v>
      </c>
      <c r="G319" s="63">
        <v>11.259999999999991</v>
      </c>
      <c r="H319" s="67">
        <v>40000</v>
      </c>
      <c r="I319" s="63">
        <v>393.82</v>
      </c>
      <c r="J319" s="132">
        <v>26.74</v>
      </c>
      <c r="K319" s="134">
        <v>1.3871</v>
      </c>
      <c r="M319" s="170"/>
      <c r="R319" s="32"/>
      <c r="T319" s="63"/>
      <c r="U319" s="132"/>
      <c r="V319" s="134"/>
    </row>
    <row r="320" spans="1:22" x14ac:dyDescent="0.25">
      <c r="A320">
        <v>1801428768</v>
      </c>
      <c r="B320" s="37">
        <v>0.67853610286844712</v>
      </c>
      <c r="C320" s="67">
        <v>15505</v>
      </c>
      <c r="D320" s="67">
        <v>31010</v>
      </c>
      <c r="E320" s="32">
        <v>27302</v>
      </c>
      <c r="F320" s="67">
        <v>117</v>
      </c>
      <c r="G320" s="63">
        <v>24.1099999999999</v>
      </c>
      <c r="H320" s="67">
        <v>67036</v>
      </c>
      <c r="I320" s="63">
        <v>572.95726495726501</v>
      </c>
      <c r="J320" s="132">
        <v>26.74</v>
      </c>
      <c r="K320" s="134">
        <v>1.3247</v>
      </c>
      <c r="M320" s="170"/>
      <c r="R320" s="32"/>
      <c r="T320" s="63"/>
      <c r="U320" s="132"/>
      <c r="V320" s="134"/>
    </row>
    <row r="321" spans="1:22" x14ac:dyDescent="0.25">
      <c r="A321">
        <v>1811920267</v>
      </c>
      <c r="B321" s="37">
        <v>0.64751381215469617</v>
      </c>
      <c r="C321" s="67">
        <v>41820</v>
      </c>
      <c r="D321" s="67">
        <v>41820</v>
      </c>
      <c r="E321" s="32">
        <v>27330</v>
      </c>
      <c r="F321" s="67">
        <v>131</v>
      </c>
      <c r="G321" s="63">
        <v>23.670000000000073</v>
      </c>
      <c r="H321" s="67">
        <v>55168</v>
      </c>
      <c r="I321" s="63">
        <v>421.12977099236639</v>
      </c>
      <c r="J321" s="132">
        <v>26.74</v>
      </c>
      <c r="K321" s="134">
        <v>1.3718999999999999</v>
      </c>
      <c r="M321" s="170"/>
      <c r="R321" s="32"/>
      <c r="T321" s="63"/>
      <c r="U321" s="132"/>
      <c r="V321" s="134"/>
    </row>
    <row r="322" spans="1:22" x14ac:dyDescent="0.25">
      <c r="A322">
        <v>1811923931</v>
      </c>
      <c r="B322" s="37">
        <v>0.57944587058511099</v>
      </c>
      <c r="C322" s="67">
        <v>27794</v>
      </c>
      <c r="D322" s="67">
        <v>27794</v>
      </c>
      <c r="E322" s="32">
        <v>27284</v>
      </c>
      <c r="F322" s="67">
        <v>92</v>
      </c>
      <c r="G322" s="63">
        <v>13.210000000000036</v>
      </c>
      <c r="H322" s="67">
        <v>36800</v>
      </c>
      <c r="I322" s="63">
        <v>345.91304347826087</v>
      </c>
      <c r="J322" s="132">
        <v>26.74</v>
      </c>
      <c r="K322" s="134">
        <v>1.3186</v>
      </c>
      <c r="M322" s="170"/>
      <c r="R322" s="32"/>
      <c r="T322" s="63"/>
      <c r="U322" s="132"/>
      <c r="V322" s="134"/>
    </row>
    <row r="323" spans="1:22" x14ac:dyDescent="0.25">
      <c r="A323">
        <v>1811984925</v>
      </c>
      <c r="B323" s="37">
        <v>0.67249176055798265</v>
      </c>
      <c r="C323" s="67">
        <v>40249</v>
      </c>
      <c r="D323" s="67">
        <v>40249</v>
      </c>
      <c r="E323" s="32">
        <v>27588</v>
      </c>
      <c r="F323" s="67">
        <v>130</v>
      </c>
      <c r="G323" s="63">
        <v>20</v>
      </c>
      <c r="H323" s="67">
        <v>52000</v>
      </c>
      <c r="I323" s="63">
        <v>0</v>
      </c>
      <c r="J323" s="132">
        <v>26.74</v>
      </c>
      <c r="K323" s="134">
        <v>1.1294</v>
      </c>
      <c r="M323" s="170"/>
      <c r="R323" s="32"/>
      <c r="T323" s="63"/>
      <c r="U323" s="132"/>
      <c r="V323" s="134"/>
    </row>
    <row r="324" spans="1:22" x14ac:dyDescent="0.25">
      <c r="A324">
        <v>1821024274</v>
      </c>
      <c r="B324" s="37">
        <v>0.50961706592061551</v>
      </c>
      <c r="C324" s="67">
        <v>0</v>
      </c>
      <c r="D324" s="67">
        <v>0</v>
      </c>
      <c r="E324" s="32">
        <v>27823</v>
      </c>
      <c r="F324" s="67">
        <v>63</v>
      </c>
      <c r="G324" s="63">
        <v>33.5</v>
      </c>
      <c r="H324" s="67">
        <v>20475</v>
      </c>
      <c r="I324" s="63">
        <v>213.11111111111111</v>
      </c>
      <c r="J324" s="132">
        <v>26.74</v>
      </c>
      <c r="K324" s="134">
        <v>1.179314330001999</v>
      </c>
      <c r="M324" s="170"/>
      <c r="R324" s="32"/>
      <c r="T324" s="63"/>
      <c r="U324" s="132"/>
      <c r="V324" s="134"/>
    </row>
    <row r="325" spans="1:22" x14ac:dyDescent="0.25">
      <c r="A325">
        <v>1821414269</v>
      </c>
      <c r="B325" s="37">
        <v>0.53031063921371702</v>
      </c>
      <c r="C325" s="67">
        <v>27444</v>
      </c>
      <c r="D325" s="67">
        <v>27444</v>
      </c>
      <c r="E325" s="32">
        <v>27610</v>
      </c>
      <c r="F325" s="67">
        <v>95</v>
      </c>
      <c r="G325" s="63">
        <v>11.1099999999999</v>
      </c>
      <c r="H325" s="67">
        <v>38000</v>
      </c>
      <c r="I325" s="63">
        <v>371.6</v>
      </c>
      <c r="J325" s="132">
        <v>26.74</v>
      </c>
      <c r="K325" s="134">
        <v>1.2279</v>
      </c>
      <c r="M325" s="170"/>
      <c r="R325" s="32"/>
      <c r="T325" s="63"/>
      <c r="U325" s="132"/>
      <c r="V325" s="134"/>
    </row>
    <row r="326" spans="1:22" x14ac:dyDescent="0.25">
      <c r="A326">
        <v>1821551797</v>
      </c>
      <c r="B326" s="37">
        <v>0.60262738248917913</v>
      </c>
      <c r="C326" s="67">
        <v>64198</v>
      </c>
      <c r="D326" s="67">
        <v>64198</v>
      </c>
      <c r="E326" s="32">
        <v>27104</v>
      </c>
      <c r="F326" s="67">
        <v>230</v>
      </c>
      <c r="G326" s="63">
        <v>28.6400000000001</v>
      </c>
      <c r="H326" s="67">
        <v>80500</v>
      </c>
      <c r="I326" s="63">
        <v>321.69565217391306</v>
      </c>
      <c r="J326" s="132">
        <v>8.6399999999999988</v>
      </c>
      <c r="K326" s="134">
        <v>1.1476999999999999</v>
      </c>
      <c r="M326" s="170"/>
      <c r="R326" s="32"/>
      <c r="T326" s="63"/>
      <c r="U326" s="132"/>
      <c r="V326" s="134"/>
    </row>
    <row r="327" spans="1:22" x14ac:dyDescent="0.25">
      <c r="A327">
        <v>1831125285</v>
      </c>
      <c r="B327" s="37">
        <v>0.63170258400571955</v>
      </c>
      <c r="C327" s="67">
        <v>16083</v>
      </c>
      <c r="D327" s="67">
        <v>16083</v>
      </c>
      <c r="E327" s="32">
        <v>28901</v>
      </c>
      <c r="F327" s="67">
        <v>76</v>
      </c>
      <c r="G327" s="63">
        <v>24.519999999999982</v>
      </c>
      <c r="H327" s="67">
        <v>28500</v>
      </c>
      <c r="I327" s="63">
        <v>328.94736842105266</v>
      </c>
      <c r="J327" s="132">
        <v>26.74</v>
      </c>
      <c r="K327" s="134">
        <v>1.0502</v>
      </c>
      <c r="M327" s="170"/>
      <c r="R327" s="32"/>
      <c r="T327" s="63"/>
      <c r="U327" s="132"/>
      <c r="V327" s="134"/>
    </row>
    <row r="328" spans="1:22" x14ac:dyDescent="0.25">
      <c r="A328">
        <v>1831197714</v>
      </c>
      <c r="B328" s="37">
        <v>0.65038713519952351</v>
      </c>
      <c r="C328" s="67">
        <v>31785</v>
      </c>
      <c r="D328" s="67">
        <v>31785</v>
      </c>
      <c r="E328" s="32">
        <v>28711</v>
      </c>
      <c r="F328" s="67">
        <v>97</v>
      </c>
      <c r="G328" s="63">
        <v>16.259999999999991</v>
      </c>
      <c r="H328" s="67">
        <v>38800</v>
      </c>
      <c r="I328" s="63">
        <v>0</v>
      </c>
      <c r="J328" s="132">
        <v>26.74</v>
      </c>
      <c r="K328" s="134">
        <v>1.2716000000000001</v>
      </c>
      <c r="M328" s="170"/>
      <c r="R328" s="32"/>
      <c r="T328" s="63"/>
      <c r="U328" s="132"/>
      <c r="V328" s="134"/>
    </row>
    <row r="329" spans="1:22" x14ac:dyDescent="0.25">
      <c r="A329">
        <v>1831219781</v>
      </c>
      <c r="B329" s="37">
        <v>0.60912140719920216</v>
      </c>
      <c r="C329" s="67">
        <v>19453</v>
      </c>
      <c r="D329" s="67">
        <v>19453</v>
      </c>
      <c r="E329" s="32">
        <v>27983</v>
      </c>
      <c r="F329" s="67">
        <v>82</v>
      </c>
      <c r="G329" s="63">
        <v>22.25</v>
      </c>
      <c r="H329" s="67">
        <v>30750</v>
      </c>
      <c r="I329" s="63">
        <v>343.89024390243901</v>
      </c>
      <c r="J329" s="132">
        <v>26.74</v>
      </c>
      <c r="K329" s="134">
        <v>1.1849000000000001</v>
      </c>
      <c r="M329" s="170"/>
      <c r="R329" s="32"/>
      <c r="T329" s="63"/>
      <c r="U329" s="132"/>
      <c r="V329" s="134"/>
    </row>
    <row r="330" spans="1:22" x14ac:dyDescent="0.25">
      <c r="A330">
        <v>1831551514</v>
      </c>
      <c r="B330" s="37">
        <v>0.63040455998887801</v>
      </c>
      <c r="C330" s="67">
        <v>30569</v>
      </c>
      <c r="D330" s="67">
        <v>30569</v>
      </c>
      <c r="E330" s="32">
        <v>27705</v>
      </c>
      <c r="F330" s="67">
        <v>126</v>
      </c>
      <c r="G330" s="63">
        <v>20.480000000000018</v>
      </c>
      <c r="H330" s="67">
        <v>47250</v>
      </c>
      <c r="I330" s="63">
        <v>268.9075630252101</v>
      </c>
      <c r="J330" s="132">
        <v>26.74</v>
      </c>
      <c r="K330" s="134">
        <v>1.2374000000000001</v>
      </c>
      <c r="M330" s="170"/>
      <c r="R330" s="32"/>
      <c r="T330" s="63"/>
      <c r="U330" s="132"/>
      <c r="V330" s="134"/>
    </row>
    <row r="331" spans="1:22" x14ac:dyDescent="0.25">
      <c r="A331">
        <v>1831649268</v>
      </c>
      <c r="B331" s="37">
        <v>0.58905608755129957</v>
      </c>
      <c r="C331" s="67">
        <v>18972</v>
      </c>
      <c r="D331" s="67">
        <v>18972</v>
      </c>
      <c r="E331" s="32">
        <v>27938</v>
      </c>
      <c r="F331" s="67">
        <v>70</v>
      </c>
      <c r="G331" s="63">
        <v>16.259999999999991</v>
      </c>
      <c r="H331" s="67">
        <v>28000</v>
      </c>
      <c r="I331" s="63">
        <v>307.68750193748383</v>
      </c>
      <c r="J331" s="132">
        <v>26.74</v>
      </c>
      <c r="K331" s="134">
        <v>1.1541999999999999</v>
      </c>
      <c r="M331" s="170"/>
      <c r="R331" s="32"/>
      <c r="T331" s="63"/>
      <c r="U331" s="132"/>
      <c r="V331" s="134"/>
    </row>
    <row r="332" spans="1:22" x14ac:dyDescent="0.25">
      <c r="A332">
        <v>1841390002</v>
      </c>
      <c r="B332" s="37">
        <v>0.68194023386747515</v>
      </c>
      <c r="C332" s="67">
        <v>31093</v>
      </c>
      <c r="D332" s="67">
        <v>31093</v>
      </c>
      <c r="E332" s="32">
        <v>28327</v>
      </c>
      <c r="F332" s="67">
        <v>90</v>
      </c>
      <c r="G332" s="63">
        <v>24.329999999999927</v>
      </c>
      <c r="H332" s="67">
        <v>33750</v>
      </c>
      <c r="I332" s="63">
        <v>362.8326863019135</v>
      </c>
      <c r="J332" s="132">
        <v>26.74</v>
      </c>
      <c r="K332" s="134">
        <v>1.3026</v>
      </c>
      <c r="M332" s="170"/>
      <c r="R332" s="32"/>
      <c r="T332" s="63"/>
      <c r="U332" s="132"/>
      <c r="V332" s="134"/>
    </row>
    <row r="333" spans="1:22" x14ac:dyDescent="0.25">
      <c r="A333">
        <v>1841697422</v>
      </c>
      <c r="B333" s="37">
        <v>0.65</v>
      </c>
      <c r="C333" s="67">
        <v>6455</v>
      </c>
      <c r="D333" s="67">
        <v>6455</v>
      </c>
      <c r="E333" s="32">
        <v>28405</v>
      </c>
      <c r="F333" s="67">
        <v>20</v>
      </c>
      <c r="G333" s="63">
        <v>7.5</v>
      </c>
      <c r="H333" s="67">
        <v>8500</v>
      </c>
      <c r="I333" s="63">
        <v>0</v>
      </c>
      <c r="J333" s="132">
        <v>26.74</v>
      </c>
      <c r="K333" s="134">
        <v>1.1660999999999999</v>
      </c>
      <c r="M333" s="170"/>
      <c r="R333" s="32"/>
      <c r="T333" s="63"/>
      <c r="U333" s="132"/>
      <c r="V333" s="134"/>
    </row>
    <row r="334" spans="1:22" x14ac:dyDescent="0.25">
      <c r="A334">
        <v>1841840378</v>
      </c>
      <c r="B334" s="37">
        <v>0.59795523625310865</v>
      </c>
      <c r="C334" s="67">
        <v>28118</v>
      </c>
      <c r="D334" s="67">
        <v>28118</v>
      </c>
      <c r="E334" s="32">
        <v>28697</v>
      </c>
      <c r="F334" s="67">
        <v>120</v>
      </c>
      <c r="G334" s="63">
        <v>33.5</v>
      </c>
      <c r="H334" s="67">
        <v>39000</v>
      </c>
      <c r="I334" s="63">
        <v>308.61666666666667</v>
      </c>
      <c r="J334" s="132">
        <v>26.74</v>
      </c>
      <c r="K334" s="134">
        <v>1.0734999999999999</v>
      </c>
      <c r="M334" s="170"/>
      <c r="R334" s="32"/>
      <c r="T334" s="63"/>
      <c r="U334" s="132"/>
      <c r="V334" s="134"/>
    </row>
    <row r="335" spans="1:22" x14ac:dyDescent="0.25">
      <c r="A335">
        <v>1841854361</v>
      </c>
      <c r="B335" s="37">
        <v>0.68855140186915886</v>
      </c>
      <c r="C335" s="67">
        <v>31326</v>
      </c>
      <c r="D335" s="67">
        <v>31326</v>
      </c>
      <c r="E335" s="32">
        <v>28690</v>
      </c>
      <c r="F335" s="67">
        <v>100</v>
      </c>
      <c r="G335" s="63">
        <v>25.069999999999936</v>
      </c>
      <c r="H335" s="67">
        <v>40050</v>
      </c>
      <c r="I335" s="63">
        <v>400.5</v>
      </c>
      <c r="J335" s="132">
        <v>26.74</v>
      </c>
      <c r="K335" s="134">
        <v>1.4293</v>
      </c>
      <c r="M335" s="170"/>
      <c r="R335" s="32"/>
      <c r="T335" s="63"/>
      <c r="U335" s="132"/>
      <c r="V335" s="134"/>
    </row>
    <row r="336" spans="1:22" x14ac:dyDescent="0.25">
      <c r="A336">
        <v>1851348379</v>
      </c>
      <c r="B336" s="37">
        <v>0.52784280343335455</v>
      </c>
      <c r="C336" s="67">
        <v>36823</v>
      </c>
      <c r="D336" s="67">
        <v>36823</v>
      </c>
      <c r="E336" s="32">
        <v>28560</v>
      </c>
      <c r="F336" s="67">
        <v>116</v>
      </c>
      <c r="G336" s="63">
        <v>6.4700000000000273</v>
      </c>
      <c r="H336" s="67">
        <v>49300</v>
      </c>
      <c r="I336" s="63">
        <v>325.51724137931035</v>
      </c>
      <c r="J336" s="132">
        <v>26.74</v>
      </c>
      <c r="K336" s="134">
        <v>1.0819000000000001</v>
      </c>
      <c r="M336" s="170"/>
      <c r="R336" s="32"/>
      <c r="T336" s="63"/>
      <c r="U336" s="132"/>
      <c r="V336" s="134"/>
    </row>
    <row r="337" spans="1:22" x14ac:dyDescent="0.25">
      <c r="A337">
        <v>1851375703</v>
      </c>
      <c r="B337" s="37">
        <v>0.58578525028658768</v>
      </c>
      <c r="C337" s="67">
        <v>30544</v>
      </c>
      <c r="D337" s="67">
        <v>30544</v>
      </c>
      <c r="E337" s="32">
        <v>28557</v>
      </c>
      <c r="F337" s="67">
        <v>92</v>
      </c>
      <c r="G337" s="63">
        <v>12.75</v>
      </c>
      <c r="H337" s="67">
        <v>54220</v>
      </c>
      <c r="I337" s="63">
        <v>589.3478260869565</v>
      </c>
      <c r="J337" s="132">
        <v>26.74</v>
      </c>
      <c r="K337" s="134">
        <v>1.3629</v>
      </c>
      <c r="M337" s="170"/>
      <c r="R337" s="32"/>
      <c r="T337" s="63"/>
      <c r="U337" s="132"/>
      <c r="V337" s="134"/>
    </row>
    <row r="338" spans="1:22" x14ac:dyDescent="0.25">
      <c r="A338">
        <v>1851377543</v>
      </c>
      <c r="B338" s="37">
        <v>0.6377878853512382</v>
      </c>
      <c r="C338" s="67">
        <v>37675</v>
      </c>
      <c r="D338" s="67">
        <v>37675</v>
      </c>
      <c r="E338" s="32">
        <v>28376</v>
      </c>
      <c r="F338" s="67">
        <v>132</v>
      </c>
      <c r="G338" s="63">
        <v>19.069999999999936</v>
      </c>
      <c r="H338" s="67">
        <v>52800</v>
      </c>
      <c r="I338" s="63">
        <v>345.79735906551554</v>
      </c>
      <c r="J338" s="132">
        <v>26.74</v>
      </c>
      <c r="K338" s="134">
        <v>1.2221</v>
      </c>
      <c r="M338" s="170"/>
      <c r="R338" s="32"/>
      <c r="T338" s="63"/>
      <c r="U338" s="132"/>
      <c r="V338" s="134"/>
    </row>
    <row r="339" spans="1:22" x14ac:dyDescent="0.25">
      <c r="A339">
        <v>1851836118</v>
      </c>
      <c r="B339" s="37">
        <v>0.6409224318658282</v>
      </c>
      <c r="C339" s="67">
        <v>32653</v>
      </c>
      <c r="D339" s="67">
        <v>32653</v>
      </c>
      <c r="E339" s="32">
        <v>28425</v>
      </c>
      <c r="F339" s="67">
        <v>98</v>
      </c>
      <c r="G339" s="63">
        <v>22.819999999999936</v>
      </c>
      <c r="H339" s="67">
        <v>36750</v>
      </c>
      <c r="I339" s="63">
        <v>0</v>
      </c>
      <c r="J339" s="132">
        <v>26.74</v>
      </c>
      <c r="K339" s="134">
        <v>1.1116999999999999</v>
      </c>
      <c r="M339" s="170"/>
      <c r="R339" s="32"/>
      <c r="T339" s="63"/>
      <c r="U339" s="132"/>
      <c r="V339" s="134"/>
    </row>
    <row r="340" spans="1:22" x14ac:dyDescent="0.25">
      <c r="A340">
        <v>1851941389</v>
      </c>
      <c r="B340" s="37">
        <v>0.61640280301064099</v>
      </c>
      <c r="C340" s="67">
        <v>28768</v>
      </c>
      <c r="D340" s="67">
        <v>28768</v>
      </c>
      <c r="E340" s="32">
        <v>27360</v>
      </c>
      <c r="F340" s="67">
        <v>120</v>
      </c>
      <c r="G340" s="63">
        <v>33.5</v>
      </c>
      <c r="H340" s="67">
        <v>39000</v>
      </c>
      <c r="I340" s="63">
        <v>296.51666666666665</v>
      </c>
      <c r="J340" s="132">
        <v>26.74</v>
      </c>
      <c r="K340" s="134">
        <v>1.0308999999999999</v>
      </c>
      <c r="M340" s="170"/>
      <c r="R340" s="32"/>
      <c r="T340" s="63"/>
      <c r="U340" s="132"/>
      <c r="V340" s="134"/>
    </row>
    <row r="341" spans="1:22" x14ac:dyDescent="0.25">
      <c r="A341">
        <v>1861003485</v>
      </c>
      <c r="B341" s="37">
        <v>0.63450834879406304</v>
      </c>
      <c r="C341" s="67">
        <v>36220</v>
      </c>
      <c r="D341" s="67">
        <v>36220</v>
      </c>
      <c r="E341" s="32">
        <v>27962</v>
      </c>
      <c r="F341" s="67">
        <v>114</v>
      </c>
      <c r="G341" s="63">
        <v>32.3599999999999</v>
      </c>
      <c r="H341" s="67">
        <v>40405</v>
      </c>
      <c r="I341" s="63">
        <v>354.42982456140351</v>
      </c>
      <c r="J341" s="132">
        <v>26.74</v>
      </c>
      <c r="K341" s="134">
        <v>1.2062999999999999</v>
      </c>
      <c r="M341" s="170"/>
      <c r="R341" s="32"/>
      <c r="T341" s="63"/>
      <c r="U341" s="132"/>
      <c r="V341" s="134"/>
    </row>
    <row r="342" spans="1:22" x14ac:dyDescent="0.25">
      <c r="A342">
        <v>1861446270</v>
      </c>
      <c r="B342" s="37">
        <v>0.6392066496584643</v>
      </c>
      <c r="C342" s="67">
        <v>25338</v>
      </c>
      <c r="D342" s="67">
        <v>25338</v>
      </c>
      <c r="E342" s="32">
        <v>28403</v>
      </c>
      <c r="F342" s="67">
        <v>100</v>
      </c>
      <c r="G342" s="63">
        <v>9.3699999999998909</v>
      </c>
      <c r="H342" s="67">
        <v>44926.879444449594</v>
      </c>
      <c r="I342" s="63">
        <v>449.26879444449594</v>
      </c>
      <c r="J342" s="132">
        <v>26.74</v>
      </c>
      <c r="K342" s="134">
        <v>1.1435</v>
      </c>
      <c r="M342" s="170"/>
      <c r="R342" s="32"/>
      <c r="T342" s="63"/>
      <c r="U342" s="132"/>
      <c r="V342" s="134"/>
    </row>
    <row r="343" spans="1:22" x14ac:dyDescent="0.25">
      <c r="A343">
        <v>1861446338</v>
      </c>
      <c r="B343" s="37">
        <v>0.45276196337898134</v>
      </c>
      <c r="C343" s="67">
        <v>21455</v>
      </c>
      <c r="D343" s="67">
        <v>21455</v>
      </c>
      <c r="E343" s="32">
        <v>27332</v>
      </c>
      <c r="F343" s="67">
        <v>80</v>
      </c>
      <c r="G343" s="63">
        <v>16.6099999999999</v>
      </c>
      <c r="H343" s="67">
        <v>36629.18</v>
      </c>
      <c r="I343" s="63">
        <v>457.86475000000002</v>
      </c>
      <c r="J343" s="132">
        <v>26.74</v>
      </c>
      <c r="K343" s="134">
        <v>1.1222000000000001</v>
      </c>
      <c r="M343" s="170"/>
      <c r="R343" s="32"/>
      <c r="T343" s="63"/>
      <c r="U343" s="132"/>
      <c r="V343" s="134"/>
    </row>
    <row r="344" spans="1:22" x14ac:dyDescent="0.25">
      <c r="A344">
        <v>1861504946</v>
      </c>
      <c r="B344" s="37">
        <v>0.65</v>
      </c>
      <c r="C344" s="67">
        <v>12454</v>
      </c>
      <c r="D344" s="67">
        <v>12454</v>
      </c>
      <c r="E344" s="32">
        <v>28785</v>
      </c>
      <c r="F344" s="67">
        <v>50</v>
      </c>
      <c r="G344" s="63">
        <v>12.180000000000064</v>
      </c>
      <c r="H344" s="67">
        <v>28544</v>
      </c>
      <c r="I344" s="63">
        <v>570.88</v>
      </c>
      <c r="J344" s="132">
        <v>26.74</v>
      </c>
      <c r="K344" s="134">
        <v>1.2856000000000001</v>
      </c>
      <c r="M344" s="170"/>
      <c r="R344" s="32"/>
      <c r="T344" s="63"/>
      <c r="U344" s="132"/>
      <c r="V344" s="134"/>
    </row>
    <row r="345" spans="1:22" x14ac:dyDescent="0.25">
      <c r="A345">
        <v>1861513715</v>
      </c>
      <c r="B345" s="37">
        <v>0.55187138909821654</v>
      </c>
      <c r="C345" s="67">
        <v>16427</v>
      </c>
      <c r="D345" s="67">
        <v>16427</v>
      </c>
      <c r="E345" s="32">
        <v>27944</v>
      </c>
      <c r="F345" s="67">
        <v>78</v>
      </c>
      <c r="G345" s="63">
        <v>15</v>
      </c>
      <c r="H345" s="67">
        <v>31200</v>
      </c>
      <c r="I345" s="63">
        <v>303.43589743589746</v>
      </c>
      <c r="J345" s="132">
        <v>26.74</v>
      </c>
      <c r="K345" s="134">
        <v>1.2005999999999999</v>
      </c>
      <c r="M345" s="170"/>
      <c r="R345" s="32"/>
      <c r="T345" s="63"/>
      <c r="U345" s="132"/>
      <c r="V345" s="134"/>
    </row>
    <row r="346" spans="1:22" x14ac:dyDescent="0.25">
      <c r="A346">
        <v>1861521635</v>
      </c>
      <c r="B346" s="37">
        <v>0.65</v>
      </c>
      <c r="C346" s="67">
        <v>36477</v>
      </c>
      <c r="D346" s="67">
        <v>36477</v>
      </c>
      <c r="E346" s="32">
        <v>28078</v>
      </c>
      <c r="F346" s="67">
        <v>114</v>
      </c>
      <c r="G346" s="63">
        <v>12.740000000000009</v>
      </c>
      <c r="H346" s="67">
        <v>47889</v>
      </c>
      <c r="I346" s="63">
        <v>420.07894736842104</v>
      </c>
      <c r="J346" s="132">
        <v>26.74</v>
      </c>
      <c r="K346" s="134">
        <v>1.3844000000000001</v>
      </c>
      <c r="M346" s="170"/>
      <c r="R346" s="32"/>
      <c r="T346" s="63"/>
      <c r="U346" s="132"/>
      <c r="V346" s="134"/>
    </row>
    <row r="347" spans="1:22" x14ac:dyDescent="0.25">
      <c r="A347">
        <v>1871063214</v>
      </c>
      <c r="B347" s="37">
        <v>0.67698638809749934</v>
      </c>
      <c r="C347" s="67">
        <v>30149</v>
      </c>
      <c r="D347" s="67">
        <v>30149</v>
      </c>
      <c r="E347" s="32">
        <v>28779</v>
      </c>
      <c r="F347" s="67">
        <v>106</v>
      </c>
      <c r="G347" s="63">
        <v>24.039999999999964</v>
      </c>
      <c r="H347" s="67">
        <v>45063</v>
      </c>
      <c r="I347" s="63">
        <v>425.12264150943395</v>
      </c>
      <c r="J347" s="132">
        <v>26.74</v>
      </c>
      <c r="K347" s="134">
        <v>1.0001</v>
      </c>
      <c r="M347" s="170"/>
      <c r="R347" s="32"/>
      <c r="T347" s="63"/>
      <c r="U347" s="132"/>
      <c r="V347" s="134"/>
    </row>
    <row r="348" spans="1:22" x14ac:dyDescent="0.25">
      <c r="A348">
        <v>1871143305</v>
      </c>
      <c r="B348" s="37">
        <v>0.61002106926520938</v>
      </c>
      <c r="C348" s="67">
        <v>31204</v>
      </c>
      <c r="D348" s="67">
        <v>31204</v>
      </c>
      <c r="E348" s="32">
        <v>28025</v>
      </c>
      <c r="F348" s="67">
        <v>120</v>
      </c>
      <c r="G348" s="63">
        <v>33.5</v>
      </c>
      <c r="H348" s="67">
        <v>39257</v>
      </c>
      <c r="I348" s="63">
        <v>327.14166666666665</v>
      </c>
      <c r="J348" s="132">
        <v>26.74</v>
      </c>
      <c r="K348" s="134">
        <v>1.1839999999999999</v>
      </c>
      <c r="M348" s="170"/>
      <c r="R348" s="32"/>
      <c r="T348" s="63"/>
      <c r="U348" s="132"/>
      <c r="V348" s="134"/>
    </row>
    <row r="349" spans="1:22" x14ac:dyDescent="0.25">
      <c r="A349">
        <v>1871548487</v>
      </c>
      <c r="B349" s="37">
        <v>0.56712085785697008</v>
      </c>
      <c r="C349" s="67">
        <v>20549</v>
      </c>
      <c r="D349" s="67">
        <v>20549</v>
      </c>
      <c r="E349" s="32">
        <v>28147</v>
      </c>
      <c r="F349" s="67">
        <v>60</v>
      </c>
      <c r="G349" s="63">
        <v>9.4900000000000091</v>
      </c>
      <c r="H349" s="67">
        <v>25500</v>
      </c>
      <c r="I349" s="63">
        <v>0</v>
      </c>
      <c r="J349" s="132">
        <v>26.74</v>
      </c>
      <c r="K349" s="134">
        <v>1.1337999999999999</v>
      </c>
      <c r="M349" s="170"/>
      <c r="R349" s="32"/>
      <c r="T349" s="63"/>
      <c r="U349" s="132"/>
      <c r="V349" s="134"/>
    </row>
    <row r="350" spans="1:22" x14ac:dyDescent="0.25">
      <c r="A350">
        <v>1881648350</v>
      </c>
      <c r="B350" s="37">
        <v>0.61030101475228105</v>
      </c>
      <c r="C350" s="67">
        <v>17909</v>
      </c>
      <c r="D350" s="67">
        <v>17909</v>
      </c>
      <c r="E350" s="32">
        <v>27983</v>
      </c>
      <c r="F350" s="67">
        <v>60</v>
      </c>
      <c r="G350" s="63">
        <v>7.0499999999999545</v>
      </c>
      <c r="H350" s="67">
        <v>33396.123217922606</v>
      </c>
      <c r="I350" s="63">
        <v>556.60205363204341</v>
      </c>
      <c r="J350" s="132">
        <v>26.74</v>
      </c>
      <c r="K350" s="134">
        <v>1.0482</v>
      </c>
      <c r="M350" s="170"/>
      <c r="R350" s="32"/>
      <c r="T350" s="63"/>
      <c r="U350" s="132"/>
      <c r="V350" s="134"/>
    </row>
    <row r="351" spans="1:22" x14ac:dyDescent="0.25">
      <c r="A351">
        <v>1881993079</v>
      </c>
      <c r="B351" s="37">
        <v>0.75640138408304491</v>
      </c>
      <c r="C351" s="67">
        <v>34922</v>
      </c>
      <c r="D351" s="67">
        <v>34922</v>
      </c>
      <c r="E351" s="32">
        <v>27103</v>
      </c>
      <c r="F351" s="67">
        <v>151</v>
      </c>
      <c r="G351" s="63">
        <v>18.339999999999918</v>
      </c>
      <c r="H351" s="67">
        <v>105700</v>
      </c>
      <c r="I351" s="63">
        <v>801.83206106870227</v>
      </c>
      <c r="J351" s="132">
        <v>26.74</v>
      </c>
      <c r="K351" s="134">
        <v>1.1218999999999999</v>
      </c>
      <c r="M351" s="170"/>
      <c r="R351" s="32"/>
      <c r="T351" s="63"/>
      <c r="U351" s="132"/>
      <c r="V351" s="134"/>
    </row>
    <row r="352" spans="1:22" x14ac:dyDescent="0.25">
      <c r="A352">
        <v>1891346797</v>
      </c>
      <c r="B352" s="37">
        <v>0.64809571003822741</v>
      </c>
      <c r="C352" s="67">
        <v>19551</v>
      </c>
      <c r="D352" s="67">
        <v>21360.197014925372</v>
      </c>
      <c r="E352" s="32">
        <v>28001</v>
      </c>
      <c r="F352" s="67">
        <v>90</v>
      </c>
      <c r="G352" s="63">
        <v>3.7999999999999545</v>
      </c>
      <c r="H352" s="67">
        <v>38250</v>
      </c>
      <c r="I352" s="63">
        <v>0</v>
      </c>
      <c r="J352" s="132">
        <v>26.74</v>
      </c>
      <c r="K352" s="134">
        <v>1.1800999999999999</v>
      </c>
      <c r="M352" s="170"/>
      <c r="R352" s="32"/>
      <c r="T352" s="63"/>
      <c r="U352" s="132"/>
      <c r="V352" s="134"/>
    </row>
    <row r="353" spans="1:22" x14ac:dyDescent="0.25">
      <c r="A353">
        <v>1891722187</v>
      </c>
      <c r="B353" s="37">
        <v>0.74441487216711022</v>
      </c>
      <c r="C353" s="67">
        <v>28711</v>
      </c>
      <c r="D353" s="67">
        <v>28711</v>
      </c>
      <c r="E353" s="32">
        <v>28613</v>
      </c>
      <c r="F353" s="67">
        <v>90</v>
      </c>
      <c r="G353" s="63">
        <v>8.0799999999999272</v>
      </c>
      <c r="H353" s="67">
        <v>38250</v>
      </c>
      <c r="I353" s="63">
        <v>401.51111111111112</v>
      </c>
      <c r="J353" s="132">
        <v>26.74</v>
      </c>
      <c r="K353" s="134">
        <v>1.1052</v>
      </c>
      <c r="M353" s="170"/>
      <c r="R353" s="32"/>
      <c r="T353" s="63"/>
      <c r="U353" s="132"/>
      <c r="V353" s="134"/>
    </row>
    <row r="354" spans="1:22" x14ac:dyDescent="0.25">
      <c r="A354">
        <v>1891740544</v>
      </c>
      <c r="B354" s="37">
        <v>0.60050870360066766</v>
      </c>
      <c r="C354" s="67">
        <v>23272</v>
      </c>
      <c r="D354" s="67">
        <v>23272</v>
      </c>
      <c r="E354" s="32">
        <v>27332</v>
      </c>
      <c r="F354" s="67">
        <v>83</v>
      </c>
      <c r="G354" s="63">
        <v>7.9200000000000728</v>
      </c>
      <c r="H354" s="67">
        <v>44304</v>
      </c>
      <c r="I354" s="63">
        <v>533.7831325301205</v>
      </c>
      <c r="J354" s="132">
        <v>26.74</v>
      </c>
      <c r="K354" s="134">
        <v>1.1444000000000001</v>
      </c>
      <c r="M354" s="170"/>
      <c r="R354" s="32"/>
      <c r="T354" s="63"/>
      <c r="U354" s="132"/>
      <c r="V354" s="134"/>
    </row>
    <row r="355" spans="1:22" x14ac:dyDescent="0.25">
      <c r="A355">
        <v>1891908687</v>
      </c>
      <c r="B355" s="37">
        <v>0.65</v>
      </c>
      <c r="C355" s="67">
        <v>30085</v>
      </c>
      <c r="D355" s="67">
        <v>30085</v>
      </c>
      <c r="E355" s="32">
        <v>27006</v>
      </c>
      <c r="F355" s="67">
        <v>117</v>
      </c>
      <c r="G355" s="63">
        <v>19.569999999999936</v>
      </c>
      <c r="H355" s="67">
        <v>46800</v>
      </c>
      <c r="I355" s="63">
        <v>347.23931623931622</v>
      </c>
      <c r="J355" s="132">
        <v>26.74</v>
      </c>
      <c r="K355" s="134">
        <v>1.2626999999999999</v>
      </c>
      <c r="M355" s="170"/>
      <c r="R355" s="32"/>
      <c r="T355" s="63"/>
      <c r="U355" s="132"/>
      <c r="V355" s="134"/>
    </row>
    <row r="356" spans="1:22" x14ac:dyDescent="0.25">
      <c r="A356">
        <v>1902462401</v>
      </c>
      <c r="B356" s="37">
        <v>0.51498437212722925</v>
      </c>
      <c r="C356" s="67">
        <v>20743</v>
      </c>
      <c r="D356" s="67">
        <v>20743</v>
      </c>
      <c r="E356" s="32">
        <v>27536</v>
      </c>
      <c r="F356" s="67">
        <v>78</v>
      </c>
      <c r="G356" s="63">
        <v>14.309999999999945</v>
      </c>
      <c r="H356" s="67">
        <v>31200</v>
      </c>
      <c r="I356" s="63">
        <v>285.11538461538464</v>
      </c>
      <c r="J356" s="132">
        <v>26.74</v>
      </c>
      <c r="K356" s="134">
        <v>1.0935999999999999</v>
      </c>
      <c r="M356" s="170"/>
      <c r="R356" s="32"/>
      <c r="T356" s="63"/>
      <c r="U356" s="132"/>
      <c r="V356" s="134"/>
    </row>
    <row r="357" spans="1:22" x14ac:dyDescent="0.25">
      <c r="A357">
        <v>1902853781</v>
      </c>
      <c r="B357" s="37">
        <v>0.6327624978377443</v>
      </c>
      <c r="C357" s="67">
        <v>26926</v>
      </c>
      <c r="D357" s="67">
        <v>26926</v>
      </c>
      <c r="E357" s="32">
        <v>28301</v>
      </c>
      <c r="F357" s="67">
        <v>86</v>
      </c>
      <c r="G357" s="63">
        <v>11.980000000000018</v>
      </c>
      <c r="H357" s="67">
        <v>57479.483879707397</v>
      </c>
      <c r="I357" s="63">
        <v>668.36609162450463</v>
      </c>
      <c r="J357" s="132">
        <v>26.74</v>
      </c>
      <c r="K357" s="134">
        <v>1.3577999999999999</v>
      </c>
      <c r="M357" s="170"/>
      <c r="R357" s="32"/>
      <c r="T357" s="63"/>
      <c r="U357" s="132"/>
      <c r="V357" s="134"/>
    </row>
    <row r="358" spans="1:22" x14ac:dyDescent="0.25">
      <c r="A358">
        <v>1902875578</v>
      </c>
      <c r="B358" s="37">
        <v>0.63571569986141363</v>
      </c>
      <c r="C358" s="67">
        <v>26438</v>
      </c>
      <c r="D358" s="67">
        <v>26438</v>
      </c>
      <c r="E358" s="32">
        <v>27316</v>
      </c>
      <c r="F358" s="67">
        <v>90</v>
      </c>
      <c r="G358" s="63">
        <v>17.440000000000055</v>
      </c>
      <c r="H358" s="67">
        <v>37968</v>
      </c>
      <c r="I358" s="63">
        <v>421.86666666666667</v>
      </c>
      <c r="J358" s="132">
        <v>26.74</v>
      </c>
      <c r="K358" s="134">
        <v>1.3657999999999999</v>
      </c>
      <c r="M358" s="170"/>
      <c r="R358" s="32"/>
      <c r="T358" s="63"/>
      <c r="U358" s="132"/>
      <c r="V358" s="134"/>
    </row>
    <row r="359" spans="1:22" x14ac:dyDescent="0.25">
      <c r="A359">
        <v>1912027871</v>
      </c>
      <c r="B359" s="37">
        <v>0.66953556349464105</v>
      </c>
      <c r="C359" s="67">
        <v>0</v>
      </c>
      <c r="D359" s="67">
        <v>0</v>
      </c>
      <c r="E359" s="32">
        <v>28786</v>
      </c>
      <c r="F359" s="67">
        <v>90</v>
      </c>
      <c r="G359" s="63">
        <v>12.329999999999927</v>
      </c>
      <c r="H359" s="67">
        <v>41226</v>
      </c>
      <c r="I359" s="63">
        <v>458.06666666666666</v>
      </c>
      <c r="J359" s="132">
        <v>26.74</v>
      </c>
      <c r="K359" s="134">
        <v>1.1547000000000001</v>
      </c>
      <c r="M359" s="170"/>
      <c r="R359" s="32"/>
      <c r="T359" s="63"/>
      <c r="U359" s="132"/>
      <c r="V359" s="134"/>
    </row>
    <row r="360" spans="1:22" x14ac:dyDescent="0.25">
      <c r="A360">
        <v>1912323635</v>
      </c>
      <c r="B360" s="37">
        <v>0.65</v>
      </c>
      <c r="C360" s="67">
        <v>32428</v>
      </c>
      <c r="D360" s="67">
        <v>32428</v>
      </c>
      <c r="E360" s="32">
        <v>27012</v>
      </c>
      <c r="F360" s="67">
        <v>100</v>
      </c>
      <c r="G360" s="63">
        <v>8</v>
      </c>
      <c r="H360" s="67">
        <v>70000</v>
      </c>
      <c r="I360" s="63">
        <v>703.74</v>
      </c>
      <c r="J360" s="132">
        <v>0</v>
      </c>
      <c r="K360" s="134">
        <v>1.1940999999999999</v>
      </c>
      <c r="M360" s="170"/>
      <c r="R360" s="32"/>
      <c r="T360" s="63"/>
      <c r="U360" s="132"/>
      <c r="V360" s="134"/>
    </row>
    <row r="361" spans="1:22" x14ac:dyDescent="0.25">
      <c r="A361">
        <v>1912485517</v>
      </c>
      <c r="B361" s="37">
        <v>0.6396356365252166</v>
      </c>
      <c r="C361" s="67">
        <v>29771</v>
      </c>
      <c r="D361" s="67">
        <v>29771</v>
      </c>
      <c r="E361" s="32">
        <v>27028</v>
      </c>
      <c r="F361" s="67">
        <v>96</v>
      </c>
      <c r="G361" s="63">
        <v>3</v>
      </c>
      <c r="H361" s="67">
        <v>56888.888888888891</v>
      </c>
      <c r="I361" s="63">
        <v>592.59259259259261</v>
      </c>
      <c r="J361" s="132">
        <v>26.74</v>
      </c>
      <c r="K361" s="134">
        <v>1.1349</v>
      </c>
      <c r="M361" s="170"/>
      <c r="R361" s="32"/>
      <c r="T361" s="63"/>
      <c r="U361" s="132"/>
      <c r="V361" s="134"/>
    </row>
    <row r="362" spans="1:22" x14ac:dyDescent="0.25">
      <c r="A362">
        <v>1912902230</v>
      </c>
      <c r="B362" s="37">
        <v>0.60920680968012819</v>
      </c>
      <c r="C362" s="67">
        <v>37776</v>
      </c>
      <c r="D362" s="67">
        <v>37776</v>
      </c>
      <c r="E362" s="32">
        <v>27105</v>
      </c>
      <c r="F362" s="67">
        <v>117</v>
      </c>
      <c r="G362" s="63">
        <v>6.3599999999999</v>
      </c>
      <c r="H362" s="67">
        <v>68159</v>
      </c>
      <c r="I362" s="63">
        <v>582.55555555555554</v>
      </c>
      <c r="J362" s="132">
        <v>26.74</v>
      </c>
      <c r="K362" s="134">
        <v>1.1697</v>
      </c>
      <c r="M362" s="170"/>
      <c r="R362" s="32"/>
      <c r="T362" s="63"/>
      <c r="U362" s="132"/>
      <c r="V362" s="134"/>
    </row>
    <row r="363" spans="1:22" x14ac:dyDescent="0.25">
      <c r="A363">
        <v>1922456664</v>
      </c>
      <c r="B363" s="37">
        <v>0.64409951563188017</v>
      </c>
      <c r="C363" s="67">
        <v>25540</v>
      </c>
      <c r="D363" s="67">
        <v>25540</v>
      </c>
      <c r="E363" s="32">
        <v>28134</v>
      </c>
      <c r="F363" s="67">
        <v>106</v>
      </c>
      <c r="G363" s="63">
        <v>22.1099999999999</v>
      </c>
      <c r="H363" s="67">
        <v>39750</v>
      </c>
      <c r="I363" s="63">
        <v>0</v>
      </c>
      <c r="J363" s="132">
        <v>26.74</v>
      </c>
      <c r="K363" s="134">
        <v>1.3028999999999999</v>
      </c>
      <c r="M363" s="170"/>
      <c r="R363" s="32"/>
      <c r="T363" s="63"/>
      <c r="U363" s="132"/>
      <c r="V363" s="134"/>
    </row>
    <row r="364" spans="1:22" x14ac:dyDescent="0.25">
      <c r="A364">
        <v>1922611102</v>
      </c>
      <c r="B364" s="37">
        <v>0.709206556307592</v>
      </c>
      <c r="C364" s="67">
        <v>47393</v>
      </c>
      <c r="D364" s="67">
        <v>47393</v>
      </c>
      <c r="E364" s="32">
        <v>27804</v>
      </c>
      <c r="F364" s="67">
        <v>141</v>
      </c>
      <c r="G364" s="63">
        <v>31.079999999999927</v>
      </c>
      <c r="H364" s="67">
        <v>45825</v>
      </c>
      <c r="I364" s="63">
        <v>306.17021276595744</v>
      </c>
      <c r="J364" s="132">
        <v>8.6399999999999988</v>
      </c>
      <c r="K364" s="134">
        <v>1.1216999999999999</v>
      </c>
      <c r="M364" s="170"/>
      <c r="R364" s="32"/>
      <c r="T364" s="63"/>
      <c r="U364" s="132"/>
      <c r="V364" s="134"/>
    </row>
    <row r="365" spans="1:22" x14ac:dyDescent="0.25">
      <c r="A365">
        <v>1932107547</v>
      </c>
      <c r="B365" s="37">
        <v>0.69069593414816655</v>
      </c>
      <c r="C365" s="67">
        <v>11402</v>
      </c>
      <c r="D365" s="67">
        <v>11402</v>
      </c>
      <c r="E365" s="32">
        <v>27030</v>
      </c>
      <c r="F365" s="67">
        <v>33</v>
      </c>
      <c r="G365" s="63">
        <v>16.660000000000082</v>
      </c>
      <c r="H365" s="67">
        <v>13200</v>
      </c>
      <c r="I365" s="63">
        <v>0</v>
      </c>
      <c r="J365" s="132">
        <v>26.74</v>
      </c>
      <c r="K365" s="134">
        <v>0.91830000000000001</v>
      </c>
      <c r="M365" s="170"/>
      <c r="R365" s="32"/>
      <c r="T365" s="63"/>
      <c r="U365" s="132"/>
      <c r="V365" s="134"/>
    </row>
    <row r="366" spans="1:22" x14ac:dyDescent="0.25">
      <c r="A366">
        <v>1932135381</v>
      </c>
      <c r="B366" s="37">
        <v>0.65307712282524022</v>
      </c>
      <c r="C366" s="67">
        <v>17010</v>
      </c>
      <c r="D366" s="67">
        <v>17010</v>
      </c>
      <c r="E366" s="32">
        <v>28001</v>
      </c>
      <c r="F366" s="67">
        <v>60</v>
      </c>
      <c r="G366" s="63">
        <v>20.660000000000082</v>
      </c>
      <c r="H366" s="67">
        <v>22500</v>
      </c>
      <c r="I366" s="63">
        <v>328.39938397749148</v>
      </c>
      <c r="J366" s="132">
        <v>26.74</v>
      </c>
      <c r="K366" s="134">
        <v>1.1547000000000001</v>
      </c>
      <c r="M366" s="170"/>
      <c r="R366" s="32"/>
      <c r="T366" s="63"/>
      <c r="U366" s="132"/>
      <c r="V366" s="134"/>
    </row>
    <row r="367" spans="1:22" x14ac:dyDescent="0.25">
      <c r="A367">
        <v>1932145836</v>
      </c>
      <c r="B367" s="37">
        <v>0.63635005973715641</v>
      </c>
      <c r="C367" s="67">
        <v>44219</v>
      </c>
      <c r="D367" s="67">
        <v>44219</v>
      </c>
      <c r="E367" s="32">
        <v>28502</v>
      </c>
      <c r="F367" s="67">
        <v>175</v>
      </c>
      <c r="G367" s="63">
        <v>10.75</v>
      </c>
      <c r="H367" s="67">
        <v>70000</v>
      </c>
      <c r="I367" s="63">
        <v>349.45142857142855</v>
      </c>
      <c r="J367" s="132">
        <v>8.6399999999999988</v>
      </c>
      <c r="K367" s="134">
        <v>1.1498999999999999</v>
      </c>
      <c r="M367" s="170"/>
      <c r="R367" s="32"/>
      <c r="T367" s="63"/>
      <c r="U367" s="132"/>
      <c r="V367" s="134"/>
    </row>
    <row r="368" spans="1:22" x14ac:dyDescent="0.25">
      <c r="A368">
        <v>1932368586</v>
      </c>
      <c r="B368" s="37">
        <v>0.65</v>
      </c>
      <c r="C368" s="67">
        <v>5266</v>
      </c>
      <c r="D368" s="67">
        <v>5266</v>
      </c>
      <c r="E368" s="32">
        <v>27215</v>
      </c>
      <c r="F368" s="67">
        <v>16</v>
      </c>
      <c r="G368" s="63">
        <v>2</v>
      </c>
      <c r="H368" s="67">
        <v>11200</v>
      </c>
      <c r="I368" s="63">
        <v>13542.9375</v>
      </c>
      <c r="J368" s="132">
        <v>0</v>
      </c>
      <c r="K368" s="134">
        <v>1.179314330001999</v>
      </c>
      <c r="M368" s="170"/>
      <c r="R368" s="32"/>
      <c r="T368" s="63"/>
      <c r="U368" s="132"/>
      <c r="V368" s="134"/>
    </row>
    <row r="369" spans="1:22" x14ac:dyDescent="0.25">
      <c r="A369">
        <v>1932606530</v>
      </c>
      <c r="B369" s="37">
        <v>0.67015222649025474</v>
      </c>
      <c r="C369" s="67">
        <v>50300</v>
      </c>
      <c r="D369" s="67">
        <v>50300</v>
      </c>
      <c r="E369" s="32">
        <v>28144</v>
      </c>
      <c r="F369" s="67">
        <v>185</v>
      </c>
      <c r="G369" s="63">
        <v>30.630000000000109</v>
      </c>
      <c r="H369" s="67">
        <v>60125</v>
      </c>
      <c r="I369" s="63">
        <v>296.15675675675675</v>
      </c>
      <c r="J369" s="132">
        <v>8.6399999999999988</v>
      </c>
      <c r="K369" s="134">
        <v>1.0170999999999999</v>
      </c>
      <c r="M369" s="170"/>
      <c r="R369" s="32"/>
      <c r="T369" s="63"/>
      <c r="U369" s="132"/>
      <c r="V369" s="134"/>
    </row>
    <row r="370" spans="1:22" x14ac:dyDescent="0.25">
      <c r="A370">
        <v>1932750841</v>
      </c>
      <c r="B370" s="37">
        <v>0.72053919496500873</v>
      </c>
      <c r="C370" s="67">
        <v>46577</v>
      </c>
      <c r="D370" s="67">
        <v>37220.921397379912</v>
      </c>
      <c r="E370" s="32">
        <v>28078</v>
      </c>
      <c r="F370" s="67">
        <v>168</v>
      </c>
      <c r="G370" s="63">
        <v>2</v>
      </c>
      <c r="H370" s="67">
        <v>71400</v>
      </c>
      <c r="I370" s="63">
        <v>0</v>
      </c>
      <c r="J370" s="132">
        <v>26.74</v>
      </c>
      <c r="K370" s="134">
        <v>1.1820999999999999</v>
      </c>
      <c r="M370" s="170"/>
      <c r="R370" s="32"/>
      <c r="T370" s="63"/>
      <c r="U370" s="132"/>
      <c r="V370" s="134"/>
    </row>
    <row r="371" spans="1:22" x14ac:dyDescent="0.25">
      <c r="A371">
        <v>1942236161</v>
      </c>
      <c r="B371" s="37">
        <v>0.5595415171931053</v>
      </c>
      <c r="C371" s="67">
        <v>18263</v>
      </c>
      <c r="D371" s="67">
        <v>18263</v>
      </c>
      <c r="E371" s="32">
        <v>28570</v>
      </c>
      <c r="F371" s="67">
        <v>64</v>
      </c>
      <c r="G371" s="63">
        <v>10.430000000000064</v>
      </c>
      <c r="H371" s="67">
        <v>27742</v>
      </c>
      <c r="I371" s="63">
        <v>433.46875</v>
      </c>
      <c r="J371" s="132">
        <v>26.74</v>
      </c>
      <c r="K371" s="134">
        <v>1.1870000000000001</v>
      </c>
      <c r="M371" s="170"/>
      <c r="R371" s="32"/>
      <c r="T371" s="63"/>
      <c r="U371" s="132"/>
      <c r="V371" s="134"/>
    </row>
    <row r="372" spans="1:22" x14ac:dyDescent="0.25">
      <c r="A372">
        <v>1942279609</v>
      </c>
      <c r="B372" s="37">
        <v>0.60952550838387443</v>
      </c>
      <c r="C372" s="67">
        <v>31188</v>
      </c>
      <c r="D372" s="67">
        <v>31188</v>
      </c>
      <c r="E372" s="32">
        <v>28026</v>
      </c>
      <c r="F372" s="67">
        <v>120</v>
      </c>
      <c r="G372" s="63">
        <v>33.5</v>
      </c>
      <c r="H372" s="67">
        <v>39000</v>
      </c>
      <c r="I372" s="63">
        <v>297.28333333333336</v>
      </c>
      <c r="J372" s="132">
        <v>26.74</v>
      </c>
      <c r="K372" s="134">
        <v>1.3653</v>
      </c>
      <c r="M372" s="170"/>
      <c r="R372" s="32"/>
      <c r="T372" s="63"/>
      <c r="U372" s="132"/>
      <c r="V372" s="134"/>
    </row>
    <row r="373" spans="1:22" x14ac:dyDescent="0.25">
      <c r="A373">
        <v>1942583752</v>
      </c>
      <c r="B373" s="37">
        <v>0.54754010898974881</v>
      </c>
      <c r="C373" s="67">
        <v>19085</v>
      </c>
      <c r="D373" s="67">
        <v>19085</v>
      </c>
      <c r="E373" s="32">
        <v>27573</v>
      </c>
      <c r="F373" s="67">
        <v>60</v>
      </c>
      <c r="G373" s="63">
        <v>5</v>
      </c>
      <c r="H373" s="67">
        <v>25500</v>
      </c>
      <c r="I373" s="63">
        <v>0</v>
      </c>
      <c r="J373" s="132">
        <v>26.74</v>
      </c>
      <c r="K373" s="134">
        <v>0.95289999999999997</v>
      </c>
      <c r="M373" s="170"/>
      <c r="R373" s="32"/>
      <c r="T373" s="63"/>
      <c r="U373" s="132"/>
      <c r="V373" s="134"/>
    </row>
    <row r="374" spans="1:22" x14ac:dyDescent="0.25">
      <c r="A374">
        <v>1952337073</v>
      </c>
      <c r="B374" s="37">
        <v>0.59402801021756357</v>
      </c>
      <c r="C374" s="67">
        <v>17714</v>
      </c>
      <c r="D374" s="67">
        <v>17714</v>
      </c>
      <c r="E374" s="32">
        <v>28655</v>
      </c>
      <c r="F374" s="67">
        <v>121</v>
      </c>
      <c r="G374" s="63">
        <v>33.5</v>
      </c>
      <c r="H374" s="67">
        <v>39325</v>
      </c>
      <c r="I374" s="63">
        <v>321.81818181818181</v>
      </c>
      <c r="J374" s="132">
        <v>26.74</v>
      </c>
      <c r="K374" s="134">
        <v>1.2966</v>
      </c>
      <c r="M374" s="170"/>
      <c r="R374" s="32"/>
      <c r="T374" s="63"/>
      <c r="U374" s="132"/>
      <c r="V374" s="134"/>
    </row>
    <row r="375" spans="1:22" x14ac:dyDescent="0.25">
      <c r="A375">
        <v>1952354565</v>
      </c>
      <c r="B375" s="37">
        <v>0.70996100204904489</v>
      </c>
      <c r="C375" s="67">
        <v>58990</v>
      </c>
      <c r="D375" s="67">
        <v>58990</v>
      </c>
      <c r="E375" s="32">
        <v>27262</v>
      </c>
      <c r="F375" s="67">
        <v>199</v>
      </c>
      <c r="G375" s="63">
        <v>28.089999999999918</v>
      </c>
      <c r="H375" s="67">
        <v>69650</v>
      </c>
      <c r="I375" s="63">
        <v>276.95979899497485</v>
      </c>
      <c r="J375" s="132">
        <v>8.6399999999999988</v>
      </c>
      <c r="K375" s="134">
        <v>1.1662999999999999</v>
      </c>
      <c r="M375" s="170"/>
      <c r="R375" s="32"/>
      <c r="T375" s="63"/>
      <c r="U375" s="132"/>
      <c r="V375" s="134"/>
    </row>
    <row r="376" spans="1:22" x14ac:dyDescent="0.25">
      <c r="A376">
        <v>1952396509</v>
      </c>
      <c r="B376" s="37">
        <v>0.65642633228840119</v>
      </c>
      <c r="C376" s="67">
        <v>28943</v>
      </c>
      <c r="D376" s="67">
        <v>28943</v>
      </c>
      <c r="E376" s="32">
        <v>28713</v>
      </c>
      <c r="F376" s="67">
        <v>120</v>
      </c>
      <c r="G376" s="63">
        <v>33.5</v>
      </c>
      <c r="H376" s="67">
        <v>39000</v>
      </c>
      <c r="I376" s="63">
        <v>281.51666666666665</v>
      </c>
      <c r="J376" s="132">
        <v>26.74</v>
      </c>
      <c r="K376" s="134">
        <v>1.0975999999999999</v>
      </c>
      <c r="M376" s="170"/>
      <c r="R376" s="32"/>
      <c r="T376" s="63"/>
      <c r="U376" s="132"/>
      <c r="V376" s="134"/>
    </row>
    <row r="377" spans="1:22" x14ac:dyDescent="0.25">
      <c r="A377">
        <v>1952446510</v>
      </c>
      <c r="B377" s="37">
        <v>0.66498476770754</v>
      </c>
      <c r="C377" s="67">
        <v>37054</v>
      </c>
      <c r="D377" s="67">
        <v>37054</v>
      </c>
      <c r="E377" s="32">
        <v>28479</v>
      </c>
      <c r="F377" s="67">
        <v>175</v>
      </c>
      <c r="G377" s="63">
        <v>23</v>
      </c>
      <c r="H377" s="67">
        <v>65625</v>
      </c>
      <c r="I377" s="63">
        <v>0</v>
      </c>
      <c r="J377" s="132">
        <v>26.74</v>
      </c>
      <c r="K377" s="134">
        <v>0.96879999999999999</v>
      </c>
      <c r="M377" s="170"/>
      <c r="R377" s="32"/>
      <c r="T377" s="63"/>
      <c r="U377" s="132"/>
      <c r="V377" s="134"/>
    </row>
    <row r="378" spans="1:22" x14ac:dyDescent="0.25">
      <c r="A378">
        <v>1952486771</v>
      </c>
      <c r="B378" s="37">
        <v>0.63864677204904707</v>
      </c>
      <c r="C378" s="67">
        <v>35098</v>
      </c>
      <c r="D378" s="67">
        <v>35098</v>
      </c>
      <c r="E378" s="32">
        <v>28906</v>
      </c>
      <c r="F378" s="67">
        <v>134</v>
      </c>
      <c r="G378" s="63">
        <v>2</v>
      </c>
      <c r="H378" s="67">
        <v>74094.999999999985</v>
      </c>
      <c r="I378" s="63">
        <v>552.94776119402979</v>
      </c>
      <c r="J378" s="132">
        <v>26.74</v>
      </c>
      <c r="K378" s="134">
        <v>1.2417</v>
      </c>
      <c r="M378" s="170"/>
      <c r="R378" s="32"/>
      <c r="T378" s="63"/>
      <c r="U378" s="132"/>
      <c r="V378" s="134"/>
    </row>
    <row r="379" spans="1:22" x14ac:dyDescent="0.25">
      <c r="A379">
        <v>1952766271</v>
      </c>
      <c r="B379" s="37">
        <v>0.67431333435629892</v>
      </c>
      <c r="C379" s="67">
        <v>47008</v>
      </c>
      <c r="D379" s="67">
        <v>47008</v>
      </c>
      <c r="E379" s="32">
        <v>27909</v>
      </c>
      <c r="F379" s="67">
        <v>146</v>
      </c>
      <c r="G379" s="63">
        <v>9.4600000000000364</v>
      </c>
      <c r="H379" s="67">
        <v>65264.576470588232</v>
      </c>
      <c r="I379" s="63">
        <v>447.01764705882351</v>
      </c>
      <c r="J379" s="132">
        <v>8.6399999999999988</v>
      </c>
      <c r="K379" s="134">
        <v>1.4025000000000001</v>
      </c>
      <c r="M379" s="170"/>
      <c r="R379" s="32"/>
      <c r="T379" s="63"/>
      <c r="U379" s="132"/>
      <c r="V379" s="134"/>
    </row>
    <row r="380" spans="1:22" x14ac:dyDescent="0.25">
      <c r="A380">
        <v>1962052498</v>
      </c>
      <c r="B380" s="37">
        <v>0.61238303802508465</v>
      </c>
      <c r="C380" s="67">
        <v>24261</v>
      </c>
      <c r="D380" s="67">
        <v>24261</v>
      </c>
      <c r="E380" s="32">
        <v>28211</v>
      </c>
      <c r="F380" s="67">
        <v>100</v>
      </c>
      <c r="G380" s="63">
        <v>33.5</v>
      </c>
      <c r="H380" s="67">
        <v>34999</v>
      </c>
      <c r="I380" s="63">
        <v>349.99</v>
      </c>
      <c r="J380" s="132">
        <v>26.74</v>
      </c>
      <c r="K380" s="134">
        <v>1.0044999999999999</v>
      </c>
      <c r="M380" s="170"/>
      <c r="R380" s="32"/>
      <c r="T380" s="63"/>
      <c r="U380" s="132"/>
      <c r="V380" s="134"/>
    </row>
    <row r="381" spans="1:22" x14ac:dyDescent="0.25">
      <c r="A381">
        <v>1962066480</v>
      </c>
      <c r="B381" s="37">
        <v>0.73196099674972925</v>
      </c>
      <c r="C381" s="67">
        <v>32082</v>
      </c>
      <c r="D381" s="67">
        <v>32082</v>
      </c>
      <c r="E381" s="32">
        <v>28655</v>
      </c>
      <c r="F381" s="67">
        <v>120</v>
      </c>
      <c r="G381" s="63">
        <v>33.5</v>
      </c>
      <c r="H381" s="67">
        <v>39000</v>
      </c>
      <c r="I381" s="63">
        <v>283.33333333333331</v>
      </c>
      <c r="J381" s="132">
        <v>26.74</v>
      </c>
      <c r="K381" s="134">
        <v>1.4397</v>
      </c>
      <c r="M381" s="170"/>
      <c r="R381" s="32"/>
      <c r="T381" s="63"/>
      <c r="U381" s="132"/>
      <c r="V381" s="134"/>
    </row>
    <row r="382" spans="1:22" x14ac:dyDescent="0.25">
      <c r="A382">
        <v>1962447565</v>
      </c>
      <c r="B382" s="37">
        <v>0.58304109342685007</v>
      </c>
      <c r="C382" s="67">
        <v>49467</v>
      </c>
      <c r="D382" s="67">
        <v>49467</v>
      </c>
      <c r="E382" s="32">
        <v>28546</v>
      </c>
      <c r="F382" s="67">
        <v>239</v>
      </c>
      <c r="G382" s="63">
        <v>27.3900000000001</v>
      </c>
      <c r="H382" s="67">
        <v>83650</v>
      </c>
      <c r="I382" s="63">
        <v>303.202369822962</v>
      </c>
      <c r="J382" s="132">
        <v>8.6399999999999988</v>
      </c>
      <c r="K382" s="134">
        <v>1.1944999999999999</v>
      </c>
      <c r="M382" s="170"/>
      <c r="R382" s="32"/>
      <c r="T382" s="63"/>
      <c r="U382" s="132"/>
      <c r="V382" s="134"/>
    </row>
    <row r="383" spans="1:22" x14ac:dyDescent="0.25">
      <c r="A383">
        <v>1962505313</v>
      </c>
      <c r="B383" s="37">
        <v>0.64010406629408367</v>
      </c>
      <c r="C383" s="67">
        <v>41301</v>
      </c>
      <c r="D383" s="67">
        <v>41301</v>
      </c>
      <c r="E383" s="32">
        <v>28640</v>
      </c>
      <c r="F383" s="67">
        <v>210</v>
      </c>
      <c r="G383" s="63">
        <v>20.650000000000091</v>
      </c>
      <c r="H383" s="67">
        <v>86795</v>
      </c>
      <c r="I383" s="63">
        <v>413.3095238095238</v>
      </c>
      <c r="J383" s="132">
        <v>26.74</v>
      </c>
      <c r="K383" s="134">
        <v>1.2879</v>
      </c>
      <c r="M383" s="170"/>
      <c r="R383" s="32"/>
      <c r="T383" s="63"/>
      <c r="U383" s="132"/>
      <c r="V383" s="134"/>
    </row>
    <row r="384" spans="1:22" x14ac:dyDescent="0.25">
      <c r="A384">
        <v>1962509505</v>
      </c>
      <c r="B384" s="37">
        <v>0.6233014392538393</v>
      </c>
      <c r="C384" s="67">
        <v>31100</v>
      </c>
      <c r="D384" s="67">
        <v>31100</v>
      </c>
      <c r="E384" s="32">
        <v>27292</v>
      </c>
      <c r="F384" s="67">
        <v>100</v>
      </c>
      <c r="G384" s="63">
        <v>15.309999999999945</v>
      </c>
      <c r="H384" s="67">
        <v>55000</v>
      </c>
      <c r="I384" s="63">
        <v>550</v>
      </c>
      <c r="J384" s="132">
        <v>26.74</v>
      </c>
      <c r="K384" s="134">
        <v>1.3275999999999999</v>
      </c>
      <c r="M384" s="170"/>
      <c r="R384" s="32"/>
      <c r="T384" s="63"/>
      <c r="U384" s="132"/>
      <c r="V384" s="134"/>
    </row>
    <row r="385" spans="1:22" x14ac:dyDescent="0.25">
      <c r="A385">
        <v>1962832899</v>
      </c>
      <c r="B385" s="37">
        <v>0.65</v>
      </c>
      <c r="C385" s="67">
        <v>32083</v>
      </c>
      <c r="D385" s="67">
        <v>32083</v>
      </c>
      <c r="E385" s="32">
        <v>28277</v>
      </c>
      <c r="F385" s="67">
        <v>120</v>
      </c>
      <c r="G385" s="63">
        <v>8.7000000000000455</v>
      </c>
      <c r="H385" s="67">
        <v>79370</v>
      </c>
      <c r="I385" s="63">
        <v>661.41666666666663</v>
      </c>
      <c r="J385" s="132">
        <v>26.74</v>
      </c>
      <c r="K385" s="134">
        <v>1.1765000000000001</v>
      </c>
      <c r="M385" s="170"/>
      <c r="R385" s="32"/>
      <c r="T385" s="63"/>
      <c r="U385" s="132"/>
      <c r="V385" s="134"/>
    </row>
    <row r="386" spans="1:22" x14ac:dyDescent="0.25">
      <c r="A386">
        <v>1972050276</v>
      </c>
      <c r="B386" s="37">
        <v>0.64710553482093225</v>
      </c>
      <c r="C386" s="67">
        <v>32746</v>
      </c>
      <c r="D386" s="67">
        <v>32746</v>
      </c>
      <c r="E386" s="32">
        <v>27589</v>
      </c>
      <c r="F386" s="67">
        <v>140</v>
      </c>
      <c r="G386" s="63">
        <v>33.5</v>
      </c>
      <c r="H386" s="67">
        <v>45500</v>
      </c>
      <c r="I386" s="63">
        <v>308.75282880386197</v>
      </c>
      <c r="J386" s="132">
        <v>26.74</v>
      </c>
      <c r="K386" s="134">
        <v>1.2211000000000001</v>
      </c>
      <c r="M386" s="170"/>
      <c r="R386" s="32"/>
      <c r="T386" s="63"/>
      <c r="U386" s="132"/>
      <c r="V386" s="134"/>
    </row>
    <row r="387" spans="1:22" x14ac:dyDescent="0.25">
      <c r="A387">
        <v>1972071033</v>
      </c>
      <c r="B387" s="37">
        <v>0.66485355648535571</v>
      </c>
      <c r="C387" s="67">
        <v>30413</v>
      </c>
      <c r="D387" s="67">
        <v>30413</v>
      </c>
      <c r="E387" s="32">
        <v>28677</v>
      </c>
      <c r="F387" s="67">
        <v>147</v>
      </c>
      <c r="G387" s="63">
        <v>25.779999999999973</v>
      </c>
      <c r="H387" s="67">
        <v>51450</v>
      </c>
      <c r="I387" s="63">
        <v>248.03401360544217</v>
      </c>
      <c r="J387" s="132">
        <v>26.74</v>
      </c>
      <c r="K387" s="134">
        <v>1.236</v>
      </c>
      <c r="M387" s="170"/>
      <c r="R387" s="32"/>
      <c r="T387" s="63"/>
      <c r="U387" s="132"/>
      <c r="V387" s="134"/>
    </row>
    <row r="388" spans="1:22" x14ac:dyDescent="0.25">
      <c r="A388">
        <v>1972547321</v>
      </c>
      <c r="B388" s="37">
        <v>0.61653210303729333</v>
      </c>
      <c r="C388" s="67">
        <v>27380</v>
      </c>
      <c r="D388" s="67">
        <v>27380</v>
      </c>
      <c r="E388" s="32">
        <v>27536</v>
      </c>
      <c r="F388" s="67">
        <v>92</v>
      </c>
      <c r="G388" s="63">
        <v>19.339999999999918</v>
      </c>
      <c r="H388" s="67">
        <v>36800</v>
      </c>
      <c r="I388" s="63">
        <v>344.39753626817946</v>
      </c>
      <c r="J388" s="132">
        <v>26.74</v>
      </c>
      <c r="K388" s="134">
        <v>1.3925000000000001</v>
      </c>
      <c r="M388" s="170"/>
      <c r="R388" s="32"/>
      <c r="T388" s="63"/>
      <c r="U388" s="132"/>
      <c r="V388" s="134"/>
    </row>
    <row r="389" spans="1:22" x14ac:dyDescent="0.25">
      <c r="A389">
        <v>1972587376</v>
      </c>
      <c r="B389" s="37">
        <v>0.67482670027630998</v>
      </c>
      <c r="C389" s="67">
        <v>31571</v>
      </c>
      <c r="D389" s="67">
        <v>31571</v>
      </c>
      <c r="E389" s="32">
        <v>27705</v>
      </c>
      <c r="F389" s="67">
        <v>110</v>
      </c>
      <c r="G389" s="63">
        <v>1</v>
      </c>
      <c r="H389" s="67">
        <v>46750</v>
      </c>
      <c r="I389" s="63">
        <v>0</v>
      </c>
      <c r="J389" s="132">
        <v>0</v>
      </c>
      <c r="K389" s="134">
        <v>1.1676</v>
      </c>
      <c r="M389" s="170"/>
      <c r="R389" s="32"/>
      <c r="T389" s="63"/>
      <c r="U389" s="132"/>
      <c r="V389" s="134"/>
    </row>
    <row r="390" spans="1:22" x14ac:dyDescent="0.25">
      <c r="A390">
        <v>1982130811</v>
      </c>
      <c r="B390" s="37">
        <v>0.65</v>
      </c>
      <c r="C390" s="67">
        <v>42098</v>
      </c>
      <c r="D390" s="67">
        <v>42098</v>
      </c>
      <c r="E390" s="32">
        <v>27301</v>
      </c>
      <c r="F390" s="67">
        <v>134</v>
      </c>
      <c r="G390" s="63">
        <v>13</v>
      </c>
      <c r="H390" s="67">
        <v>66888</v>
      </c>
      <c r="I390" s="63">
        <v>499.16417910447763</v>
      </c>
      <c r="J390" s="132">
        <v>8.6399999999999988</v>
      </c>
      <c r="K390" s="134">
        <v>1.2976000000000001</v>
      </c>
      <c r="M390" s="170"/>
      <c r="R390" s="32"/>
      <c r="T390" s="63"/>
      <c r="U390" s="132"/>
      <c r="V390" s="134"/>
    </row>
    <row r="391" spans="1:22" x14ac:dyDescent="0.25">
      <c r="A391">
        <v>1982640785</v>
      </c>
      <c r="B391" s="37">
        <v>0.60640900195694725</v>
      </c>
      <c r="C391" s="67">
        <v>40842</v>
      </c>
      <c r="D391" s="67">
        <v>40842</v>
      </c>
      <c r="E391" s="32">
        <v>27360</v>
      </c>
      <c r="F391" s="67">
        <v>140</v>
      </c>
      <c r="G391" s="63">
        <v>32.779999999999973</v>
      </c>
      <c r="H391" s="67">
        <v>45500</v>
      </c>
      <c r="I391" s="63">
        <v>264.11038961038963</v>
      </c>
      <c r="J391" s="132">
        <v>26.74</v>
      </c>
      <c r="K391" s="134">
        <v>1.2888999999999999</v>
      </c>
      <c r="M391" s="170"/>
      <c r="R391" s="32"/>
      <c r="T391" s="63"/>
      <c r="U391" s="132"/>
      <c r="V391" s="134"/>
    </row>
    <row r="392" spans="1:22" x14ac:dyDescent="0.25">
      <c r="A392">
        <v>1982948550</v>
      </c>
      <c r="B392" s="37">
        <v>0.69413564507904135</v>
      </c>
      <c r="C392" s="67">
        <v>16623</v>
      </c>
      <c r="D392" s="67">
        <v>16623</v>
      </c>
      <c r="E392" s="32">
        <v>28711</v>
      </c>
      <c r="F392" s="67">
        <v>60</v>
      </c>
      <c r="G392" s="63">
        <v>33.5</v>
      </c>
      <c r="H392" s="67">
        <v>24074.334455928463</v>
      </c>
      <c r="I392" s="63">
        <v>401.23890759880771</v>
      </c>
      <c r="J392" s="132">
        <v>0</v>
      </c>
      <c r="K392" s="134">
        <v>0.87060000000000004</v>
      </c>
      <c r="M392" s="170"/>
      <c r="R392" s="32"/>
      <c r="T392" s="63"/>
      <c r="U392" s="132"/>
      <c r="V392" s="134"/>
    </row>
    <row r="393" spans="1:22" x14ac:dyDescent="0.25">
      <c r="A393">
        <v>1992106348</v>
      </c>
      <c r="B393" s="37">
        <v>0.65</v>
      </c>
      <c r="C393" s="67">
        <v>29521</v>
      </c>
      <c r="D393" s="67">
        <v>29521</v>
      </c>
      <c r="E393" s="32">
        <v>28110</v>
      </c>
      <c r="F393" s="67">
        <v>90</v>
      </c>
      <c r="G393" s="63">
        <v>5.2999999999999545</v>
      </c>
      <c r="H393" s="67">
        <v>61600</v>
      </c>
      <c r="I393" s="63">
        <v>684.44444444444446</v>
      </c>
      <c r="J393" s="132">
        <v>26.74</v>
      </c>
      <c r="K393" s="134">
        <v>1.3059000000000001</v>
      </c>
      <c r="M393" s="170"/>
      <c r="R393" s="32"/>
      <c r="T393" s="63"/>
      <c r="U393" s="132"/>
      <c r="V393" s="134"/>
    </row>
    <row r="394" spans="1:22" x14ac:dyDescent="0.25">
      <c r="A394">
        <v>1992242119</v>
      </c>
      <c r="B394" s="37">
        <v>0.61314413741598206</v>
      </c>
      <c r="C394" s="67">
        <v>41456</v>
      </c>
      <c r="D394" s="67">
        <v>41456</v>
      </c>
      <c r="E394" s="32">
        <v>27910</v>
      </c>
      <c r="F394" s="67">
        <v>151</v>
      </c>
      <c r="G394" s="63">
        <v>21.789999999999964</v>
      </c>
      <c r="H394" s="67">
        <v>56625</v>
      </c>
      <c r="I394" s="63">
        <v>287.65562913907286</v>
      </c>
      <c r="J394" s="132">
        <v>26.74</v>
      </c>
      <c r="K394" s="134">
        <v>1.1827000000000001</v>
      </c>
      <c r="M394" s="170"/>
      <c r="R394" s="32"/>
      <c r="T394" s="63"/>
      <c r="U394" s="132"/>
      <c r="V394" s="134"/>
    </row>
    <row r="395" spans="1:22" x14ac:dyDescent="0.25">
      <c r="A395">
        <v>1992724157</v>
      </c>
      <c r="B395" s="37">
        <v>0.66870437956204387</v>
      </c>
      <c r="C395" s="67">
        <v>27610</v>
      </c>
      <c r="D395" s="67">
        <v>27610</v>
      </c>
      <c r="E395" s="32">
        <v>28301</v>
      </c>
      <c r="F395" s="67">
        <v>85</v>
      </c>
      <c r="G395" s="63">
        <v>26.869999999999891</v>
      </c>
      <c r="H395" s="67">
        <v>29750</v>
      </c>
      <c r="I395" s="63">
        <v>266.8235294117647</v>
      </c>
      <c r="J395" s="132">
        <v>26.74</v>
      </c>
      <c r="K395" s="134">
        <v>1.1712</v>
      </c>
      <c r="M395" s="170"/>
      <c r="R395" s="32"/>
      <c r="T395" s="63"/>
      <c r="U395" s="132"/>
      <c r="V395" s="134"/>
    </row>
    <row r="396" spans="1:22" x14ac:dyDescent="0.25">
      <c r="A396">
        <v>1992793962</v>
      </c>
      <c r="B396" s="37">
        <v>0.62066225165562916</v>
      </c>
      <c r="C396" s="67">
        <v>37179</v>
      </c>
      <c r="D396" s="67">
        <v>37179</v>
      </c>
      <c r="E396" s="32">
        <v>28443</v>
      </c>
      <c r="F396" s="67">
        <v>112</v>
      </c>
      <c r="G396" s="63">
        <v>17.210000000000036</v>
      </c>
      <c r="H396" s="67">
        <v>54741.65635609204</v>
      </c>
      <c r="I396" s="63">
        <v>488.76478889367894</v>
      </c>
      <c r="J396" s="132">
        <v>26.74</v>
      </c>
      <c r="K396" s="134">
        <v>1.3420000000000001</v>
      </c>
      <c r="M396" s="170"/>
      <c r="R396" s="32"/>
      <c r="T396" s="63"/>
      <c r="U396" s="132"/>
      <c r="V396" s="134"/>
    </row>
    <row r="397" spans="1:22" x14ac:dyDescent="0.25">
      <c r="A397">
        <v>1992825848</v>
      </c>
      <c r="B397" s="37">
        <v>0.70798875289447571</v>
      </c>
      <c r="C397" s="67">
        <v>32084</v>
      </c>
      <c r="D397" s="67">
        <v>32084</v>
      </c>
      <c r="E397" s="32">
        <v>28677</v>
      </c>
      <c r="F397" s="67">
        <v>94</v>
      </c>
      <c r="G397" s="63">
        <v>22.119999999999891</v>
      </c>
      <c r="H397" s="67">
        <v>35250</v>
      </c>
      <c r="I397" s="63">
        <v>348.68538401352822</v>
      </c>
      <c r="J397" s="132">
        <v>26.74</v>
      </c>
      <c r="K397" s="134">
        <v>1.3018000000000001</v>
      </c>
      <c r="M397" s="170"/>
      <c r="R397" s="32"/>
      <c r="T397" s="63"/>
      <c r="U397" s="132"/>
      <c r="V397" s="134"/>
    </row>
    <row r="398" spans="1:22" x14ac:dyDescent="0.25">
      <c r="A398">
        <v>1992998504</v>
      </c>
      <c r="B398" s="37">
        <v>0.65</v>
      </c>
      <c r="C398" s="67">
        <v>39170</v>
      </c>
      <c r="D398" s="67">
        <v>39170</v>
      </c>
      <c r="E398" s="32">
        <v>28215</v>
      </c>
      <c r="F398" s="67">
        <v>120</v>
      </c>
      <c r="G398" s="63">
        <v>5</v>
      </c>
      <c r="H398" s="67">
        <v>51000</v>
      </c>
      <c r="I398" s="63">
        <v>0</v>
      </c>
      <c r="J398" s="132">
        <v>0</v>
      </c>
      <c r="K398" s="134">
        <v>0.98109999999999997</v>
      </c>
      <c r="M398" s="170"/>
      <c r="R398" s="32"/>
      <c r="T398" s="63"/>
      <c r="U398" s="132"/>
      <c r="V398" s="134"/>
    </row>
  </sheetData>
  <autoFilter ref="A1:D1" xr:uid="{EA842702-DDA3-4949-8C35-37848DAE03EC}"/>
  <sortState xmlns:xlrd2="http://schemas.microsoft.com/office/spreadsheetml/2017/richdata2" ref="A2:K398">
    <sortCondition ref="A2:A398"/>
  </sortState>
  <phoneticPr fontId="4"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Read Me</vt:lpstr>
      <vt:lpstr>Rate Calculation</vt:lpstr>
      <vt:lpstr>New Facilities</vt:lpstr>
      <vt:lpstr>FRV Instructions</vt:lpstr>
      <vt:lpstr>FRV Rate Calculation</vt:lpstr>
      <vt:lpstr>Capital Data Survey Info</vt:lpstr>
      <vt:lpstr>2017 and newer renovations</vt:lpstr>
      <vt:lpstr>RSMeans Factors</vt:lpstr>
      <vt:lpstr>Lookup Info</vt:lpstr>
      <vt:lpstr>January 2023 Fee Schedule</vt:lpstr>
      <vt:lpstr>'FRV Rate Calculation'!Print_Area</vt:lpstr>
      <vt:lpstr>'Rate Calculation'!Print_Area</vt:lpstr>
    </vt:vector>
  </TitlesOfParts>
  <Company>UNC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Brookshire</dc:creator>
  <cp:lastModifiedBy>Sam Clark</cp:lastModifiedBy>
  <cp:lastPrinted>2008-01-10T15:29:20Z</cp:lastPrinted>
  <dcterms:created xsi:type="dcterms:W3CDTF">2005-12-22T15:27:23Z</dcterms:created>
  <dcterms:modified xsi:type="dcterms:W3CDTF">2023-01-12T18:18:57Z</dcterms:modified>
</cp:coreProperties>
</file>