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NCHCFA\Medicaid Rates\Rate Calculation\"/>
    </mc:Choice>
  </mc:AlternateContent>
  <xr:revisionPtr revIDLastSave="0" documentId="13_ncr:1_{8C22D6C0-5A62-4D4A-9090-919EF8DF3ED2}" xr6:coauthVersionLast="47" xr6:coauthVersionMax="47" xr10:uidLastSave="{00000000-0000-0000-0000-000000000000}"/>
  <workbookProtection lockStructure="1"/>
  <bookViews>
    <workbookView xWindow="-108" yWindow="-108" windowWidth="23256" windowHeight="12576" tabRatio="789" xr2:uid="{00000000-000D-0000-FFFF-FFFF00000000}"/>
  </bookViews>
  <sheets>
    <sheet name="Read Me" sheetId="11" r:id="rId1"/>
    <sheet name="Rate Calculation" sheetId="10" r:id="rId2"/>
    <sheet name="New Facilities" sheetId="19" state="hidden" r:id="rId3"/>
    <sheet name="FRV Instructions" sheetId="9" r:id="rId4"/>
    <sheet name="FRV Rate Calculation" sheetId="8" r:id="rId5"/>
    <sheet name="Capital Data Survey Info" sheetId="18" r:id="rId6"/>
    <sheet name="2017 and newer renovations" sheetId="17" state="hidden" r:id="rId7"/>
    <sheet name="RSMeans Factors" sheetId="2" state="hidden" r:id="rId8"/>
    <sheet name="Lookup Info" sheetId="14" state="hidden" r:id="rId9"/>
    <sheet name="July 2022 Fee Schedule" sheetId="16" r:id="rId10"/>
  </sheets>
  <externalReferences>
    <externalReference r:id="rId11"/>
    <externalReference r:id="rId12"/>
  </externalReferences>
  <definedNames>
    <definedName name="_xlnm._FilterDatabase" localSheetId="8" hidden="1">'Lookup Info'!$A$1:$D$1</definedName>
    <definedName name="_xlnm.Print_Area" localSheetId="4">'FRV Rate Calculation'!$A$1:$I$63</definedName>
    <definedName name="_xlnm.Print_Area" localSheetId="1">'Rate Calculation'!$F$3:$J$22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8" l="1"/>
  <c r="C2" i="19" l="1"/>
  <c r="I9" i="10" l="1"/>
  <c r="G7" i="19"/>
  <c r="N15" i="10" l="1"/>
  <c r="H15" i="10"/>
  <c r="H14" i="10"/>
  <c r="N14" i="10"/>
  <c r="N13" i="10"/>
  <c r="H13" i="10"/>
  <c r="F12" i="10"/>
  <c r="L12" i="10" s="1"/>
  <c r="I11" i="10"/>
  <c r="O11" i="10" s="1"/>
  <c r="H12" i="10"/>
  <c r="N12" i="10" s="1"/>
  <c r="I12" i="10"/>
  <c r="O12" i="10" s="1"/>
  <c r="F6" i="10"/>
  <c r="L6" i="10" s="1"/>
  <c r="F11" i="10"/>
  <c r="L11" i="10" s="1"/>
  <c r="H11" i="10"/>
  <c r="N11" i="10" s="1"/>
  <c r="G8" i="19"/>
  <c r="G10" i="19" s="1"/>
  <c r="G12" i="19" s="1"/>
  <c r="G15" i="19" s="1"/>
  <c r="B14" i="10" l="1"/>
  <c r="K3" i="14"/>
  <c r="K4" i="14"/>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0" i="14"/>
  <c r="K171"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K195" i="14"/>
  <c r="K196" i="14"/>
  <c r="K197" i="14"/>
  <c r="K198" i="14"/>
  <c r="K199" i="14"/>
  <c r="K200" i="14"/>
  <c r="K201" i="14"/>
  <c r="B9" i="10" s="1"/>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233" i="14"/>
  <c r="K234" i="14"/>
  <c r="K235" i="14"/>
  <c r="K236" i="14"/>
  <c r="K237" i="14"/>
  <c r="K238" i="14"/>
  <c r="K239" i="14"/>
  <c r="K240" i="14"/>
  <c r="K241" i="14"/>
  <c r="K242" i="14"/>
  <c r="K243" i="14"/>
  <c r="K244"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90" i="14"/>
  <c r="K291" i="14"/>
  <c r="K292" i="14"/>
  <c r="K293" i="14"/>
  <c r="K294" i="14"/>
  <c r="K295" i="14"/>
  <c r="K296" i="14"/>
  <c r="K297" i="14"/>
  <c r="K298" i="14"/>
  <c r="K299" i="14"/>
  <c r="K300" i="14"/>
  <c r="K301" i="14"/>
  <c r="K302" i="14"/>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47" i="14"/>
  <c r="K348" i="14"/>
  <c r="K349" i="14"/>
  <c r="K350" i="14"/>
  <c r="K351" i="14"/>
  <c r="K352" i="14"/>
  <c r="K353" i="14"/>
  <c r="K354" i="14"/>
  <c r="K355" i="14"/>
  <c r="K356" i="14"/>
  <c r="K357" i="14"/>
  <c r="K358" i="14"/>
  <c r="K359" i="14"/>
  <c r="K360"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2" i="14"/>
  <c r="A4" i="18"/>
  <c r="A7" i="10"/>
  <c r="B6" i="18"/>
  <c r="O8" i="10"/>
  <c r="I24" i="10"/>
  <c r="C2" i="8"/>
  <c r="E15" i="8"/>
  <c r="D15" i="8"/>
  <c r="C7" i="8" l="1"/>
  <c r="C14" i="8"/>
  <c r="C55" i="8" s="1"/>
  <c r="C3" i="8"/>
  <c r="C5" i="8"/>
  <c r="E5" i="8" s="1"/>
  <c r="E39" i="8" s="1"/>
  <c r="C4" i="8"/>
  <c r="D4" i="8" s="1"/>
  <c r="C6" i="8"/>
  <c r="C17" i="8" s="1"/>
  <c r="C66" i="8"/>
  <c r="E30" i="8"/>
  <c r="D30" i="8"/>
  <c r="C64" i="8" l="1"/>
  <c r="D69" i="8"/>
  <c r="D55" i="8"/>
  <c r="C59" i="8"/>
  <c r="E7" i="8"/>
  <c r="E12" i="8" s="1"/>
  <c r="E40" i="8" s="1"/>
  <c r="E41" i="8" s="1"/>
  <c r="B7" i="10"/>
  <c r="F11" i="8"/>
  <c r="D3" i="8"/>
  <c r="D11" i="8" s="1"/>
  <c r="C30" i="8"/>
  <c r="E73" i="8" s="1"/>
  <c r="C15" i="8"/>
  <c r="D7" i="8"/>
  <c r="C12" i="8"/>
  <c r="C39" i="8"/>
  <c r="D2" i="8"/>
  <c r="F2" i="8" s="1"/>
  <c r="E2" i="8"/>
  <c r="E6" i="8"/>
  <c r="E17" i="8" s="1"/>
  <c r="D5" i="8"/>
  <c r="D6" i="8"/>
  <c r="D17" i="8" s="1"/>
  <c r="C11" i="8"/>
  <c r="C13" i="8" s="1"/>
  <c r="D47" i="8"/>
  <c r="C65" i="8" l="1"/>
  <c r="C67" i="8" s="1"/>
  <c r="C57" i="8"/>
  <c r="E3" i="8"/>
  <c r="E11" i="8" s="1"/>
  <c r="E13" i="8" s="1"/>
  <c r="E16" i="8" s="1"/>
  <c r="E18" i="8" s="1"/>
  <c r="D13" i="8"/>
  <c r="D16" i="8" s="1"/>
  <c r="D18" i="8" s="1"/>
  <c r="E26" i="8"/>
  <c r="C16" i="8"/>
  <c r="H3" i="8" s="1"/>
  <c r="C40" i="8"/>
  <c r="C41" i="8" s="1"/>
  <c r="C26" i="8"/>
  <c r="F7" i="8"/>
  <c r="D12" i="8"/>
  <c r="F6" i="8"/>
  <c r="F17" i="8" s="1"/>
  <c r="D39" i="8"/>
  <c r="F5" i="8"/>
  <c r="F39" i="8" s="1"/>
  <c r="D57" i="8" l="1"/>
  <c r="D58" i="8" s="1"/>
  <c r="C58" i="8"/>
  <c r="C61" i="8" s="1"/>
  <c r="F14" i="8" s="1"/>
  <c r="E29" i="8"/>
  <c r="E32" i="8" s="1"/>
  <c r="E33" i="8" s="1"/>
  <c r="E22" i="8"/>
  <c r="C18" i="8"/>
  <c r="C22" i="8" s="1"/>
  <c r="D40" i="8"/>
  <c r="D41" i="8" s="1"/>
  <c r="D26" i="8"/>
  <c r="D29" i="8" s="1"/>
  <c r="F12" i="8"/>
  <c r="F13" i="8"/>
  <c r="D22" i="8"/>
  <c r="D61" i="8" l="1"/>
  <c r="E58" i="8"/>
  <c r="H8" i="8" s="1"/>
  <c r="C69" i="8"/>
  <c r="E69" i="8" s="1"/>
  <c r="F15" i="8"/>
  <c r="F16" i="8" s="1"/>
  <c r="F18" i="8" s="1"/>
  <c r="D44" i="8"/>
  <c r="E34" i="8"/>
  <c r="E38" i="8" s="1"/>
  <c r="E42" i="8" s="1"/>
  <c r="C29" i="8"/>
  <c r="C32" i="8" s="1"/>
  <c r="C33" i="8" s="1"/>
  <c r="C34" i="8" s="1"/>
  <c r="C38" i="8" s="1"/>
  <c r="C42" i="8" s="1"/>
  <c r="B13" i="10" s="1"/>
  <c r="I18" i="10" s="1"/>
  <c r="F40" i="8"/>
  <c r="F41" i="8" s="1"/>
  <c r="F26" i="8"/>
  <c r="D32" i="8"/>
  <c r="D33" i="8" s="1"/>
  <c r="D34" i="8" s="1"/>
  <c r="D38" i="8" s="1"/>
  <c r="D42" i="8" s="1"/>
  <c r="C70" i="8" l="1"/>
  <c r="F30" i="8"/>
  <c r="D45" i="8"/>
  <c r="F29" i="8"/>
  <c r="F22" i="8"/>
  <c r="C71" i="8" l="1"/>
  <c r="E70" i="8"/>
  <c r="E71" i="8" s="1"/>
  <c r="F32" i="8"/>
  <c r="F33" i="8" s="1"/>
  <c r="F34" i="8" s="1"/>
  <c r="F38" i="8" s="1"/>
  <c r="F42" i="8" s="1"/>
  <c r="O18" i="10" s="1"/>
  <c r="E72" i="8" l="1"/>
  <c r="E74" i="8" s="1"/>
  <c r="D49" i="8"/>
  <c r="D48" i="8"/>
  <c r="F16" i="2" l="1"/>
  <c r="F18" i="2" l="1"/>
  <c r="F19" i="2" s="1"/>
  <c r="F15" i="2"/>
  <c r="F20" i="2" l="1"/>
  <c r="F14" i="2"/>
  <c r="F13" i="2" l="1"/>
  <c r="F21" i="2"/>
  <c r="F22" i="2" l="1"/>
  <c r="F12" i="2"/>
  <c r="F11" i="2" l="1"/>
  <c r="F23" i="2"/>
  <c r="F24" i="2" l="1"/>
  <c r="F10" i="2"/>
  <c r="F9" i="2" l="1"/>
  <c r="F25" i="2"/>
  <c r="F26" i="2" l="1"/>
  <c r="F8" i="2"/>
  <c r="F7" i="2" l="1"/>
  <c r="F27" i="2"/>
  <c r="F6" i="2" l="1"/>
  <c r="F28" i="2"/>
  <c r="F29" i="2" l="1"/>
  <c r="F5" i="2"/>
  <c r="F4" i="2" l="1"/>
  <c r="F30" i="2"/>
  <c r="F31" i="2" l="1"/>
  <c r="F3" i="2"/>
  <c r="F32" i="2" l="1"/>
  <c r="F33" i="2" l="1"/>
  <c r="F34" i="2" l="1"/>
  <c r="F35" i="2" l="1"/>
  <c r="F36" i="2" l="1"/>
  <c r="F37" i="2" l="1"/>
  <c r="F38" i="2" l="1"/>
  <c r="F39" i="2" l="1"/>
  <c r="F40" i="2" l="1"/>
  <c r="F41" i="2" l="1"/>
  <c r="F42" i="2" l="1"/>
  <c r="F43" i="2" l="1"/>
  <c r="F44" i="2" l="1"/>
  <c r="F45" i="2" l="1"/>
  <c r="F46" i="2" l="1"/>
  <c r="F47" i="2" l="1"/>
  <c r="F48" i="2" l="1"/>
  <c r="F49" i="2" l="1"/>
  <c r="F50" i="2" l="1"/>
  <c r="F51" i="2" l="1"/>
  <c r="F52" i="2" l="1"/>
  <c r="F53" i="2" l="1"/>
  <c r="F54" i="2" l="1"/>
  <c r="F55" i="2" l="1"/>
  <c r="F56" i="2" l="1"/>
  <c r="F57" i="2" l="1"/>
  <c r="F58" i="2" l="1"/>
  <c r="F59" i="2" l="1"/>
  <c r="F60" i="2" l="1"/>
  <c r="F61" i="2" l="1"/>
  <c r="F62" i="2" l="1"/>
  <c r="F63" i="2" l="1"/>
  <c r="F64" i="2" l="1"/>
  <c r="F65" i="2" l="1"/>
  <c r="F66" i="2" l="1"/>
  <c r="F67" i="2" l="1"/>
  <c r="F68" i="2" l="1"/>
  <c r="F69" i="2" l="1"/>
  <c r="F70" i="2" l="1"/>
  <c r="F71" i="2" l="1"/>
  <c r="F72" i="2" l="1"/>
  <c r="F73" i="2" l="1"/>
  <c r="F74" i="2" l="1"/>
  <c r="I19" i="10" l="1"/>
  <c r="O19" i="10" s="1"/>
  <c r="O9" i="10" l="1"/>
  <c r="O13" i="10" s="1"/>
  <c r="O14" i="10" l="1"/>
  <c r="O15" i="10" s="1"/>
  <c r="I8" i="10"/>
  <c r="I13" i="10"/>
  <c r="I14" i="10" l="1"/>
  <c r="I15" i="10" s="1"/>
  <c r="I20" i="10" s="1"/>
  <c r="O20" i="10"/>
  <c r="O22" i="10" l="1"/>
  <c r="I23" i="10"/>
  <c r="I25" i="10" l="1"/>
  <c r="I27" i="10" s="1"/>
  <c r="G32" i="10"/>
  <c r="B5" i="17" l="1"/>
  <c r="B31" i="17" l="1"/>
  <c r="B32" i="17" l="1"/>
  <c r="B216" i="17"/>
  <c r="B244" i="17" l="1"/>
  <c r="B74" i="17" l="1"/>
  <c r="B24" i="17"/>
  <c r="B131" i="17"/>
  <c r="B209" i="17"/>
  <c r="B8" i="17"/>
  <c r="B66" i="17"/>
  <c r="B39" i="17"/>
  <c r="B17" i="17"/>
  <c r="B77" i="17"/>
  <c r="B73" i="17"/>
  <c r="B68" i="17"/>
  <c r="B64" i="17"/>
  <c r="B245" i="17"/>
  <c r="B63" i="17"/>
  <c r="B247" i="17"/>
  <c r="B70" i="17"/>
  <c r="B86" i="17"/>
  <c r="B53" i="17"/>
  <c r="B42" i="17"/>
  <c r="B84" i="17"/>
  <c r="B75" i="17"/>
  <c r="B27" i="17"/>
  <c r="B46" i="17"/>
  <c r="B7" i="17"/>
  <c r="B69" i="17"/>
  <c r="B19" i="17"/>
  <c r="B49" i="17"/>
  <c r="B71" i="17"/>
  <c r="B94" i="17"/>
  <c r="B16" i="17"/>
  <c r="B93" i="17"/>
  <c r="B57" i="17"/>
  <c r="B124" i="17"/>
  <c r="B281" i="17"/>
  <c r="B18" i="17"/>
  <c r="B83" i="17"/>
  <c r="B22" i="17"/>
  <c r="B82" i="17"/>
  <c r="B51" i="17"/>
  <c r="B47" i="17"/>
  <c r="B52" i="17"/>
  <c r="B48" i="17"/>
  <c r="B167" i="17"/>
  <c r="B248" i="17"/>
  <c r="B81" i="17"/>
  <c r="B162" i="17"/>
  <c r="B79" i="17"/>
  <c r="B10" i="17"/>
  <c r="B365" i="17"/>
  <c r="B139" i="17"/>
  <c r="B76" i="17"/>
  <c r="B25" i="17"/>
  <c r="B29" i="17"/>
  <c r="B40" i="17"/>
  <c r="B85" i="17"/>
  <c r="B44" i="17"/>
  <c r="B72" i="17"/>
  <c r="B14" i="17"/>
  <c r="B78" i="17"/>
  <c r="B45" i="17"/>
  <c r="B58" i="17"/>
  <c r="B325" i="17"/>
  <c r="B80" i="17"/>
  <c r="B50" i="17"/>
  <c r="B28" i="17"/>
  <c r="B396" i="17"/>
  <c r="B101" i="17" l="1"/>
  <c r="B333" i="17"/>
  <c r="B340" i="17"/>
  <c r="B187" i="17"/>
  <c r="B198" i="17"/>
  <c r="B395" i="17"/>
  <c r="B189" i="17"/>
  <c r="B181" i="17"/>
  <c r="B159" i="17"/>
  <c r="B351" i="17"/>
  <c r="B380" i="17"/>
  <c r="B322" i="17"/>
  <c r="B259" i="17"/>
  <c r="B320" i="17"/>
  <c r="B261" i="17"/>
  <c r="B156" i="17"/>
  <c r="B237" i="17"/>
  <c r="B152" i="17"/>
  <c r="B253" i="17"/>
  <c r="B90" i="17"/>
  <c r="B270" i="17"/>
  <c r="B54" i="17"/>
  <c r="B205" i="17"/>
  <c r="B191" i="17"/>
  <c r="B309" i="17"/>
  <c r="B258" i="17"/>
  <c r="B170" i="17"/>
  <c r="B334" i="17"/>
  <c r="B336" i="17"/>
  <c r="B35" i="17"/>
  <c r="B125" i="17"/>
  <c r="B153" i="17"/>
  <c r="B26" i="17"/>
  <c r="B394" i="17"/>
  <c r="B311" i="17"/>
  <c r="B9" i="17"/>
  <c r="B344" i="17"/>
  <c r="B168" i="17"/>
  <c r="B341" i="17"/>
  <c r="B398" i="17"/>
  <c r="B217" i="17"/>
  <c r="B207" i="17"/>
  <c r="B272" i="17"/>
  <c r="B290" i="17"/>
  <c r="B337" i="17"/>
  <c r="B381" i="17"/>
  <c r="B186" i="17"/>
  <c r="B358" i="17"/>
  <c r="B357" i="17"/>
  <c r="B172" i="17"/>
  <c r="B122" i="17"/>
  <c r="B43" i="17"/>
  <c r="B96" i="17"/>
  <c r="B118" i="17"/>
  <c r="B158" i="17"/>
  <c r="B291" i="17"/>
  <c r="B308" i="17"/>
  <c r="B343" i="17"/>
  <c r="B326" i="17"/>
  <c r="B324" i="17"/>
  <c r="B372" i="17"/>
  <c r="B197" i="17"/>
  <c r="B163" i="17"/>
  <c r="B390" i="17"/>
  <c r="B355" i="17"/>
  <c r="B114" i="17"/>
  <c r="B225" i="17"/>
  <c r="B190" i="17"/>
  <c r="B154" i="17"/>
  <c r="B157" i="17"/>
  <c r="B263" i="17"/>
  <c r="B23" i="17"/>
  <c r="B389" i="17"/>
  <c r="B147" i="17"/>
  <c r="B373" i="17"/>
  <c r="B228" i="17"/>
  <c r="B180" i="17"/>
  <c r="B214" i="17"/>
  <c r="B397" i="17"/>
  <c r="B120" i="17"/>
  <c r="B98" i="17"/>
  <c r="B99" i="17"/>
  <c r="B229" i="17"/>
  <c r="B12" i="17"/>
  <c r="B286" i="17"/>
  <c r="B115" i="17"/>
  <c r="B221" i="17"/>
  <c r="B354" i="17"/>
  <c r="B211" i="17"/>
  <c r="B280" i="17"/>
  <c r="B339" i="17"/>
  <c r="B265" i="17"/>
  <c r="B277" i="17"/>
  <c r="B323" i="17"/>
  <c r="B408" i="17"/>
  <c r="B37" i="17"/>
  <c r="B294" i="17"/>
  <c r="B405" i="17"/>
  <c r="B160" i="17"/>
  <c r="B173" i="17"/>
  <c r="B406" i="17"/>
  <c r="B321" i="17"/>
  <c r="B276" i="17"/>
  <c r="B312" i="17"/>
  <c r="B150" i="17"/>
  <c r="B112" i="17"/>
  <c r="B269" i="17"/>
  <c r="B136" i="17"/>
  <c r="B236" i="17"/>
  <c r="B298" i="17"/>
  <c r="B143" i="17"/>
  <c r="B388" i="17"/>
  <c r="B402" i="17"/>
  <c r="B165" i="17"/>
  <c r="B366" i="17"/>
  <c r="B400" i="17"/>
  <c r="B106" i="17"/>
  <c r="B117" i="17"/>
  <c r="B350" i="17"/>
  <c r="B61" i="17"/>
  <c r="B288" i="17"/>
  <c r="B102" i="17"/>
  <c r="B55" i="17"/>
  <c r="B169" i="17"/>
  <c r="B284" i="17"/>
  <c r="B164" i="17"/>
  <c r="B166" i="17"/>
  <c r="B146" i="17"/>
  <c r="B295" i="17"/>
  <c r="B107" i="17"/>
  <c r="B275" i="17"/>
  <c r="B224" i="17"/>
  <c r="B289" i="17"/>
  <c r="B386" i="17"/>
  <c r="B363" i="17"/>
  <c r="B171" i="17"/>
  <c r="B299" i="17"/>
  <c r="B121" i="17"/>
  <c r="B349" i="17"/>
  <c r="B285" i="17"/>
  <c r="B356" i="17"/>
  <c r="B260" i="17"/>
  <c r="B264" i="17"/>
  <c r="B65" i="17"/>
  <c r="B141" i="17"/>
  <c r="B409" i="17"/>
  <c r="B317" i="17"/>
  <c r="B234" i="17"/>
  <c r="B100" i="17"/>
  <c r="B38" i="17"/>
  <c r="B316" i="17"/>
  <c r="B331" i="17"/>
  <c r="B249" i="17"/>
  <c r="B377" i="17"/>
  <c r="B199" i="17"/>
  <c r="B208" i="17"/>
  <c r="B176" i="17"/>
  <c r="B222" i="17"/>
  <c r="B155" i="17"/>
  <c r="B313" i="17"/>
  <c r="B201" i="17"/>
  <c r="B262" i="17"/>
  <c r="B30" i="17"/>
  <c r="B239" i="17"/>
  <c r="B305" i="17"/>
  <c r="B138" i="17"/>
  <c r="B227" i="17"/>
  <c r="B391" i="17"/>
  <c r="B293" i="17"/>
  <c r="B385" i="17"/>
  <c r="B319" i="17"/>
  <c r="B130" i="17"/>
  <c r="B352" i="17"/>
  <c r="B135" i="17"/>
  <c r="B200" i="17"/>
  <c r="B89" i="17"/>
  <c r="B328" i="17"/>
  <c r="B278" i="17"/>
  <c r="B177" i="17"/>
  <c r="B279" i="17"/>
  <c r="B108" i="17"/>
  <c r="B95" i="17"/>
  <c r="B184" i="17"/>
  <c r="B307" i="17"/>
  <c r="B4" i="17"/>
  <c r="B283" i="17"/>
  <c r="B33" i="17"/>
  <c r="B192" i="17"/>
  <c r="B255" i="17"/>
  <c r="B220" i="17"/>
  <c r="B161" i="17"/>
  <c r="B274" i="17"/>
  <c r="B144" i="17"/>
  <c r="B246" i="17"/>
  <c r="B364" i="17"/>
  <c r="B36" i="17"/>
  <c r="B15" i="17"/>
  <c r="B140" i="17"/>
  <c r="B335" i="17"/>
  <c r="B403" i="17"/>
  <c r="B410" i="17"/>
  <c r="B123" i="17"/>
  <c r="B13" i="17"/>
  <c r="B34" i="17"/>
  <c r="B218" i="17"/>
  <c r="B67" i="17"/>
  <c r="B314" i="17"/>
  <c r="B185" i="17"/>
  <c r="B361" i="17"/>
  <c r="B105" i="17"/>
  <c r="B318" i="17"/>
  <c r="B345" i="17"/>
  <c r="B231" i="17"/>
  <c r="B267" i="17"/>
  <c r="B235" i="17"/>
  <c r="B178" i="17"/>
  <c r="B137" i="17"/>
  <c r="B329" i="17"/>
  <c r="B268" i="17"/>
  <c r="B104" i="17"/>
  <c r="B348" i="17"/>
  <c r="B404" i="17"/>
  <c r="B346" i="17"/>
  <c r="B371" i="17"/>
  <c r="B193" i="17"/>
  <c r="B127" i="17"/>
  <c r="B210" i="17"/>
  <c r="B119" i="17"/>
  <c r="B87" i="17"/>
  <c r="B370" i="17"/>
  <c r="B113" i="17"/>
  <c r="B204" i="17"/>
  <c r="B41" i="17"/>
  <c r="B242" i="17"/>
  <c r="B183" i="17"/>
  <c r="B60" i="17"/>
  <c r="B407" i="17"/>
  <c r="B226" i="17"/>
  <c r="B411" i="17"/>
  <c r="B132" i="17"/>
  <c r="B11" i="17"/>
  <c r="B296" i="17"/>
  <c r="B148" i="17"/>
  <c r="B182" i="17"/>
  <c r="B59" i="17"/>
  <c r="B126" i="17"/>
  <c r="B62" i="17"/>
  <c r="B213" i="17"/>
  <c r="B151" i="17"/>
  <c r="B206" i="17"/>
  <c r="B251" i="17"/>
  <c r="B6" i="17"/>
  <c r="B273" i="17"/>
  <c r="B175" i="17"/>
  <c r="B393" i="17"/>
  <c r="B306" i="17"/>
  <c r="B233" i="17"/>
  <c r="B103" i="17"/>
  <c r="B230" i="17"/>
  <c r="B378" i="17"/>
  <c r="B376" i="17"/>
  <c r="B219" i="17"/>
  <c r="B203" i="17"/>
  <c r="B243" i="17"/>
  <c r="B145" i="17"/>
  <c r="B310" i="17"/>
  <c r="B367" i="17"/>
  <c r="B347" i="17"/>
  <c r="B254" i="17"/>
  <c r="B250" i="17"/>
  <c r="B174" i="17"/>
  <c r="B128" i="17"/>
  <c r="B194" i="17"/>
  <c r="B327" i="17"/>
  <c r="B257" i="17"/>
  <c r="B359" i="17"/>
  <c r="B304" i="17"/>
  <c r="B97" i="17"/>
  <c r="B88" i="17"/>
  <c r="B196" i="17"/>
  <c r="B21" i="17"/>
  <c r="B142" i="17"/>
  <c r="B387" i="17"/>
  <c r="B383" i="17"/>
  <c r="B384" i="17"/>
  <c r="B401" i="17"/>
  <c r="B374" i="17"/>
  <c r="B353" i="17"/>
  <c r="B375" i="17"/>
  <c r="B202" i="17"/>
  <c r="B129" i="17"/>
  <c r="B297" i="17"/>
  <c r="B266" i="17"/>
  <c r="B116" i="17"/>
  <c r="B399" i="17"/>
  <c r="B195" i="17"/>
  <c r="B338" i="17"/>
  <c r="B111" i="17"/>
  <c r="B292" i="17"/>
  <c r="B109" i="17"/>
  <c r="B223" i="17"/>
  <c r="B215" i="17"/>
  <c r="B110" i="17"/>
  <c r="B369" i="17"/>
  <c r="B301" i="17"/>
  <c r="B382" i="17"/>
  <c r="B232" i="17"/>
  <c r="B149" i="17"/>
  <c r="B342" i="17"/>
  <c r="B133" i="17"/>
  <c r="B252" i="17"/>
  <c r="B302" i="17"/>
  <c r="B330" i="17"/>
  <c r="B271" i="17"/>
  <c r="B392" i="17"/>
  <c r="B134" i="17"/>
  <c r="B368" i="17"/>
  <c r="B332" i="17"/>
  <c r="B362" i="17"/>
  <c r="B256" i="17"/>
  <c r="B238" i="17"/>
  <c r="B287" i="17"/>
  <c r="B20" i="17"/>
  <c r="B360" i="17"/>
  <c r="B212" i="17"/>
  <c r="B188" i="17"/>
  <c r="B56" i="17"/>
  <c r="B241" i="17"/>
  <c r="B282" i="17"/>
  <c r="B91" i="17"/>
  <c r="B92" i="17"/>
  <c r="B240" i="17"/>
  <c r="B315" i="17"/>
  <c r="B300" i="17"/>
  <c r="B303" i="17"/>
  <c r="B379" i="17"/>
  <c r="D14" i="18" l="1"/>
  <c r="D13" i="18"/>
  <c r="C12" i="18"/>
  <c r="B12" i="18"/>
  <c r="B11" i="18"/>
  <c r="D9" i="18"/>
  <c r="C9" i="18"/>
  <c r="C13" i="18"/>
  <c r="C14" i="18"/>
  <c r="D10" i="18"/>
  <c r="D11" i="18"/>
  <c r="B13" i="18"/>
  <c r="B9" i="18"/>
  <c r="C10" i="18"/>
  <c r="B14" i="18"/>
  <c r="D12" i="18"/>
  <c r="C11" i="18"/>
  <c r="B1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C1" authorId="0" shapeId="0" xr:uid="{794852A9-F02A-4507-9DF5-177B0B170B94}">
      <text>
        <r>
          <rPr>
            <b/>
            <sz val="9"/>
            <color indexed="81"/>
            <rFont val="Tahoma"/>
            <family val="2"/>
          </rPr>
          <t>This column presents the calculation methodology from the Medicaid rate model.</t>
        </r>
      </text>
    </comment>
    <comment ref="D1" authorId="0" shapeId="0" xr:uid="{AE8B98F3-8159-4C4B-B37D-94F44D44CB8D}">
      <text>
        <r>
          <rPr>
            <sz val="9"/>
            <color indexed="81"/>
            <rFont val="Tahoma"/>
            <family val="2"/>
          </rPr>
          <t>This column shows the FRV calculation of the facility in column C renovated to a "new" facility.</t>
        </r>
      </text>
    </comment>
    <comment ref="E1" authorId="0" shapeId="0" xr:uid="{65917A22-2E71-4CAA-A50E-0E560165C56E}">
      <text>
        <r>
          <rPr>
            <b/>
            <sz val="9"/>
            <color indexed="81"/>
            <rFont val="Tahoma"/>
            <family val="2"/>
          </rPr>
          <t>This column shows the FRV calculation of the facility in column C renovated to a "new" facility with 700 sq ft per bed.</t>
        </r>
      </text>
    </comment>
    <comment ref="E3" authorId="0" shapeId="0" xr:uid="{9FAEEDAD-A1C3-4439-9B9D-71E3E18493EB}">
      <text>
        <r>
          <rPr>
            <b/>
            <sz val="9"/>
            <color indexed="81"/>
            <rFont val="Tahoma"/>
            <family val="2"/>
          </rPr>
          <t>Assumed to be 700 sq ft per bed.</t>
        </r>
      </text>
    </comment>
    <comment ref="F3" authorId="0" shapeId="0" xr:uid="{36224338-39E7-4B63-8144-28DB03C8253D}">
      <text>
        <r>
          <rPr>
            <b/>
            <sz val="9"/>
            <color indexed="81"/>
            <rFont val="Tahoma"/>
            <family val="2"/>
          </rPr>
          <t>Enter the proposed number of square feet attributed to the nursing portion of the facility.</t>
        </r>
      </text>
    </comment>
    <comment ref="F8" authorId="0" shapeId="0" xr:uid="{112FDB47-C5D0-4E28-B2E2-8A10FE8E9FCD}">
      <text>
        <r>
          <rPr>
            <b/>
            <sz val="9"/>
            <color indexed="81"/>
            <rFont val="Tahoma"/>
            <family val="2"/>
          </rPr>
          <t>Enter the amount of a proposed renovation.</t>
        </r>
      </text>
    </comment>
    <comment ref="D14" authorId="0" shapeId="0" xr:uid="{A96D4013-9802-4F15-9BFF-D997A15E112B}">
      <text>
        <r>
          <rPr>
            <b/>
            <sz val="9"/>
            <color indexed="81"/>
            <rFont val="Tahoma"/>
            <family val="2"/>
          </rPr>
          <t>Assumed to be age of 1 for a completely renovated facility.</t>
        </r>
      </text>
    </comment>
    <comment ref="E14" authorId="0" shapeId="0" xr:uid="{90060E3C-53E4-46D0-9EE6-0B00AD95D5CE}">
      <text>
        <r>
          <rPr>
            <b/>
            <sz val="9"/>
            <color indexed="81"/>
            <rFont val="Tahoma"/>
            <family val="2"/>
          </rPr>
          <t>Assumed to be age of 1 for a new facility.</t>
        </r>
      </text>
    </comment>
    <comment ref="F14" authorId="0" shapeId="0" xr:uid="{5CC7D6DA-0389-426B-863D-04C723486F2F}">
      <text>
        <r>
          <rPr>
            <b/>
            <sz val="9"/>
            <color indexed="81"/>
            <rFont val="Tahoma"/>
            <family val="2"/>
          </rPr>
          <t>Estimated facility age after proposed renovation.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H26" authorId="0" shapeId="0" xr:uid="{0236A97C-0A20-43F5-B0FF-E52438CFE40B}">
      <text>
        <r>
          <rPr>
            <b/>
            <sz val="9"/>
            <color indexed="81"/>
            <rFont val="Tahoma"/>
            <family val="2"/>
          </rPr>
          <t>Sam Clark:</t>
        </r>
        <r>
          <rPr>
            <sz val="9"/>
            <color indexed="81"/>
            <rFont val="Tahoma"/>
            <family val="2"/>
          </rPr>
          <t xml:space="preserve">
Dropped from current book.  Previous year carried forward.</t>
        </r>
      </text>
    </comment>
  </commentList>
</comments>
</file>

<file path=xl/sharedStrings.xml><?xml version="1.0" encoding="utf-8"?>
<sst xmlns="http://schemas.openxmlformats.org/spreadsheetml/2006/main" count="3247" uniqueCount="834">
  <si>
    <t>City</t>
  </si>
  <si>
    <t>Greensboro</t>
  </si>
  <si>
    <t>Winston-Salem</t>
  </si>
  <si>
    <t>Raleigh</t>
  </si>
  <si>
    <t>Rocky Mount</t>
  </si>
  <si>
    <t>Elizabeth City</t>
  </si>
  <si>
    <t>Gastonia</t>
  </si>
  <si>
    <t>Charlotte</t>
  </si>
  <si>
    <t>Fayetteville</t>
  </si>
  <si>
    <t>Wilmington</t>
  </si>
  <si>
    <t>Kinston</t>
  </si>
  <si>
    <t>Hickory</t>
  </si>
  <si>
    <t>Asheville</t>
  </si>
  <si>
    <t>Murphy</t>
  </si>
  <si>
    <t>Zip Factor</t>
  </si>
  <si>
    <t>Cost/Beds</t>
  </si>
  <si>
    <t>Year</t>
  </si>
  <si>
    <t>Type (1-3)</t>
  </si>
  <si>
    <t>Nursing Days</t>
  </si>
  <si>
    <t>Location Factor</t>
  </si>
  <si>
    <t>Licensed Beds</t>
  </si>
  <si>
    <t>Land Percentage</t>
  </si>
  <si>
    <t>ZIP Code</t>
  </si>
  <si>
    <t>Cost per Square Foot</t>
  </si>
  <si>
    <t>Durham</t>
  </si>
  <si>
    <t>Instructions for Use:</t>
  </si>
  <si>
    <t>Facility Name</t>
  </si>
  <si>
    <t>Year of Initial Construction</t>
  </si>
  <si>
    <t>Number of beds</t>
  </si>
  <si>
    <t>North Carolina Nursing Facility Fair Rental Value</t>
  </si>
  <si>
    <t>Enter 1 if a bed addition.  Enter 2 if a bed replacement.  Enter 3 if a renovation.</t>
  </si>
  <si>
    <t>Enter the information on the modifications that have been done to the current building since it was originally constructed.  Multiple similar projects done within the same year may be combined into a single entry.  In order to be considered, the capitalized cost of each entry must exceed $500 per bed per year.</t>
  </si>
  <si>
    <t>Enter the year of the corresponding modification.</t>
  </si>
  <si>
    <t>A key component in the calculation of the FRV rate is the age of the facility.  The FRV system uses information on bed additions, bed replacements (replacement of a portion of the building) and renovations to reduce the age of the building.  This worksheet gathers the information on these modifications.</t>
  </si>
  <si>
    <t>If a bed addition or replacement, enter the number of beds added or replaced.  If a renovation, enter the capitalized cost of the renovation.</t>
  </si>
  <si>
    <t>Medicaid Rate Calculation</t>
  </si>
  <si>
    <t>FRV Daily Rate</t>
  </si>
  <si>
    <t>Provider Assessment</t>
  </si>
  <si>
    <t xml:space="preserve">     i.  CCRC - $0 per day </t>
  </si>
  <si>
    <t>FRV Aging Schedule Worksheet:</t>
  </si>
  <si>
    <t>North Carolina Nursing Facility</t>
  </si>
  <si>
    <t>Rate Calculation</t>
  </si>
  <si>
    <t>% of Rate to Case-Mix Adjust</t>
  </si>
  <si>
    <t>Medicaid Case-Mix Index</t>
  </si>
  <si>
    <t>Indirect Rate</t>
  </si>
  <si>
    <t>Provider Assessment Daily Rate***</t>
  </si>
  <si>
    <t>*** - The Provider Assessment daily rate is determined as follows:</t>
  </si>
  <si>
    <t>Fair Rental Value Daily Rate**</t>
  </si>
  <si>
    <t>a</t>
  </si>
  <si>
    <t>b</t>
  </si>
  <si>
    <t>c</t>
  </si>
  <si>
    <t>d</t>
  </si>
  <si>
    <t>e</t>
  </si>
  <si>
    <t>f</t>
  </si>
  <si>
    <t>g</t>
  </si>
  <si>
    <t>h</t>
  </si>
  <si>
    <t>i</t>
  </si>
  <si>
    <t>Medicaid Per Diem Rate (f+g+h+i)</t>
  </si>
  <si>
    <t xml:space="preserve">The North Carolina nursing facility Medicaid rate uses a Fair Rental Value (FRV) system of capital reimbursement.  Under the FRV system, facilities will receive individualized rates based on the characteristics of their buildings. </t>
  </si>
  <si>
    <t>Modification 1…17</t>
  </si>
  <si>
    <t>Please direct any questions or comments on the use of this rate calculation spreadsheet to Sam Clark, NCHCFA Vice President of Finance, at samc@nchcfa.org.</t>
  </si>
  <si>
    <t xml:space="preserve">     ii.  48,000 or fewer total nursing days per year - $13.68 per day</t>
  </si>
  <si>
    <t xml:space="preserve">     iii.  More than 48,000 nursing days per year - $7.18 per day</t>
  </si>
  <si>
    <t>This value is carried forward from the previous tab.</t>
  </si>
  <si>
    <t>This spreadsheet uses the same rate calculation methodology as the rate model used by the Division of Health Benefits (DHB), however, there may be minor differences due to rounding.  There may also be differences based on information that has been input by the spreadsheet user.  Only DHB can provide official notification of facility rates.</t>
  </si>
  <si>
    <t>Covid-19 Rate Enhancement - see Note</t>
  </si>
  <si>
    <t>NPI</t>
  </si>
  <si>
    <t>Enter the Facility Name (optional)</t>
  </si>
  <si>
    <t>Annualized Pt Days</t>
  </si>
  <si>
    <t>4/1/22-3/31/23</t>
  </si>
  <si>
    <t>Historical Cost Index</t>
  </si>
  <si>
    <t>Average</t>
  </si>
  <si>
    <t>Bed Value</t>
  </si>
  <si>
    <t>Actual Facility Data</t>
  </si>
  <si>
    <t>Current Facility Renovated to the Age of a New Building</t>
  </si>
  <si>
    <t>Replacement Building w/ 700 sq ft per bed</t>
  </si>
  <si>
    <t>User Defined Variables</t>
  </si>
  <si>
    <t>Facility NPI</t>
  </si>
  <si>
    <t>Total nursing square feet</t>
  </si>
  <si>
    <t>Nursing Beds</t>
  </si>
  <si>
    <t>BUILDING</t>
  </si>
  <si>
    <t>Renovation $</t>
  </si>
  <si>
    <t>Years</t>
  </si>
  <si>
    <t>450 FRV Age</t>
  </si>
  <si>
    <t>450 FRV Rate</t>
  </si>
  <si>
    <t>Sq Ft per Bed (b/c)</t>
  </si>
  <si>
    <t>Facility Age (imported from rate model)</t>
  </si>
  <si>
    <t>Sq Footage Floor (based on age)</t>
  </si>
  <si>
    <t>Calculation Sq Ft (max of f or (min of 700 or d))</t>
  </si>
  <si>
    <t>Location Factor (based on ZIP)</t>
  </si>
  <si>
    <t>Replacement Value (a*c*g*h)</t>
  </si>
  <si>
    <t xml:space="preserve">LAND  </t>
  </si>
  <si>
    <t>j</t>
  </si>
  <si>
    <t>k</t>
  </si>
  <si>
    <t>Land Value (i*j)</t>
  </si>
  <si>
    <t>350 FRV Age</t>
  </si>
  <si>
    <t>350 FRV Rate</t>
  </si>
  <si>
    <t>EQUIPMENT</t>
  </si>
  <si>
    <t>l</t>
  </si>
  <si>
    <t>Equipment Allowance per Bed</t>
  </si>
  <si>
    <t>m</t>
  </si>
  <si>
    <t>Replacement Value (c*l)</t>
  </si>
  <si>
    <t>REPLACEMENT VALUE</t>
  </si>
  <si>
    <t>n</t>
  </si>
  <si>
    <t>Bldg/Equip Replacement Value (i+m)</t>
  </si>
  <si>
    <t>o</t>
  </si>
  <si>
    <t>Age</t>
  </si>
  <si>
    <t>p</t>
  </si>
  <si>
    <t>Depreciation per Year</t>
  </si>
  <si>
    <t>q</t>
  </si>
  <si>
    <t>Depreciation (n*o*p)</t>
  </si>
  <si>
    <t>r</t>
  </si>
  <si>
    <t>Depreciated Replacement Value (n-q)</t>
  </si>
  <si>
    <t>s</t>
  </si>
  <si>
    <t>Total Replacement Value+Land (k+r)</t>
  </si>
  <si>
    <t>RATE PER DAY</t>
  </si>
  <si>
    <t>t</t>
  </si>
  <si>
    <t>Rental Rate</t>
  </si>
  <si>
    <t>u</t>
  </si>
  <si>
    <t>Rental Amount (s*t)</t>
  </si>
  <si>
    <t>v</t>
  </si>
  <si>
    <t>w</t>
  </si>
  <si>
    <t>Minimum Days (c*365*.85)</t>
  </si>
  <si>
    <t>x</t>
  </si>
  <si>
    <t>Calculation Days (min of v or w)</t>
  </si>
  <si>
    <t>y</t>
  </si>
  <si>
    <t>FRV Rate per Day (u/x)</t>
  </si>
  <si>
    <t>Estimated cost to renovate this facility to the age of a new facility:</t>
  </si>
  <si>
    <t>Estimated rate difference between current age and "new" facility age:</t>
  </si>
  <si>
    <t>Amount of proposed renovation:</t>
  </si>
  <si>
    <t>Estimated FRV rate after proposed renovation:</t>
  </si>
  <si>
    <t>Estimated rate difference between current age and renovated facility:</t>
  </si>
  <si>
    <t>R=A x (E/(S x C x AD))</t>
  </si>
  <si>
    <t>Assumptions</t>
  </si>
  <si>
    <r>
      <t xml:space="preserve">Age </t>
    </r>
    <r>
      <rPr>
        <b/>
        <sz val="11"/>
        <color theme="1"/>
        <rFont val="Calibri"/>
        <family val="2"/>
        <scheme val="minor"/>
      </rPr>
      <t>(A)</t>
    </r>
  </si>
  <si>
    <r>
      <t xml:space="preserve">Expenditure </t>
    </r>
    <r>
      <rPr>
        <b/>
        <sz val="11"/>
        <color theme="1"/>
        <rFont val="Calibri"/>
        <family val="2"/>
        <scheme val="minor"/>
      </rPr>
      <t>(E)</t>
    </r>
  </si>
  <si>
    <r>
      <t xml:space="preserve">Accumulated Depreciation Percent </t>
    </r>
    <r>
      <rPr>
        <b/>
        <sz val="11"/>
        <color theme="1"/>
        <rFont val="Calibri"/>
        <family val="2"/>
        <scheme val="minor"/>
      </rPr>
      <t>(AD)</t>
    </r>
  </si>
  <si>
    <t>Depreciation rate/year</t>
  </si>
  <si>
    <t>Proof</t>
  </si>
  <si>
    <t>Beds</t>
  </si>
  <si>
    <t>Acc Depr/Bed</t>
  </si>
  <si>
    <t>Cost</t>
  </si>
  <si>
    <t>New Bed Equivalent</t>
  </si>
  <si>
    <t>Old</t>
  </si>
  <si>
    <t>New</t>
  </si>
  <si>
    <t>Prior Age</t>
  </si>
  <si>
    <t>Difference</t>
  </si>
  <si>
    <t>ZIP</t>
  </si>
  <si>
    <t>FRV Age</t>
  </si>
  <si>
    <t>Minimum Age (includes ages above this amount)</t>
  </si>
  <si>
    <t>Sq Ft Floor</t>
  </si>
  <si>
    <t>Calculation of the FRV rates can be complex.  This Excel spreadsheet is designed to assist providers in the calculation and understanding of their FRV rates with minimal input.  This model may not be suitable for "newer" facilities (those without 2005 Medicaid cost reports).</t>
  </si>
  <si>
    <t>-----&gt;</t>
  </si>
  <si>
    <t>REVISED 07/13/2022</t>
  </si>
  <si>
    <t>NC Department of Health and Human Services</t>
  </si>
  <si>
    <t>Division of Health Benefits</t>
  </si>
  <si>
    <t>* This posting constitutes official publication of the rates for each provider effective July 1, 2021 in lieu of individual facility rate letters *</t>
  </si>
  <si>
    <t>NC Medicaid Reimbursement Rates for Skilled Nursing Facilities</t>
  </si>
  <si>
    <t>Taxonomy: 314000000X</t>
  </si>
  <si>
    <t>Effective Dates: April 1, 2022 - June 30, 2022</t>
  </si>
  <si>
    <t>* with COVID-19 Outbreak Rates *</t>
  </si>
  <si>
    <t xml:space="preserve">To determine a facility's COVID-19 outbreak/response rate effective dates, please refer to the </t>
  </si>
  <si>
    <t>"SNF Outbreak Effective Dates" document delivered to your facility's NCTracks Message Center.</t>
  </si>
  <si>
    <t>* Note: If the April 1 rate calculated to be lower than the January 1 rate, the January rate remains effective April 1 *</t>
  </si>
  <si>
    <t>Uniform Covid Rate  April - June 2022</t>
  </si>
  <si>
    <t>1/1/2022  Final Rate</t>
  </si>
  <si>
    <t>4/1/2022 CMI</t>
  </si>
  <si>
    <t>4/1/2022 Direct</t>
  </si>
  <si>
    <t>4/1/2022 Indirect</t>
  </si>
  <si>
    <t>4/1/2022
FRV</t>
  </si>
  <si>
    <t>4/1/2022 Assessment</t>
  </si>
  <si>
    <t>COVID
 Rate</t>
  </si>
  <si>
    <t>COVID-19 Final Rate</t>
  </si>
  <si>
    <t>Abbotts Creek Care and Rehabilition Center</t>
  </si>
  <si>
    <t>Abernethy Laurels</t>
  </si>
  <si>
    <t>Accordius Health at Aberdeen</t>
  </si>
  <si>
    <t>Accordius Health at Brevard</t>
  </si>
  <si>
    <t>Accordius Health at Charlotte</t>
  </si>
  <si>
    <t>Accordius Health at Clemmons</t>
  </si>
  <si>
    <t>Accordius Health At Concord</t>
  </si>
  <si>
    <t>Accordius Health at Creekside</t>
  </si>
  <si>
    <t>Accordius Health at Gastonia</t>
  </si>
  <si>
    <t>Accordius Health at Gatesville</t>
  </si>
  <si>
    <t>Accordius Health at Greensboro</t>
  </si>
  <si>
    <t>Accordius Health at Hendersonville</t>
  </si>
  <si>
    <t>Accordius Health at Lexington</t>
  </si>
  <si>
    <t>Accordius Health at Midwood</t>
  </si>
  <si>
    <t>Accordius Health at Monroe</t>
  </si>
  <si>
    <t>Accordius Health at Mooresville</t>
  </si>
  <si>
    <t>Accordius Health at Rose Manor</t>
  </si>
  <si>
    <t>Accordius Health at Rutherfordton</t>
  </si>
  <si>
    <t>ACCORDIUS HEALTH AT SALISBURY</t>
  </si>
  <si>
    <t>Accordius Health at Scotland Manor</t>
  </si>
  <si>
    <t>Accordius Health at Statesville</t>
  </si>
  <si>
    <t>ACCORDIUS HEALTH AT WILKESBORO</t>
  </si>
  <si>
    <t>Accordius Health at Wilmington</t>
  </si>
  <si>
    <t>ACCORDIUS HEALTH AT WILSON</t>
  </si>
  <si>
    <t>Accordius Health at Winston-Salem</t>
  </si>
  <si>
    <t>Accordius Heath at Asheville</t>
  </si>
  <si>
    <t>Adams Farm and Living Rehab</t>
  </si>
  <si>
    <t>Alamance Health Care Center</t>
  </si>
  <si>
    <t>Alexandria Place</t>
  </si>
  <si>
    <t>Alleghany Care and Rehabilitation Center</t>
  </si>
  <si>
    <t>Alpine Health and Rehab</t>
  </si>
  <si>
    <t>Alston Brook</t>
  </si>
  <si>
    <t>Anson Health and Rehabilitation, LLC</t>
  </si>
  <si>
    <t>Asbury Health and Rehabilitation Center</t>
  </si>
  <si>
    <t>Ashton Health and Rehabilitation</t>
  </si>
  <si>
    <t>Aston Park Health Care, Inc.</t>
  </si>
  <si>
    <t>Autumn Care Of Biscoe</t>
  </si>
  <si>
    <t>Autumn Care of Cornelius</t>
  </si>
  <si>
    <t>Autumn Care Of Drexel</t>
  </si>
  <si>
    <t>Autumn Care of Fayetteville</t>
  </si>
  <si>
    <t>Autumn Care Of Marion</t>
  </si>
  <si>
    <t>Autumn Care Of Marshville</t>
  </si>
  <si>
    <t>Autumn Care Of Myrtle Grove</t>
  </si>
  <si>
    <t>Autumn Care Of Nash</t>
  </si>
  <si>
    <t>Autumn Care Of Raeford</t>
  </si>
  <si>
    <t>Autumn Care Of Salisbury</t>
  </si>
  <si>
    <t>Autumn Care Of Saluda</t>
  </si>
  <si>
    <t>Autumn Care Of Shallotte</t>
  </si>
  <si>
    <t>Autumn Care Of Statesville</t>
  </si>
  <si>
    <t>Autumn Care Of Waynesville</t>
  </si>
  <si>
    <t>Ayden Court Nursing and Rehabilitation Center</t>
  </si>
  <si>
    <t>Azalea Health and Rehab Center</t>
  </si>
  <si>
    <t>Barbour Court Nursing and Rehabilitation Center</t>
  </si>
  <si>
    <t>Bayview Nursing &amp; Rehabilitation Center</t>
  </si>
  <si>
    <t>Belaire Health Care Center</t>
  </si>
  <si>
    <t>Bellarose Nursing and Rehabilitation Center</t>
  </si>
  <si>
    <t>Bermuda Commons</t>
  </si>
  <si>
    <t>Bethany Woods Nursing and Rehabilitation Center</t>
  </si>
  <si>
    <t>Bethesda Health Care Facility</t>
  </si>
  <si>
    <t>Big Elm Retirement And Nursing Ctr, Inc</t>
  </si>
  <si>
    <t>Bladen East Health and Rehabilitation Center</t>
  </si>
  <si>
    <t xml:space="preserve">Blue Ridge Health and Rehabilitation Center </t>
  </si>
  <si>
    <t>Brantwood Nursing &amp; Retirement Center</t>
  </si>
  <si>
    <t>Brian Center Health &amp; Rehab / Hickory Viewmo</t>
  </si>
  <si>
    <t>Brian Center Health &amp; Rehab/Eden</t>
  </si>
  <si>
    <t>Brian Center Health &amp; Rehab/Gastonia</t>
  </si>
  <si>
    <t>Brian Center Health &amp; Rehab/Goldsboro</t>
  </si>
  <si>
    <t>Brian Center Health &amp; Rehab/Hertford</t>
  </si>
  <si>
    <t>Brian Center Health &amp; Rehab/Hickory East</t>
  </si>
  <si>
    <t>Brian Center Health &amp; Rehab/Spruce Pine</t>
  </si>
  <si>
    <t>Brian Center Health &amp; Rehab/Wallace</t>
  </si>
  <si>
    <t>Brian Center Health &amp; Rehab/Weaverville</t>
  </si>
  <si>
    <t>Brian Center Health &amp; Rehab/Wilson</t>
  </si>
  <si>
    <t>Brian Center Health &amp; Rehab/Windsor</t>
  </si>
  <si>
    <t>Brian Center Health &amp; Rehab/Yanceyville</t>
  </si>
  <si>
    <t>Brian Center Health &amp; Retire/Cabarrus</t>
  </si>
  <si>
    <t>Brian Center Health &amp; Retire/Clayton</t>
  </si>
  <si>
    <t>Brian Center Health &amp; Retire/Lincolnton</t>
  </si>
  <si>
    <t>Brian Center Hlth &amp; Rehab/Hendersonville</t>
  </si>
  <si>
    <t>Brian Center Southpoint</t>
  </si>
  <si>
    <t>Brightmoor Nursing Center</t>
  </si>
  <si>
    <t>Brookridge Retirement Community</t>
  </si>
  <si>
    <t>Brunswick Cove Nursing Center</t>
  </si>
  <si>
    <t>Brunswick Health and Rehabilitation Center</t>
  </si>
  <si>
    <t>Camden Health and Rehabilitation</t>
  </si>
  <si>
    <t xml:space="preserve">Capital Nursing and Rehabilitation </t>
  </si>
  <si>
    <t>Cardinal Healthcare &amp; Rehab Center</t>
  </si>
  <si>
    <t>Carolina Care Health and Rehabilitation</t>
  </si>
  <si>
    <t>Carolina Health Care Ctr. Of Cumberland</t>
  </si>
  <si>
    <t>Carolina Pines at Asheville</t>
  </si>
  <si>
    <t>Carolina Pines at Greensboro</t>
  </si>
  <si>
    <t>Carolina Rehab Center Of Burke</t>
  </si>
  <si>
    <t>Carolina Rivers Nursing and Rehabilitation Center</t>
  </si>
  <si>
    <t>Carrington Place</t>
  </si>
  <si>
    <t>Carver Living Center</t>
  </si>
  <si>
    <t>Cary Health &amp; Rehab Center</t>
  </si>
  <si>
    <t>Central Continuing Care</t>
  </si>
  <si>
    <t>Charlotte Health &amp; Rehab Center</t>
  </si>
  <si>
    <t>Cherry Point Bay Nursing and Rehabilitation Center</t>
  </si>
  <si>
    <t>Chowan River Nursing and Rehabilitation Center</t>
  </si>
  <si>
    <t>Clapp's Convalescent Nursing Home, Inc.</t>
  </si>
  <si>
    <t>CLAPP'S NURSING CENTER, INC.</t>
  </si>
  <si>
    <t>Clay County Care Center</t>
  </si>
  <si>
    <t>Clear Creek Nursing &amp; Rehabilitation Center</t>
  </si>
  <si>
    <t>Cleveland Pines</t>
  </si>
  <si>
    <t>College Pines Rehabilitation and Skilled Nursing Facility</t>
  </si>
  <si>
    <t xml:space="preserve">Compass Healthcare and Rehab Guilford </t>
  </si>
  <si>
    <t>COMPASS HEALTHCARE AND REHAB HAWFIE</t>
  </si>
  <si>
    <t>Compass Healthcare and Rehab Rowan</t>
  </si>
  <si>
    <t>Conover Nursing &amp; Rehab Center</t>
  </si>
  <si>
    <t>Courtland Terrace</t>
  </si>
  <si>
    <t>Croasdaile Village</t>
  </si>
  <si>
    <t>Croatan Ridge Nursing and Rehabilitation Center</t>
  </si>
  <si>
    <t>Cross Creek Health Care</t>
  </si>
  <si>
    <t>Crystal Bluffs Rehabilitation &amp; Health Care Center</t>
  </si>
  <si>
    <t>The Carrolton of Fayetteville</t>
  </si>
  <si>
    <t>Currituck Health &amp; Rehab Center</t>
  </si>
  <si>
    <t>Cypress Pointe Rehabilitation Center</t>
  </si>
  <si>
    <t>Davie Nursing &amp; Rehabilitation Center</t>
  </si>
  <si>
    <t>Davis Health and Wellness Center at Cambridge Village</t>
  </si>
  <si>
    <t>Davis Health Care Center</t>
  </si>
  <si>
    <t>Deer Park Health &amp; Rehabilitation</t>
  </si>
  <si>
    <t>Durham Nursing and Rehabilitation Center</t>
  </si>
  <si>
    <t>East Carolina Rehab and Wellness</t>
  </si>
  <si>
    <t xml:space="preserve">Eckerd Living Center </t>
  </si>
  <si>
    <t>Edgecombe Health and Rehabilitation Center</t>
  </si>
  <si>
    <t>Edgewood Place At The Village-Brookwood</t>
  </si>
  <si>
    <t>Elderberry Health Care</t>
  </si>
  <si>
    <t>Elizabeth City Health and Rehabilitation Center</t>
  </si>
  <si>
    <t>Emerald Health &amp; Rehab Center</t>
  </si>
  <si>
    <t>Emerald Ridge Rehab &amp; Care Center</t>
  </si>
  <si>
    <t>Enfield Oaks Nursing and Rehabilitation Center</t>
  </si>
  <si>
    <t>Fair Haven at Forest City</t>
  </si>
  <si>
    <t>Fair Haven Home, Inc.</t>
  </si>
  <si>
    <t>Five Oaks Manor</t>
  </si>
  <si>
    <t>Flesher'S Fairview Healthcare Center</t>
  </si>
  <si>
    <t>Forrest Oakes Healthcare Center</t>
  </si>
  <si>
    <t>Fountains At The Albemarle</t>
  </si>
  <si>
    <t>Franklin Oaks Nursing and Rehabilitation Center</t>
  </si>
  <si>
    <t>Friends Homes - Guilford</t>
  </si>
  <si>
    <t>Friends Homes - West</t>
  </si>
  <si>
    <t>Gateway Rehabilitation and Healthcare</t>
  </si>
  <si>
    <t>Givens Health Center</t>
  </si>
  <si>
    <t xml:space="preserve">Givens Highland Farms </t>
  </si>
  <si>
    <t>Glenaire, Inc.</t>
  </si>
  <si>
    <t>Glenbridge Health And Rehabilitation</t>
  </si>
  <si>
    <t>Glenflora</t>
  </si>
  <si>
    <t>Golden Years Nursing Home</t>
  </si>
  <si>
    <t xml:space="preserve">Grace Heights Rehabilitation and Skilled Nursing Facility </t>
  </si>
  <si>
    <t>Graham Healthcare and Rehabilitation Center</t>
  </si>
  <si>
    <t>Grantsbrook Nursing and Rehabilitation Center</t>
  </si>
  <si>
    <t>Graybrier Nursing And Retirement Center</t>
  </si>
  <si>
    <t>Greendale Forest Nursing and Rehabilitation Center</t>
  </si>
  <si>
    <t>Greenhaven Health and Rehabilitation Center</t>
  </si>
  <si>
    <t>Guilford Health Care Center</t>
  </si>
  <si>
    <t xml:space="preserve">Harborview Rehabilitation and Healthcare </t>
  </si>
  <si>
    <t>Harmony Hall Nursing and Rehabilitation Center</t>
  </si>
  <si>
    <t>Harnett Woods Nursing and Rehabilitation Center</t>
  </si>
  <si>
    <t>Haymount Rehab &amp; Nursing Center</t>
  </si>
  <si>
    <t>Haywood Nursing &amp; Rehabilitation Center</t>
  </si>
  <si>
    <t>Heartland Living &amp; Rehab @ The Moses H Cone Mem</t>
  </si>
  <si>
    <t>Hendersonville Health and Rehabilitation</t>
  </si>
  <si>
    <t>Hickory Falls Health and Rehabilitation</t>
  </si>
  <si>
    <t>Highland House Rehabilitation and Healthcare</t>
  </si>
  <si>
    <t>Hillcrest Convalescent Center, Inc.</t>
  </si>
  <si>
    <t xml:space="preserve">Hillcrest Raleigh at Crabtree Valley </t>
  </si>
  <si>
    <t>Hillside Nursing Center</t>
  </si>
  <si>
    <t>Hugh Chatham Memorial Hospital</t>
  </si>
  <si>
    <t>Hunter Woods Nursing And Rehab Center</t>
  </si>
  <si>
    <t>Huntersville Health &amp; Rehab</t>
  </si>
  <si>
    <t>Huntersville Oaks</t>
  </si>
  <si>
    <t>Iredell Memorial Hospital, Incorporated</t>
  </si>
  <si>
    <t>Jacob's Creek Nursing and Rehabilitation Center</t>
  </si>
  <si>
    <t>Jesse Helms Nursing Center</t>
  </si>
  <si>
    <t>Kenansville  Health &amp; Rehab Center</t>
  </si>
  <si>
    <t>Kerr Lake Nursing and Rehabilitation Center</t>
  </si>
  <si>
    <t>Kindred Hospital-Greensboro</t>
  </si>
  <si>
    <t>Lake Park Nursing And Rehab Center</t>
  </si>
  <si>
    <t>Lenoir Healthcare Center</t>
  </si>
  <si>
    <t>Lexington Health Care Center</t>
  </si>
  <si>
    <t>Liberty Commons N&amp;R Ctr Of Columbus Cty</t>
  </si>
  <si>
    <t>Liberty Commons N&amp;R Ctr. Of Halifax Cty</t>
  </si>
  <si>
    <t>Liberty Commons N&amp;R Ctr. Of Johnston Cty</t>
  </si>
  <si>
    <t>Liberty Commons N&amp;R Ctr. Of Lee County</t>
  </si>
  <si>
    <t>Liberty Commons N&amp;R Ctr. Of Rowan County</t>
  </si>
  <si>
    <t>Liberty Commons Nursing &amp; Rehab Center of Alamance Cty</t>
  </si>
  <si>
    <t>Liberty Commons Nursing &amp; Rehab Center of Southport</t>
  </si>
  <si>
    <t>Liberty Commons Nursing &amp; Rehab Center of Watauga County</t>
  </si>
  <si>
    <t>Liberty Commons Nursing &amp; Rehab Ctr of Person Cty</t>
  </si>
  <si>
    <t>Liberty Commons Nursing And Rehab Center Of Bladen County</t>
  </si>
  <si>
    <t>Liberty Commons Nursing And Rehab Center Of Franklin County</t>
  </si>
  <si>
    <t>Liberty Commons Nursing And Rehab Center Of Moore County</t>
  </si>
  <si>
    <t>Liberty Commons Rehabilitation Center</t>
  </si>
  <si>
    <t>Life Care Center Of Banner Elk</t>
  </si>
  <si>
    <t>Life Care Center Of Hendersonville</t>
  </si>
  <si>
    <t>Lincolnton Rehabilitation Center</t>
  </si>
  <si>
    <t>Litchford Falls Healthcare &amp; Rehab</t>
  </si>
  <si>
    <t>Lumberton Health and Rehabilitation Center</t>
  </si>
  <si>
    <t>Lutheran Home At Trinity Oaks, Inc.</t>
  </si>
  <si>
    <t>MacGregor Downs Health and Rehabilitation Center</t>
  </si>
  <si>
    <t>Macon Valley Nursing and Rehabilitation Center</t>
  </si>
  <si>
    <t>Madison Manor Rehabilitation and Nursing Center</t>
  </si>
  <si>
    <t>Maggie Valley Nursing and Rehabilitation</t>
  </si>
  <si>
    <t>Magnolia Lane Nursing and Rehabilitation Center</t>
  </si>
  <si>
    <t>Maple Grove Health and Rehabilitation Center</t>
  </si>
  <si>
    <t>Maple Leaf Health Care</t>
  </si>
  <si>
    <t>Mary Gran Nursing Center</t>
  </si>
  <si>
    <t>Maryfield Nursing Home</t>
  </si>
  <si>
    <t xml:space="preserve">Mecklenburg Health and Rehabilitation Center </t>
  </si>
  <si>
    <t>Monroe Rehabilitation center</t>
  </si>
  <si>
    <t>Mount Olive Care and Rehabilitation Center</t>
  </si>
  <si>
    <t>Mountain Ridge Wellness Center</t>
  </si>
  <si>
    <t>Mountain View Manor</t>
  </si>
  <si>
    <t>Mountain Vista Health Park</t>
  </si>
  <si>
    <t xml:space="preserve">Murphy Rehabilitation and Nursing </t>
  </si>
  <si>
    <t>NorthChase Nursing and Rehabilitation Center</t>
  </si>
  <si>
    <t>Northern Hospital Of Surry County-Ltc</t>
  </si>
  <si>
    <t>Northhampton Nursing and Rehabilitation Center</t>
  </si>
  <si>
    <t>Oak Forest Health and Rehabilitation</t>
  </si>
  <si>
    <t>Oak Grove Health Care Center</t>
  </si>
  <si>
    <t xml:space="preserve">Olde Knox Commons </t>
  </si>
  <si>
    <t>Our Community Hospital-Ltc</t>
  </si>
  <si>
    <t>Parkview Health and Rehabilitation</t>
  </si>
  <si>
    <t>Pavillion Health Center at Brightmore</t>
  </si>
  <si>
    <t>Peak Resources - Brookshire</t>
  </si>
  <si>
    <t>Peak Resources - Charlotte</t>
  </si>
  <si>
    <t>Peak Resources - Cherryville</t>
  </si>
  <si>
    <t>Peak Resources - Gastonia</t>
  </si>
  <si>
    <t>Peak Resources - Pinelake</t>
  </si>
  <si>
    <t>Peak Resources - Shelby</t>
  </si>
  <si>
    <t>Peak Resources Alamance</t>
  </si>
  <si>
    <t>Peak Resources Outer Banks</t>
  </si>
  <si>
    <t>Peak Resources-Wilmington</t>
  </si>
  <si>
    <t>Pelican Health at Asheville</t>
  </si>
  <si>
    <t xml:space="preserve">Pelican Health at Charlotte </t>
  </si>
  <si>
    <t>Pelican Health Henderson</t>
  </si>
  <si>
    <t>Pelican Health Randolph</t>
  </si>
  <si>
    <t>Pelican Health Reidsville</t>
  </si>
  <si>
    <t>Pelican Health Thomasville</t>
  </si>
  <si>
    <t>Pembroke Care and Rehabilitation Center</t>
  </si>
  <si>
    <t>Pender Memorial Hospital Snf</t>
  </si>
  <si>
    <t>Penick Village</t>
  </si>
  <si>
    <t>Penn Nursing Center</t>
  </si>
  <si>
    <t xml:space="preserve">Person Memorial Hospital </t>
  </si>
  <si>
    <t>Pettigrew Rehabilitation Center</t>
  </si>
  <si>
    <t>Piedmont Crossing</t>
  </si>
  <si>
    <t>Pine Ridge Health and Rehabilitation Center</t>
  </si>
  <si>
    <t>Pineville Rehab &amp; Living Center</t>
  </si>
  <si>
    <t>Piney Grove Nursing and Rehabilitation Center</t>
  </si>
  <si>
    <t>Pisgah Manor, Inc.</t>
  </si>
  <si>
    <t>Premier Nursing and Rehabilitation Center</t>
  </si>
  <si>
    <t>Prodigy Transitional Rehab</t>
  </si>
  <si>
    <t>PruittHealth-Carolina Point</t>
  </si>
  <si>
    <t>PruittHealth-Durham LLC</t>
  </si>
  <si>
    <t>PruittHealth-Elkin</t>
  </si>
  <si>
    <t>PruittHealth-Farmville</t>
  </si>
  <si>
    <t>PruittHealth-Neuse</t>
  </si>
  <si>
    <t>PruittHealth-Raleigh</t>
  </si>
  <si>
    <t>PruittHealth-Rockingham</t>
  </si>
  <si>
    <t>PruittHealth-SeaLevel</t>
  </si>
  <si>
    <t>PruittHealth-Town Center</t>
  </si>
  <si>
    <t>PruittHealth-Trent</t>
  </si>
  <si>
    <t>PruittHealth-Union Pointe</t>
  </si>
  <si>
    <t>Quail Haven Healthcare Center of Pinehurst</t>
  </si>
  <si>
    <t>Raleigh Rehabilitation Center</t>
  </si>
  <si>
    <t>Rex Rehab &amp; Nursing Center of Apex</t>
  </si>
  <si>
    <t>Rex Rehab &amp; Nursing Center of Raleigh</t>
  </si>
  <si>
    <t>Rich Square Nursing and Rehabilitation</t>
  </si>
  <si>
    <t>Richmond Pines Heathcare and Rehabilitation Center</t>
  </si>
  <si>
    <t>Rickman Nursing Care Center</t>
  </si>
  <si>
    <t>Ridgewood Living &amp; Rehabilitation Center</t>
  </si>
  <si>
    <t>River Landing At Sandy Ridge</t>
  </si>
  <si>
    <t>River Trace Nursing and Rehabilitation Center</t>
  </si>
  <si>
    <t>Riverpoint Crest Nursing and Rehabilitation Center</t>
  </si>
  <si>
    <t>Rocky Mount Rehabilitation Center</t>
  </si>
  <si>
    <t xml:space="preserve">Royal Park Rehabilitation &amp; Health Center of Matthews </t>
  </si>
  <si>
    <t>Salemtowne</t>
  </si>
  <si>
    <t>Sanford Health And Rehabilitation</t>
  </si>
  <si>
    <t>Sardis Oaks</t>
  </si>
  <si>
    <t>Saturn Nursing And Rehabilitation</t>
  </si>
  <si>
    <t>Scotia Village</t>
  </si>
  <si>
    <t>Scottish Pines Rehabilitation and Nursing Center</t>
  </si>
  <si>
    <t>Senior Citizen's Home, Inc.</t>
  </si>
  <si>
    <t>Shaire Nursing Center</t>
  </si>
  <si>
    <t>Shoreland Healthcare</t>
  </si>
  <si>
    <t>Signature HealthCARE of Chapel Hill</t>
  </si>
  <si>
    <t>Signature HealthCARE of Kinston</t>
  </si>
  <si>
    <t>Signature HealthCARE of Roanoke Rapids</t>
  </si>
  <si>
    <t>Silas Creek Rehabilitation Center</t>
  </si>
  <si>
    <t>Siler City Care and Rehabilitation Center</t>
  </si>
  <si>
    <t>Silver Bluff, Inc.</t>
  </si>
  <si>
    <t>Skyland Care Center</t>
  </si>
  <si>
    <t>Smithfield Manor Nursing and Rehab</t>
  </si>
  <si>
    <t>Smoky Mountain Health and Rehabilitation Center</t>
  </si>
  <si>
    <t>Smoky Ridge Health &amp; Rehabilitation</t>
  </si>
  <si>
    <t>Southwood Nursing &amp; Retirement Center</t>
  </si>
  <si>
    <t>Springbrook Nursing and Rehabilitation Center</t>
  </si>
  <si>
    <t>St Joseph Of The Pines</t>
  </si>
  <si>
    <t>Stanley Total Living Center</t>
  </si>
  <si>
    <t>Stanly Manor,Inc.</t>
  </si>
  <si>
    <t>Stokes County Nursing Home</t>
  </si>
  <si>
    <t>Stone Creek Health and Rehabilitation</t>
  </si>
  <si>
    <t>Summerstone Health and Rehabilitation Center</t>
  </si>
  <si>
    <t>Sunnybrook Rehabilitation Center</t>
  </si>
  <si>
    <t>Surry Community Health and Rehabilitation Center</t>
  </si>
  <si>
    <t>The Carrolton of Dunn</t>
  </si>
  <si>
    <t>The Carrolton of Lumberton</t>
  </si>
  <si>
    <t>The Carrolton of Nash</t>
  </si>
  <si>
    <t>The Carrolton of Plymouth</t>
  </si>
  <si>
    <t>The Carrolton of Williamston</t>
  </si>
  <si>
    <t>THE CITADEL AT MOORESVILLE</t>
  </si>
  <si>
    <t>The Citadel at Myers Park</t>
  </si>
  <si>
    <t>THE CITADEL AT SALISBURY</t>
  </si>
  <si>
    <t>The Citadel at Winston Salem</t>
  </si>
  <si>
    <t>The Citadel Elizabeth City</t>
  </si>
  <si>
    <t>The Greens at Pinehurst Rehab &amp; Living Center</t>
  </si>
  <si>
    <t>The Ivy at Gastonia</t>
  </si>
  <si>
    <t>The Laurels Of Chatham</t>
  </si>
  <si>
    <t>The Laurels Of Forest Glenn</t>
  </si>
  <si>
    <t>The Laurels Of Greentree Ridge</t>
  </si>
  <si>
    <t>The Laurels Of Hendersonville</t>
  </si>
  <si>
    <t>The Laurels of Pender</t>
  </si>
  <si>
    <t>The Laurels Of Salisbury</t>
  </si>
  <si>
    <t>The Laurels Of Summit Ridge</t>
  </si>
  <si>
    <t>The Lodge at Mills River</t>
  </si>
  <si>
    <t>The Lodge at Rocky Mount</t>
  </si>
  <si>
    <t>The Margate Health &amp; Rehab Center</t>
  </si>
  <si>
    <t>The Oaks</t>
  </si>
  <si>
    <t>The Oaks At Sweeten Creek</t>
  </si>
  <si>
    <t>The Oaks at Whitaker Glen-Mayview</t>
  </si>
  <si>
    <t>The Oaks-Brevard</t>
  </si>
  <si>
    <t>The Shannon Gray Rehab &amp; Recovery Center</t>
  </si>
  <si>
    <t>Three Rivers Health And Rehab Center</t>
  </si>
  <si>
    <t>Ths Of Kannapolis</t>
  </si>
  <si>
    <t>Tower Nursing and Rehabilitation Center</t>
  </si>
  <si>
    <t>Trent Village Nursing Home</t>
  </si>
  <si>
    <t>Treyburn Rehabilitation Center</t>
  </si>
  <si>
    <t>Triad Care and Rehabilitation Center</t>
  </si>
  <si>
    <t>Trinity Elms</t>
  </si>
  <si>
    <t>Trinity Glen</t>
  </si>
  <si>
    <t>Trinity Grove</t>
  </si>
  <si>
    <t>Trinity Place</t>
  </si>
  <si>
    <t>Trinity Ridge</t>
  </si>
  <si>
    <t>Trinity Village</t>
  </si>
  <si>
    <t>Twin Lakes Community</t>
  </si>
  <si>
    <t>UNC Rockingham Rehabilitation &amp; Nursing Care Center</t>
  </si>
  <si>
    <t>Universal Health Care Greenville</t>
  </si>
  <si>
    <t>Universal Health Care Lillington</t>
  </si>
  <si>
    <t>Universal Health Care Oxford</t>
  </si>
  <si>
    <t>Universal Healthcare - Blumenthal</t>
  </si>
  <si>
    <t>Universal Healthcare - King</t>
  </si>
  <si>
    <t>Universal Healthcare - North Raleigh</t>
  </si>
  <si>
    <t>Universal Healthcare / Brunswick Inc.</t>
  </si>
  <si>
    <t>Universal Healthcare And Rehabilitation</t>
  </si>
  <si>
    <t>Universal Healthcare Of Fletcher</t>
  </si>
  <si>
    <t>Universal Healthcare Of Ramseur</t>
  </si>
  <si>
    <t>Universal Healthcare/Fuquay-Varina</t>
  </si>
  <si>
    <t>University Place Nursing and Rehabiliation Center</t>
  </si>
  <si>
    <t>Valley Nursing Center</t>
  </si>
  <si>
    <t>Valley View Care &amp; Rehab Center</t>
  </si>
  <si>
    <t>Vero Health &amp; Rehab of Sylva</t>
  </si>
  <si>
    <t>Village Care Of King</t>
  </si>
  <si>
    <t>Village Green Health and Rehabilitation</t>
  </si>
  <si>
    <t>Wadesboro Health &amp; Rehab Center</t>
  </si>
  <si>
    <t>Walnut Cove Healthcare Center</t>
  </si>
  <si>
    <t>Warren Hills Nursing Center</t>
  </si>
  <si>
    <t>Warsaw Health and Rehab</t>
  </si>
  <si>
    <t>Wellington Nursing and Rehab Center</t>
  </si>
  <si>
    <t>Wesley Pines</t>
  </si>
  <si>
    <t>Westchester Manor At Providence Place</t>
  </si>
  <si>
    <t>Westfield Rehabilitation and Health Center</t>
  </si>
  <si>
    <t>Westwood Health &amp; Rehab Center</t>
  </si>
  <si>
    <t>Westwood Hills Nursing and Rehabilitation Center</t>
  </si>
  <si>
    <t>Whispering Pines Nursing Home</t>
  </si>
  <si>
    <t>White Oak Manor Burlington Inc</t>
  </si>
  <si>
    <t>White Oak Manor Charlotte Inc</t>
  </si>
  <si>
    <t>White Oak Manor Kings Mountain Inc</t>
  </si>
  <si>
    <t>White Oak Manor Shelby Inc</t>
  </si>
  <si>
    <t>White Oak Manor Tryon Inc</t>
  </si>
  <si>
    <t>White Oak of Waxhaw</t>
  </si>
  <si>
    <t>WhiteStone:  A Masonic and Eastern Star Community</t>
  </si>
  <si>
    <t>Wilkes Regional Medical Center</t>
  </si>
  <si>
    <t>Wilkesboro Health &amp; Rehab</t>
  </si>
  <si>
    <t>Willow Creek Nursing and Rehabilitation Center</t>
  </si>
  <si>
    <t>Willow Ridge Of North Carolina, Llc</t>
  </si>
  <si>
    <t>Willowbrook Healthcare Center</t>
  </si>
  <si>
    <t>Wilora Lake Healthcare Center</t>
  </si>
  <si>
    <t>Wilson Pines Nursing and Rehabilitation Center</t>
  </si>
  <si>
    <t>Wilson Rehabilitation and Nursing Ctr</t>
  </si>
  <si>
    <t>Woodbury Wellness Center</t>
  </si>
  <si>
    <t>Woodhaven Nursing &amp; Alzheimer's Care Ctr</t>
  </si>
  <si>
    <t xml:space="preserve">Woodland Hill Center </t>
  </si>
  <si>
    <t>Woodlands Nursing &amp; Rehabilitation Center</t>
  </si>
  <si>
    <t>Yadkin Nursing Care Center, Inc.</t>
  </si>
  <si>
    <t>Zebulon Rehabilitation Center</t>
  </si>
  <si>
    <t>"SNF  Response Facility Outbreak Effective Dates" document delivered to your facility's NCTracks Message Center.</t>
  </si>
  <si>
    <t xml:space="preserve"> Rates for 
Active Outbreaks ONLY</t>
  </si>
  <si>
    <t>COVID-19+
Base Rate</t>
  </si>
  <si>
    <t>COVID-19+ Resident Rate</t>
  </si>
  <si>
    <t>Premier Living And Rehab Center</t>
  </si>
  <si>
    <t>NC Medicaid Reimbursement Rates for IHS Skilled Nursing Facility</t>
  </si>
  <si>
    <t>* with COVID-19 Standard Uniform Rates *</t>
  </si>
  <si>
    <t>4/1/2022 Rate
w/5% &amp; 10% Increases</t>
  </si>
  <si>
    <t xml:space="preserve"> RATE
4/1/2022</t>
  </si>
  <si>
    <t>Cherokee Indian Hospital Authority (Tsali Care Center)</t>
  </si>
  <si>
    <t>NA</t>
  </si>
  <si>
    <t>Effective Dates: July 1, 2022 - September 30, 2022</t>
  </si>
  <si>
    <t>* Note: If the July 1 rate calculated to be lower than the April 1 rate, the April 1 rate remains effective July 1 *</t>
  </si>
  <si>
    <t xml:space="preserve">4/1/2022 Final Rate
</t>
  </si>
  <si>
    <t>7/1/2022 CMI</t>
  </si>
  <si>
    <t>7/1/2022 Direct</t>
  </si>
  <si>
    <t>7/1/2022 Indirect</t>
  </si>
  <si>
    <t>7/1/2022
FRV</t>
  </si>
  <si>
    <t>7/1/2022 Assessment</t>
  </si>
  <si>
    <t>7/1/2022 Rate
w/5% &amp; 10% Increases</t>
  </si>
  <si>
    <t>FINAL RATE
7/1/2022</t>
  </si>
  <si>
    <t xml:space="preserve">04/01/2022 Final Rate
</t>
  </si>
  <si>
    <t>7/1/2021 Rate
w/5% &amp; 10% Increases</t>
  </si>
  <si>
    <t xml:space="preserve"> FINAL RATE
7/1/2022</t>
  </si>
  <si>
    <t>% of Neutralized Direct_CMI to Total</t>
  </si>
  <si>
    <t>Patient Days</t>
  </si>
  <si>
    <t>Sq Ft per Bed</t>
  </si>
  <si>
    <t/>
  </si>
  <si>
    <t>Total Square Feet</t>
  </si>
  <si>
    <t>SNF/NPI</t>
  </si>
  <si>
    <t>Total nursing sq ft per bed</t>
  </si>
  <si>
    <t>Nursing Square Feet</t>
  </si>
  <si>
    <t>7/1/2022 to 9/30/2022</t>
  </si>
  <si>
    <t>Enter the facility NPI</t>
  </si>
  <si>
    <t>Hypothetical Medicaid CMI*</t>
  </si>
  <si>
    <t>Difference between Hypothetical Model and Normal Rate Model</t>
  </si>
  <si>
    <t>Note - Currently, Medicaid rates are increased by 5%, an additional 10% and $47.50.  If a quarterly rate is less than the previous quarter, the previous quarter's rate is carried forward.</t>
  </si>
  <si>
    <t>HYPOTHETICAL RATE CALCULATION</t>
  </si>
  <si>
    <t>Note - This calculation reflects the hypothetical Medicaid case-mix that was entered in addition to any FRV changes made on the "FRV Rate Calculation" tab.</t>
  </si>
  <si>
    <t>* - The rates effective July 1, 2022 are calculated using the 3/31/2022 Medicaid CMI.  A hypothetical rate can be calculated by entering any Medicaid CMI value.</t>
  </si>
  <si>
    <t>(optional)</t>
  </si>
  <si>
    <t>For convenience, the official state rate file has been included in one of the tabs of this file.</t>
  </si>
  <si>
    <t>Uniform COVID Add-on - see Note</t>
  </si>
  <si>
    <t>Enhanced July Rate (j*(1+k)*(1+l))</t>
  </si>
  <si>
    <t>Greater of April or July rate (max m or n)</t>
  </si>
  <si>
    <t>July 1-Sept 30, 2022 Rate (o+p)</t>
  </si>
  <si>
    <t xml:space="preserve">  The patient days used are from the 2019 cost report.  </t>
  </si>
  <si>
    <t>Only cells that are shaded can be safely modified.  Editing of any others cells is done so at the risk of the user.  Although some worksheets may be protected, this protection can be removed without a password.</t>
  </si>
  <si>
    <t>FRV Rate Calculation tab</t>
  </si>
  <si>
    <t>The figures on this tab that are in bold and italics are imported from the Medicaid rate model data based on the NPI that was entered on the Rate Calculation tab.</t>
  </si>
  <si>
    <r>
      <rPr>
        <b/>
        <sz val="10"/>
        <rFont val="Arial"/>
        <family val="2"/>
      </rPr>
      <t>Actual Facility Data:</t>
    </r>
    <r>
      <rPr>
        <sz val="10"/>
        <rFont val="Arial"/>
        <family val="2"/>
      </rPr>
      <t xml:space="preserve"> This column presents the calculation methodology from the Medicaid rate model.</t>
    </r>
  </si>
  <si>
    <r>
      <rPr>
        <b/>
        <sz val="10"/>
        <rFont val="Arial"/>
        <family val="2"/>
      </rPr>
      <t>Current Facility Renovated to the Age of a New Building:</t>
    </r>
    <r>
      <rPr>
        <sz val="10"/>
        <rFont val="Arial"/>
        <family val="2"/>
      </rPr>
      <t xml:space="preserve"> This column shows the FRV calculation of this facility renovated to a "new" facility.</t>
    </r>
  </si>
  <si>
    <r>
      <rPr>
        <b/>
        <sz val="10"/>
        <rFont val="Arial"/>
        <family val="2"/>
      </rPr>
      <t xml:space="preserve">Replacement Building w/ 700 sq ft per bed: </t>
    </r>
    <r>
      <rPr>
        <sz val="10"/>
        <rFont val="Arial"/>
        <family val="2"/>
      </rPr>
      <t>This column shows the FRV calculation of this facility renovated to a "new" facility with 700 sq ft per bed.</t>
    </r>
  </si>
  <si>
    <r>
      <rPr>
        <b/>
        <sz val="10"/>
        <rFont val="Arial"/>
        <family val="2"/>
      </rPr>
      <t>User Defined Variables:</t>
    </r>
    <r>
      <rPr>
        <sz val="10"/>
        <rFont val="Arial"/>
        <family val="2"/>
      </rPr>
      <t xml:space="preserve"> This column  allows the user to enter a hytpothetical square footage total and/or hypothetical renovation cost.</t>
    </r>
  </si>
  <si>
    <t>Several columns of calculations are presented:</t>
  </si>
  <si>
    <t>Modification 1</t>
  </si>
  <si>
    <t>Modification 2</t>
  </si>
  <si>
    <t>Modification 3</t>
  </si>
  <si>
    <t>Modification 4</t>
  </si>
  <si>
    <t>Modification 5</t>
  </si>
  <si>
    <t>Modification 6</t>
  </si>
  <si>
    <t>add=1. Replacement=2, renov=3</t>
  </si>
  <si>
    <t>Facility</t>
  </si>
  <si>
    <t>Abbotts Creek Care And Rehabilition Center</t>
  </si>
  <si>
    <t>Accordius Health At Brevard</t>
  </si>
  <si>
    <t>Accordius Health At Clemmons</t>
  </si>
  <si>
    <t>Accordius Health At Creekside</t>
  </si>
  <si>
    <t>Accordius Health At Gastonia</t>
  </si>
  <si>
    <t>Accordius Health At Lexington</t>
  </si>
  <si>
    <t>Accordius Health At Salisbury</t>
  </si>
  <si>
    <t>Accordius Health At Scotland Manor</t>
  </si>
  <si>
    <t>Accordius Health At Wilmington</t>
  </si>
  <si>
    <t>Accordius Health At Winston-Salem</t>
  </si>
  <si>
    <t>Accordius Heath At Asheville</t>
  </si>
  <si>
    <t>Adams Farm And Living Rehab</t>
  </si>
  <si>
    <t>Alleghany Care And Rehabilitation Center</t>
  </si>
  <si>
    <t>Anson Health And Rehabilitation, Llc</t>
  </si>
  <si>
    <t>Asbury Health And Rehabilitation Center</t>
  </si>
  <si>
    <t>Ashton Health And Rehabilitation</t>
  </si>
  <si>
    <t>Autumn Care Of Cornelius</t>
  </si>
  <si>
    <t>Autumn Care Of Fayetteville</t>
  </si>
  <si>
    <t>Ayden Court Nursing And Rehabilitation Center</t>
  </si>
  <si>
    <t>Azalea Health And Rehab Center</t>
  </si>
  <si>
    <t>Barbour Court Nursing And Rehabilitation Center</t>
  </si>
  <si>
    <t>Bellarose Nursing And Rehabilitation Center</t>
  </si>
  <si>
    <t>Bermuda Village Retirement Center</t>
  </si>
  <si>
    <t>no data at this time</t>
  </si>
  <si>
    <t>Bethany Woods Nursing And Rehabilitation Center</t>
  </si>
  <si>
    <t>Bladen East Health And Rehabilitation Center</t>
  </si>
  <si>
    <t xml:space="preserve">Blue Ridge Health And Rehabilitation Center </t>
  </si>
  <si>
    <t>Brunswick Health And Rehabilitation Center</t>
  </si>
  <si>
    <t>Camden Health And Rehabilitation</t>
  </si>
  <si>
    <t xml:space="preserve">Capital Nursing And Rehabilitation </t>
  </si>
  <si>
    <t>Carolina Care Health And Rehabilitation</t>
  </si>
  <si>
    <t>Carolina Pines At Asheville</t>
  </si>
  <si>
    <t>Carolina Rehab Center of Cumberland</t>
  </si>
  <si>
    <t>Carolina Rivers Nursing And Rehabilitation Center</t>
  </si>
  <si>
    <t>Cherry Point Bay Nursing And Rehabilitation Center</t>
  </si>
  <si>
    <t>Chowan River Nursing And Rehabilitation Center</t>
  </si>
  <si>
    <t>Clapp'S Convalescent Nursing Home, Inc.</t>
  </si>
  <si>
    <t>Clapp'S Nursing Center, Inc.</t>
  </si>
  <si>
    <t>Cornerstone Nursing And Rehabilitation Center</t>
  </si>
  <si>
    <t>Croatan Ridge Nursing And Rehabilitation Center</t>
  </si>
  <si>
    <t>Cumberland Nursing And Rehabilitation Center</t>
  </si>
  <si>
    <t>Davis Health And Wellness Center At Cambridge Village</t>
  </si>
  <si>
    <t>Durham Nursing And Rehabilitation Center</t>
  </si>
  <si>
    <t>East Carolina Rehab And Wellness</t>
  </si>
  <si>
    <t>Edgecombe Health &amp; Rehab Ctr by Harborview</t>
  </si>
  <si>
    <t>Edwin Morgan Center/Scotland Mem Hosp</t>
  </si>
  <si>
    <t>Elizabeth City Health And Rehabilitation Center</t>
  </si>
  <si>
    <t>I</t>
  </si>
  <si>
    <t>Enfield Oaks Nursing And Rehabilitation Center</t>
  </si>
  <si>
    <t>Fair Haven At Forest City</t>
  </si>
  <si>
    <t>Franklin Oaks Nursing And Rehabilitation Center</t>
  </si>
  <si>
    <t>Gateway Rehabilitation And Healthcare</t>
  </si>
  <si>
    <t>Graham Healthcare And Rehabilitation Center</t>
  </si>
  <si>
    <t>Grantsbrook Nursing And Rehabilitation Center</t>
  </si>
  <si>
    <t>Greendale Forest Nursing And Rehabilitation Center</t>
  </si>
  <si>
    <t>Greenhaven Health And Rehabilitation Center</t>
  </si>
  <si>
    <t>Harborview Lumberton</t>
  </si>
  <si>
    <t xml:space="preserve">Harborview Rehabilitation And Healthcare </t>
  </si>
  <si>
    <t>Harmony Hall Nursing And Rehabilitation Center</t>
  </si>
  <si>
    <t>Harnett Woods Nursing And Rehabilitation Center</t>
  </si>
  <si>
    <t>Hendersonville Health And Rehabilitation</t>
  </si>
  <si>
    <t>Hickory Falls Health And Rehabilitation</t>
  </si>
  <si>
    <t>Highland Acres Nursing And Rehabilitation Center</t>
  </si>
  <si>
    <t>Highland House Rehabilitation And Healthcare</t>
  </si>
  <si>
    <t>Hunter Hills Nursing And Rehabilitation Center</t>
  </si>
  <si>
    <t>1477137628</t>
  </si>
  <si>
    <t>Jacob'S Creek Nursing And Rehabilitation Center</t>
  </si>
  <si>
    <t>Kerr Lake Nursing And Rehabilitation Center</t>
  </si>
  <si>
    <t>Lenoir Memorial Hospital-Nf</t>
  </si>
  <si>
    <t>D</t>
  </si>
  <si>
    <t>MacGregor Downs Health Center by Harborview</t>
  </si>
  <si>
    <t>Macon Valley Nursing And Rehabilitation Center</t>
  </si>
  <si>
    <t>Madison Manor Rehabilitation And Nursing Center</t>
  </si>
  <si>
    <t>Maggie Valley Nursing And Rehabilitation</t>
  </si>
  <si>
    <t>Magnolia Lane Nursing And Rehabilitation Center</t>
  </si>
  <si>
    <t>Maple Grove Health And Rehabilitation Center</t>
  </si>
  <si>
    <t xml:space="preserve">Mecklenburg Health And Rehabilitation Center </t>
  </si>
  <si>
    <t>Monroe Rehabilitation Center</t>
  </si>
  <si>
    <t>Mount Olive Care And Rehabilitation Center</t>
  </si>
  <si>
    <t xml:space="preserve">Murphy Rehabilitation And Nursing </t>
  </si>
  <si>
    <t>Northchase Nursing And Rehabilitation Center</t>
  </si>
  <si>
    <t>Northhampton Nursing And Rehabilitation Center</t>
  </si>
  <si>
    <t>Oak Forest Health And Rehabilitation</t>
  </si>
  <si>
    <t>Parkview Health And Rehabilitation</t>
  </si>
  <si>
    <t>Pavillion Health Center At Brightmore</t>
  </si>
  <si>
    <t>Pembroke Care And Rehabilitation Center</t>
  </si>
  <si>
    <t>Pine Ridge Health And Rehabilitation Center</t>
  </si>
  <si>
    <t>Piney Grove Nursing And Rehabilitation Center</t>
  </si>
  <si>
    <t>Premier Nursing And Rehabilitation Center</t>
  </si>
  <si>
    <t>Presbyterian Orthopaedic Hospital, Llc</t>
  </si>
  <si>
    <t>Pruitthealth-Carolina Point</t>
  </si>
  <si>
    <t>Pruitthealth-Durham Llc</t>
  </si>
  <si>
    <t>Pruitthealth-Elkin</t>
  </si>
  <si>
    <t>Pruitthealth-Farmville</t>
  </si>
  <si>
    <t>Pruitthealth-High Point</t>
  </si>
  <si>
    <t>Pruitthealth-Neuse</t>
  </si>
  <si>
    <t>Pruitthealth-Raleigh</t>
  </si>
  <si>
    <t>Pruitthealth-Rockingham</t>
  </si>
  <si>
    <t>Pruitthealth-Sealevel</t>
  </si>
  <si>
    <t>Pruitthealth-Town Center</t>
  </si>
  <si>
    <t>Pruitthealth-Trent</t>
  </si>
  <si>
    <t>Pruitthealth-Union Pointe</t>
  </si>
  <si>
    <t>Quail Haven Healthcare Center Of Pinehurst</t>
  </si>
  <si>
    <t>Rich Square Nursing And Rehabilitation</t>
  </si>
  <si>
    <t>Richmond Pines Heathcare And Rehabilitation Center</t>
  </si>
  <si>
    <t>River Trace Nursing And Rehabilitation Center</t>
  </si>
  <si>
    <t>Riverpoint Crest Nursing And Rehabilitation Center</t>
  </si>
  <si>
    <t>Roanoke River Nursing And Rehabilitation Center</t>
  </si>
  <si>
    <t xml:space="preserve">Royal Park Rehabilitation &amp; Health Center Of Matthews </t>
  </si>
  <si>
    <t>Sampson Regional Medical Center</t>
  </si>
  <si>
    <t>Scottish Pines Rehabilitation And Nursing Center</t>
  </si>
  <si>
    <t>Senior Citizen'S Home, Inc.</t>
  </si>
  <si>
    <t>Signature Healthcare Of Chapel Hill</t>
  </si>
  <si>
    <t>Signature Healthcare Of Kinston</t>
  </si>
  <si>
    <t>Signature Healthcare Of Roanoke Rapids</t>
  </si>
  <si>
    <t>Siler City Care And Rehabilitation Center</t>
  </si>
  <si>
    <t>Smithfield Manor Nursing And Rehab</t>
  </si>
  <si>
    <t>Smoky Mountain Health And Rehabilitation Center</t>
  </si>
  <si>
    <t>Snug Harbor</t>
  </si>
  <si>
    <t>Southport Nursing Center</t>
  </si>
  <si>
    <t>Springbrook Nursing And Rehabilitation Center</t>
  </si>
  <si>
    <t>Stone Creek Health And Rehabilitation</t>
  </si>
  <si>
    <t>Summerstone Health And Rehabilitation Center</t>
  </si>
  <si>
    <t>Surry Community Health Ctr of Harborview</t>
  </si>
  <si>
    <t>The Greens At Pinehurst Rehab &amp; Living Center</t>
  </si>
  <si>
    <t>The Laurels Of Pender</t>
  </si>
  <si>
    <t>The Lodge At Mills River</t>
  </si>
  <si>
    <t>The Oaks At Whitaker Glen-Mayview</t>
  </si>
  <si>
    <t>Tower Nursing And Rehabilitation Center</t>
  </si>
  <si>
    <t>Triad Care And Rehabilitation Center</t>
  </si>
  <si>
    <t>Tsali Care Center</t>
  </si>
  <si>
    <t>Twin Lakes Community Memory Care</t>
  </si>
  <si>
    <t>Universal Health Care - Nashville</t>
  </si>
  <si>
    <t>Universal Healthcare of Fletcher</t>
  </si>
  <si>
    <t>Universal Healthcare of Ramseur</t>
  </si>
  <si>
    <t>University Place Nursing And Rehabiliation Center</t>
  </si>
  <si>
    <t>Village Green Health And Rehabilitation</t>
  </si>
  <si>
    <t>Wake Med For Zebulon</t>
  </si>
  <si>
    <t>Wakemed Fuquay Varina</t>
  </si>
  <si>
    <t>Warsaw Health And Rehab</t>
  </si>
  <si>
    <t>Wellington Nursing And Rehab Center</t>
  </si>
  <si>
    <t>Westfield Rehabilitation And Health Center</t>
  </si>
  <si>
    <t>Westwood Hills Nursing And Rehabilitation Center</t>
  </si>
  <si>
    <t>White Oak Of Waxhaw</t>
  </si>
  <si>
    <t>Whitestone:  A Masonic And Eastern Star Community</t>
  </si>
  <si>
    <t>Willow Creek Nursing And Rehabilitation Center</t>
  </si>
  <si>
    <t>Wilson Pines Nursing And Rehabilitation Center</t>
  </si>
  <si>
    <t>Wilson Rehabilitation And Nursing Ctr</t>
  </si>
  <si>
    <t>Woodhaven Nursing &amp; Alzheimer'S Care Ctr</t>
  </si>
  <si>
    <t>Renovation 1</t>
  </si>
  <si>
    <t>Type of Submission</t>
  </si>
  <si>
    <t>Year of Renovation</t>
  </si>
  <si>
    <t>Cost/# of Beds</t>
  </si>
  <si>
    <t>Renovation 2</t>
  </si>
  <si>
    <t>Renovation 3</t>
  </si>
  <si>
    <t>Renovation 4</t>
  </si>
  <si>
    <t>Renovation 5</t>
  </si>
  <si>
    <t>Renovation 6</t>
  </si>
  <si>
    <t>Types of Submissions:</t>
  </si>
  <si>
    <t>1 - bed addition</t>
  </si>
  <si>
    <t>2 - bed replacement</t>
  </si>
  <si>
    <t>3 - renovation</t>
  </si>
  <si>
    <t>Rate Calculation tab</t>
  </si>
  <si>
    <t>This tab shows the calculation of the total rate, including COVID rate enhancements and the rate hold harmless comparison.</t>
  </si>
  <si>
    <t>FRV Instructions tab</t>
  </si>
  <si>
    <t>This tab providers instructions on the completion of the FRV Rate Calculation tab.</t>
  </si>
  <si>
    <t>This tab shows the calculation of the current FRV rates as well as several FRV calculations, including those for a new facility of the same square footage, a new facility with the maximum square footage, and one reflecting user input variables.</t>
  </si>
  <si>
    <t>Capital Data Survey Information</t>
  </si>
  <si>
    <t>July 2022 Fee Schedule</t>
  </si>
  <si>
    <t>This tab shows the July 2022 nursing facility Medicaid rate schedule prepared by NC Medicaid.</t>
  </si>
  <si>
    <r>
      <t xml:space="preserve">This spreadsheet allows the user to calculate nursing facility Medicaid rates according to the retroactively implemented rate changes effective July 1, 2022.  These rates include the modernized FRV system and the time weighted case-mix. These rates use the March 31, 2022 Medicaid case-mix index.  </t>
    </r>
    <r>
      <rPr>
        <b/>
        <sz val="10"/>
        <rFont val="Arial"/>
        <family val="2"/>
      </rPr>
      <t>In order to use these worksheets, simply supply the requested information in the corresponding shaded cells.</t>
    </r>
  </si>
  <si>
    <t>Enhanced April Rate</t>
  </si>
  <si>
    <t>New Age - post renovation</t>
  </si>
  <si>
    <t>Below are the Capital Data Survey items submitted for years 2016 and later.  This information comes from the Medicaid rate model.</t>
  </si>
  <si>
    <t>This tab shows the Capital Data Survey items submitted for 2016 and later that are included in the Medicaid rate model.</t>
  </si>
  <si>
    <t>Facility Name (optional)</t>
  </si>
  <si>
    <t>Prov. Assmnt</t>
  </si>
  <si>
    <t>** - The FRV rate is inserted in the calculation based on the information NPI entered above.  To estimate impact of future FRV projects, enter the information on the FRV Rate Calculation tab.  Prior to using the FRV Rate Calculation tab, please read the FRV Instructions tab.</t>
  </si>
  <si>
    <t>3/31/22 Medicaid CMI</t>
  </si>
  <si>
    <t>Rate Model 3/31/2022 Medicaid CMI</t>
  </si>
  <si>
    <t>NPIs of "new" facilities in the rate model.</t>
  </si>
  <si>
    <t>Average Direct Rate</t>
  </si>
  <si>
    <t xml:space="preserve">This value changes each quarter.  </t>
  </si>
  <si>
    <t>Average CMI</t>
  </si>
  <si>
    <t>This value is used to normalize the average direct rate.</t>
  </si>
  <si>
    <t>CMI Percentage</t>
  </si>
  <si>
    <t>New facilities have 65% of the ceiling adjusted.</t>
  </si>
  <si>
    <t>CMI Portion</t>
  </si>
  <si>
    <t>Non-CMI Portion</t>
  </si>
  <si>
    <t>Medicaid CMI</t>
  </si>
  <si>
    <t>&lt;------- Enter the facility Medicaid CMI here.</t>
  </si>
  <si>
    <t>Direct Rate</t>
  </si>
  <si>
    <t>Total Direct and Indirect Rate</t>
  </si>
  <si>
    <t>FRV Rate</t>
  </si>
  <si>
    <t>&lt;----FRV rate goes here</t>
  </si>
  <si>
    <t>&lt;----Provider Assessment goes here</t>
  </si>
  <si>
    <t>Total Rate</t>
  </si>
  <si>
    <t>NOTE - Due to differences in the rate calculations, this direct rate calculation may not be suitable for facilities considered by the state to be "waiver hospitals".</t>
  </si>
  <si>
    <t>**** - The direct rate calculation is different for "new" facilities.  A "new" facility is one that did not file a 2005 Medicaid cost report.  This calculation is not accurate for facilities considered by the state to be "waiver hospitals".</t>
  </si>
  <si>
    <t>Changes made in this column will be reflected below and in the Hypothetical Rate Calculation in the Rate Calculation tab.</t>
  </si>
  <si>
    <t>2021 Historical Cost Index from Rate Model</t>
  </si>
  <si>
    <t>Accumulated Depreciation per Bed</t>
  </si>
  <si>
    <t>Revised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</si>
</sst>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_(* #,##0.0_);_(* \(#,##0.0\);_(* &quot;-&quot;??_);_(@_)"/>
    <numFmt numFmtId="167" formatCode="0.000"/>
    <numFmt numFmtId="168" formatCode="0.0%"/>
    <numFmt numFmtId="169" formatCode="_(&quot;$&quot;* #,##0_);_(&quot;$&quot;* \(#,##0\);_(&quot;$&quot;* &quot;-&quot;??_);_(@_)"/>
    <numFmt numFmtId="171" formatCode="_(* #,##0.0000_);_(* \(#,##0.0000\);_(* &quot;-&quot;??_);_(@_)"/>
    <numFmt numFmtId="172" formatCode="&quot;$&quot;#,##0.00"/>
    <numFmt numFmtId="176" formatCode="_(* #,##0.0000000_);_(* \(#,##0.0000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b/>
      <sz val="10"/>
      <name val="Arial"/>
      <family val="2"/>
    </font>
    <font>
      <sz val="10"/>
      <name val="Arial"/>
      <family val="2"/>
    </font>
    <font>
      <b/>
      <sz val="8"/>
      <color indexed="8"/>
      <name val="Arial"/>
      <family val="2"/>
    </font>
    <font>
      <sz val="8"/>
      <color indexed="10"/>
      <name val="Arial"/>
      <family val="2"/>
    </font>
    <font>
      <sz val="8"/>
      <color indexed="8"/>
      <name val="Arial"/>
      <family val="2"/>
    </font>
    <font>
      <b/>
      <sz val="10"/>
      <color indexed="9"/>
      <name val="Arial"/>
      <family val="2"/>
    </font>
    <font>
      <sz val="10"/>
      <color indexed="9"/>
      <name val="Arial"/>
      <family val="2"/>
    </font>
    <font>
      <b/>
      <sz val="8"/>
      <color indexed="9"/>
      <name val="Arial"/>
      <family val="2"/>
    </font>
    <font>
      <b/>
      <sz val="18"/>
      <name val="Arial"/>
      <family val="2"/>
    </font>
    <font>
      <b/>
      <u/>
      <sz val="12"/>
      <name val="Arial"/>
      <family val="2"/>
    </font>
    <font>
      <sz val="10"/>
      <color indexed="8"/>
      <name val="Arial"/>
      <family val="2"/>
    </font>
    <font>
      <b/>
      <sz val="10"/>
      <color rgb="FFFF0000"/>
      <name val="Arial"/>
      <family val="2"/>
    </font>
    <font>
      <sz val="10"/>
      <color rgb="FFFF0000"/>
      <name val="Arial"/>
      <family val="2"/>
    </font>
    <font>
      <sz val="10"/>
      <color indexed="8"/>
      <name val="MS Sans Serif"/>
    </font>
    <font>
      <b/>
      <sz val="11"/>
      <color theme="1"/>
      <name val="Calibri"/>
      <family val="2"/>
      <scheme val="minor"/>
    </font>
    <font>
      <b/>
      <sz val="9"/>
      <color indexed="81"/>
      <name val="Tahoma"/>
      <family val="2"/>
    </font>
    <font>
      <sz val="9"/>
      <color indexed="81"/>
      <name val="Tahoma"/>
      <family val="2"/>
    </font>
    <font>
      <b/>
      <u/>
      <sz val="11"/>
      <color theme="1"/>
      <name val="Calibri"/>
      <family val="2"/>
      <scheme val="minor"/>
    </font>
    <font>
      <sz val="10"/>
      <color theme="1"/>
      <name val="Arial"/>
      <family val="2"/>
    </font>
    <font>
      <sz val="14"/>
      <color rgb="FF000000"/>
      <name val="Calibri"/>
      <family val="2"/>
      <scheme val="minor"/>
    </font>
    <font>
      <sz val="14"/>
      <name val="Calibri"/>
      <family val="2"/>
      <scheme val="minor"/>
    </font>
    <font>
      <b/>
      <i/>
      <sz val="10"/>
      <color rgb="FFFF0000"/>
      <name val="Arial"/>
      <family val="2"/>
    </font>
    <font>
      <sz val="11"/>
      <name val="Arial"/>
      <family val="2"/>
    </font>
    <font>
      <i/>
      <sz val="11"/>
      <name val="Arial"/>
      <family val="2"/>
    </font>
    <font>
      <b/>
      <sz val="11"/>
      <name val="Arial"/>
      <family val="2"/>
    </font>
    <font>
      <b/>
      <i/>
      <sz val="11"/>
      <name val="Arial"/>
      <family val="2"/>
    </font>
    <font>
      <b/>
      <i/>
      <sz val="10"/>
      <color theme="8" tint="-0.249977111117893"/>
      <name val="Arial"/>
      <family val="2"/>
    </font>
    <font>
      <b/>
      <i/>
      <sz val="10"/>
      <name val="Arial"/>
      <family val="2"/>
    </font>
    <font>
      <sz val="9"/>
      <name val="Arial"/>
      <family val="2"/>
    </font>
    <font>
      <sz val="9"/>
      <name val="Times New Roman"/>
      <family val="1"/>
    </font>
    <font>
      <b/>
      <sz val="10"/>
      <color indexed="8"/>
      <name val="Arial"/>
      <family val="2"/>
    </font>
    <font>
      <sz val="9"/>
      <color rgb="FFFF0000"/>
      <name val="Arial"/>
      <family val="2"/>
    </font>
    <font>
      <sz val="10"/>
      <color indexed="8"/>
      <name val="Arial"/>
      <family val="2"/>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6" tint="0.39997558519241921"/>
        <bgColor indexed="64"/>
      </patternFill>
    </fill>
    <fill>
      <patternFill patternType="solid">
        <fgColor indexed="43"/>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21">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s>
  <cellStyleXfs count="29">
    <xf numFmtId="0" fontId="0"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16"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9" fillId="0" borderId="0"/>
    <xf numFmtId="0" fontId="2" fillId="0" borderId="0"/>
    <xf numFmtId="44" fontId="2" fillId="0" borderId="0" applyFont="0" applyFill="0" applyBorder="0" applyAlignment="0" applyProtection="0"/>
    <xf numFmtId="0" fontId="5" fillId="0" borderId="0"/>
    <xf numFmtId="0" fontId="35" fillId="0" borderId="0"/>
    <xf numFmtId="0" fontId="38"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cellStyleXfs>
  <cellXfs count="242">
    <xf numFmtId="0" fontId="0" fillId="0" borderId="0" xfId="0"/>
    <xf numFmtId="0" fontId="0" fillId="0" borderId="0" xfId="0" applyFill="1"/>
    <xf numFmtId="0" fontId="0" fillId="0" borderId="0" xfId="0" applyFill="1" applyAlignment="1">
      <alignment horizontal="left"/>
    </xf>
    <xf numFmtId="0" fontId="12" fillId="0" borderId="0" xfId="0" applyFont="1" applyFill="1"/>
    <xf numFmtId="0" fontId="0" fillId="0" borderId="0" xfId="0" applyBorder="1"/>
    <xf numFmtId="0" fontId="0" fillId="0" borderId="0" xfId="0" applyFill="1" applyBorder="1"/>
    <xf numFmtId="164" fontId="0" fillId="0" borderId="0" xfId="0" applyNumberFormat="1"/>
    <xf numFmtId="43" fontId="0" fillId="0" borderId="0" xfId="0" applyNumberFormat="1"/>
    <xf numFmtId="0" fontId="7" fillId="0" borderId="0" xfId="0" applyFont="1" applyAlignment="1">
      <alignment vertical="top"/>
    </xf>
    <xf numFmtId="0" fontId="6" fillId="0" borderId="0" xfId="0" applyFont="1"/>
    <xf numFmtId="0" fontId="14" fillId="0" borderId="0" xfId="0" applyFont="1" applyAlignment="1">
      <alignment horizontal="centerContinuous"/>
    </xf>
    <xf numFmtId="43" fontId="0" fillId="0" borderId="0" xfId="1" applyFont="1"/>
    <xf numFmtId="0" fontId="1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6" xfId="0" applyBorder="1"/>
    <xf numFmtId="164" fontId="0" fillId="0" borderId="0" xfId="1" applyNumberFormat="1" applyFont="1" applyFill="1"/>
    <xf numFmtId="0" fontId="0" fillId="0" borderId="7" xfId="0" applyBorder="1"/>
    <xf numFmtId="0" fontId="0" fillId="0" borderId="8" xfId="0" applyBorder="1"/>
    <xf numFmtId="171" fontId="0" fillId="0" borderId="0" xfId="1" applyNumberFormat="1" applyFont="1" applyBorder="1"/>
    <xf numFmtId="43" fontId="0" fillId="0" borderId="0" xfId="1" applyFont="1" applyFill="1"/>
    <xf numFmtId="10" fontId="0" fillId="0" borderId="0" xfId="10" applyNumberFormat="1" applyFont="1" applyBorder="1"/>
    <xf numFmtId="0" fontId="6" fillId="0" borderId="0" xfId="0" applyFont="1" applyFill="1" applyBorder="1" applyAlignment="1"/>
    <xf numFmtId="171" fontId="0" fillId="0" borderId="0" xfId="1" applyNumberFormat="1" applyFont="1" applyFill="1"/>
    <xf numFmtId="44" fontId="0" fillId="0" borderId="0" xfId="0" applyNumberFormat="1"/>
    <xf numFmtId="0" fontId="12" fillId="2" borderId="0" xfId="9" applyFont="1" applyFill="1"/>
    <xf numFmtId="0" fontId="12" fillId="2" borderId="0" xfId="9" applyFont="1" applyFill="1" applyAlignment="1">
      <alignment horizontal="left"/>
    </xf>
    <xf numFmtId="0" fontId="13" fillId="2" borderId="10" xfId="9" applyFont="1" applyFill="1" applyBorder="1" applyAlignment="1">
      <alignment horizontal="center"/>
    </xf>
    <xf numFmtId="0" fontId="13" fillId="2" borderId="10" xfId="9" applyFont="1" applyFill="1" applyBorder="1" applyAlignment="1">
      <alignment horizontal="left"/>
    </xf>
    <xf numFmtId="0" fontId="9" fillId="0" borderId="11" xfId="9" applyFont="1" applyFill="1" applyBorder="1" applyAlignment="1">
      <alignment horizontal="center"/>
    </xf>
    <xf numFmtId="0" fontId="8" fillId="0" borderId="11" xfId="9" applyFont="1" applyFill="1" applyBorder="1" applyAlignment="1">
      <alignment horizontal="left"/>
    </xf>
    <xf numFmtId="0" fontId="8" fillId="0" borderId="10" xfId="9" applyFont="1" applyFill="1" applyBorder="1" applyAlignment="1">
      <alignment horizontal="left"/>
    </xf>
    <xf numFmtId="0" fontId="7" fillId="0" borderId="0" xfId="0" applyFont="1"/>
    <xf numFmtId="44" fontId="0" fillId="0" borderId="0" xfId="4" applyFont="1" applyBorder="1"/>
    <xf numFmtId="0" fontId="3" fillId="0" borderId="0" xfId="0" applyFont="1"/>
    <xf numFmtId="0" fontId="3" fillId="0" borderId="0" xfId="0" applyFont="1" applyFill="1" applyBorder="1"/>
    <xf numFmtId="0" fontId="3" fillId="0" borderId="0" xfId="0" applyFont="1" applyBorder="1"/>
    <xf numFmtId="0" fontId="3" fillId="0" borderId="7" xfId="0" applyFont="1" applyBorder="1" applyAlignment="1">
      <alignment horizontal="center"/>
    </xf>
    <xf numFmtId="0" fontId="0" fillId="0" borderId="7" xfId="0" applyBorder="1" applyAlignment="1">
      <alignment horizontal="center"/>
    </xf>
    <xf numFmtId="0" fontId="3" fillId="0" borderId="0" xfId="0" applyFont="1" applyAlignment="1">
      <alignment horizontal="left" vertical="top"/>
    </xf>
    <xf numFmtId="0" fontId="3" fillId="0" borderId="0" xfId="0" applyFont="1" applyAlignment="1">
      <alignment vertical="top"/>
    </xf>
    <xf numFmtId="44" fontId="3" fillId="0" borderId="0" xfId="4" applyFont="1" applyBorder="1"/>
    <xf numFmtId="44" fontId="3" fillId="0" borderId="0" xfId="4" applyFont="1" applyFill="1" applyBorder="1"/>
    <xf numFmtId="44" fontId="3" fillId="0" borderId="12" xfId="4" applyFont="1" applyFill="1" applyBorder="1"/>
    <xf numFmtId="9" fontId="3" fillId="0" borderId="0" xfId="0" applyNumberFormat="1" applyFont="1" applyBorder="1"/>
    <xf numFmtId="9" fontId="0" fillId="0" borderId="0" xfId="10" applyFont="1" applyBorder="1"/>
    <xf numFmtId="10" fontId="3" fillId="0" borderId="0" xfId="10" applyNumberFormat="1" applyFont="1"/>
    <xf numFmtId="0" fontId="3" fillId="0" borderId="0" xfId="0" applyFont="1" applyFill="1"/>
    <xf numFmtId="44" fontId="0" fillId="0" borderId="0" xfId="4" applyFont="1"/>
    <xf numFmtId="0" fontId="0" fillId="0" borderId="0" xfId="0" applyAlignment="1">
      <alignment horizontal="center"/>
    </xf>
    <xf numFmtId="0" fontId="11" fillId="2" borderId="12" xfId="9" applyFont="1" applyFill="1" applyBorder="1" applyAlignment="1">
      <alignment horizontal="center"/>
    </xf>
    <xf numFmtId="165" fontId="0" fillId="3" borderId="0" xfId="1" applyNumberFormat="1" applyFont="1" applyFill="1" applyProtection="1">
      <protection locked="0"/>
    </xf>
    <xf numFmtId="0" fontId="0" fillId="0" borderId="0" xfId="0" applyAlignment="1">
      <alignment wrapText="1"/>
    </xf>
    <xf numFmtId="0" fontId="3" fillId="3" borderId="0" xfId="0" applyFont="1" applyFill="1" applyAlignment="1" applyProtection="1">
      <protection locked="0"/>
    </xf>
    <xf numFmtId="0" fontId="0" fillId="0" borderId="0" xfId="0" applyAlignment="1" applyProtection="1">
      <protection locked="0"/>
    </xf>
    <xf numFmtId="0" fontId="0" fillId="0" borderId="0" xfId="0" applyAlignment="1"/>
    <xf numFmtId="9" fontId="0" fillId="0" borderId="0" xfId="10" applyFont="1"/>
    <xf numFmtId="168" fontId="0" fillId="0" borderId="0" xfId="10" applyNumberFormat="1" applyFont="1"/>
    <xf numFmtId="166" fontId="0" fillId="0" borderId="0" xfId="1" applyNumberFormat="1" applyFont="1"/>
    <xf numFmtId="164" fontId="0" fillId="0" borderId="0" xfId="1" applyNumberFormat="1" applyFont="1"/>
    <xf numFmtId="4" fontId="10" fillId="0" borderId="10" xfId="9" applyNumberFormat="1" applyFont="1" applyFill="1" applyBorder="1"/>
    <xf numFmtId="166" fontId="0" fillId="4" borderId="0" xfId="1" applyNumberFormat="1" applyFont="1" applyFill="1"/>
    <xf numFmtId="0" fontId="0" fillId="0" borderId="0" xfId="0" applyAlignment="1">
      <alignment horizontal="center" wrapText="1"/>
    </xf>
    <xf numFmtId="165" fontId="0" fillId="0" borderId="0" xfId="1" applyNumberFormat="1" applyFont="1" applyFill="1"/>
    <xf numFmtId="0" fontId="0" fillId="0" borderId="0" xfId="0" applyAlignment="1">
      <alignment horizontal="right"/>
    </xf>
    <xf numFmtId="0" fontId="23" fillId="0" borderId="0" xfId="0" applyFont="1"/>
    <xf numFmtId="39" fontId="20" fillId="0" borderId="0" xfId="1" applyNumberFormat="1" applyFont="1" applyFill="1"/>
    <xf numFmtId="169" fontId="0" fillId="0" borderId="0" xfId="4" applyNumberFormat="1" applyFont="1"/>
    <xf numFmtId="169" fontId="0" fillId="0" borderId="0" xfId="0" applyNumberFormat="1"/>
    <xf numFmtId="44" fontId="20" fillId="0" borderId="1" xfId="4" applyFont="1" applyBorder="1"/>
    <xf numFmtId="0" fontId="20" fillId="0" borderId="0" xfId="0" applyFont="1"/>
    <xf numFmtId="0" fontId="20" fillId="0" borderId="12" xfId="0" applyFont="1" applyBorder="1"/>
    <xf numFmtId="2" fontId="0" fillId="0" borderId="0" xfId="0" applyNumberFormat="1"/>
    <xf numFmtId="2" fontId="0" fillId="0" borderId="12" xfId="0" applyNumberFormat="1" applyBorder="1"/>
    <xf numFmtId="43" fontId="3" fillId="0" borderId="0" xfId="1" applyFont="1"/>
    <xf numFmtId="164" fontId="0" fillId="5" borderId="0" xfId="1" applyNumberFormat="1" applyFont="1" applyFill="1" applyProtection="1">
      <protection locked="0"/>
    </xf>
    <xf numFmtId="169" fontId="0" fillId="5" borderId="0" xfId="4" applyNumberFormat="1" applyFont="1" applyFill="1" applyProtection="1">
      <protection locked="0"/>
    </xf>
    <xf numFmtId="0" fontId="3" fillId="0" borderId="0" xfId="0" quotePrefix="1" applyFont="1"/>
    <xf numFmtId="164" fontId="3" fillId="0" borderId="0" xfId="1" applyNumberFormat="1" applyFont="1"/>
    <xf numFmtId="10" fontId="3" fillId="0" borderId="0" xfId="10" applyNumberFormat="1" applyFont="1" applyAlignment="1">
      <alignment wrapText="1"/>
    </xf>
    <xf numFmtId="0" fontId="2" fillId="0" borderId="0" xfId="15"/>
    <xf numFmtId="0" fontId="3" fillId="4" borderId="0" xfId="7" applyFont="1" applyFill="1"/>
    <xf numFmtId="44" fontId="31" fillId="6" borderId="14" xfId="13" applyFont="1" applyFill="1" applyBorder="1" applyAlignment="1" applyProtection="1">
      <alignment wrapText="1"/>
      <protection locked="0"/>
    </xf>
    <xf numFmtId="44" fontId="31" fillId="6" borderId="0" xfId="13" applyFont="1" applyFill="1" applyBorder="1" applyAlignment="1" applyProtection="1">
      <alignment wrapText="1"/>
      <protection locked="0"/>
    </xf>
    <xf numFmtId="0" fontId="3" fillId="0" borderId="0" xfId="7" applyFont="1" applyAlignment="1">
      <alignment wrapText="1"/>
    </xf>
    <xf numFmtId="0" fontId="6" fillId="6" borderId="17" xfId="14" applyFont="1" applyFill="1" applyBorder="1" applyAlignment="1">
      <alignment horizontal="center" wrapText="1"/>
    </xf>
    <xf numFmtId="15" fontId="6" fillId="7" borderId="17" xfId="7" quotePrefix="1" applyNumberFormat="1" applyFont="1" applyFill="1" applyBorder="1" applyAlignment="1">
      <alignment horizontal="center" wrapText="1"/>
    </xf>
    <xf numFmtId="15" fontId="6" fillId="6" borderId="17" xfId="7" quotePrefix="1" applyNumberFormat="1" applyFont="1" applyFill="1" applyBorder="1" applyAlignment="1">
      <alignment horizontal="center" wrapText="1"/>
    </xf>
    <xf numFmtId="15" fontId="6" fillId="6" borderId="13" xfId="7" quotePrefix="1" applyNumberFormat="1" applyFont="1" applyFill="1" applyBorder="1" applyAlignment="1">
      <alignment horizontal="center" wrapText="1"/>
    </xf>
    <xf numFmtId="15" fontId="6" fillId="6" borderId="10" xfId="7" quotePrefix="1" applyNumberFormat="1" applyFont="1" applyFill="1" applyBorder="1" applyAlignment="1">
      <alignment horizontal="center" wrapText="1"/>
    </xf>
    <xf numFmtId="0" fontId="6" fillId="0" borderId="10" xfId="7" applyFont="1" applyBorder="1" applyAlignment="1">
      <alignment horizontal="center" wrapText="1"/>
    </xf>
    <xf numFmtId="0" fontId="6" fillId="6" borderId="10" xfId="7" applyFont="1" applyFill="1" applyBorder="1" applyAlignment="1">
      <alignment horizontal="center" wrapText="1"/>
    </xf>
    <xf numFmtId="0" fontId="3" fillId="0" borderId="10" xfId="17" applyFont="1" applyBorder="1" applyAlignment="1">
      <alignment wrapText="1"/>
    </xf>
    <xf numFmtId="0" fontId="3" fillId="0" borderId="10" xfId="17" applyFont="1" applyBorder="1"/>
    <xf numFmtId="172" fontId="3" fillId="0" borderId="10" xfId="7" applyNumberFormat="1" applyFont="1" applyBorder="1"/>
    <xf numFmtId="171" fontId="3" fillId="0" borderId="10" xfId="2" applyNumberFormat="1" applyFont="1" applyFill="1" applyBorder="1"/>
    <xf numFmtId="43" fontId="3" fillId="0" borderId="10" xfId="2" applyFont="1" applyFill="1" applyBorder="1"/>
    <xf numFmtId="43" fontId="3" fillId="0" borderId="18" xfId="7" applyNumberFormat="1" applyFont="1" applyBorder="1"/>
    <xf numFmtId="0" fontId="3" fillId="0" borderId="10" xfId="7" applyFont="1" applyBorder="1"/>
    <xf numFmtId="172" fontId="3" fillId="0" borderId="10" xfId="7" applyNumberFormat="1" applyFont="1" applyBorder="1" applyAlignment="1">
      <alignment horizontal="center"/>
    </xf>
    <xf numFmtId="0" fontId="5" fillId="0" borderId="10" xfId="7" applyBorder="1"/>
    <xf numFmtId="44" fontId="3" fillId="0" borderId="10" xfId="13" applyFont="1" applyFill="1" applyBorder="1"/>
    <xf numFmtId="44" fontId="6" fillId="0" borderId="10" xfId="13" applyFont="1" applyBorder="1" applyAlignment="1">
      <alignment horizontal="center" wrapText="1"/>
    </xf>
    <xf numFmtId="44" fontId="6" fillId="6" borderId="10" xfId="13" applyFont="1" applyFill="1" applyBorder="1" applyAlignment="1">
      <alignment horizontal="center" wrapText="1"/>
    </xf>
    <xf numFmtId="8" fontId="3" fillId="0" borderId="10" xfId="2" applyNumberFormat="1" applyFont="1" applyBorder="1"/>
    <xf numFmtId="8" fontId="3" fillId="0" borderId="10" xfId="2" applyNumberFormat="1" applyFont="1" applyBorder="1" applyAlignment="1">
      <alignment horizontal="center"/>
    </xf>
    <xf numFmtId="43" fontId="3" fillId="0" borderId="10" xfId="2" applyFont="1" applyBorder="1"/>
    <xf numFmtId="44" fontId="29" fillId="6" borderId="14" xfId="13" applyFont="1" applyFill="1" applyBorder="1" applyAlignment="1" applyProtection="1">
      <alignment horizontal="center" wrapText="1"/>
      <protection locked="0"/>
    </xf>
    <xf numFmtId="44" fontId="29" fillId="6" borderId="0" xfId="13" applyFont="1" applyFill="1" applyBorder="1" applyAlignment="1" applyProtection="1">
      <alignment horizontal="center" wrapText="1"/>
      <protection locked="0"/>
    </xf>
    <xf numFmtId="43" fontId="3" fillId="0" borderId="0" xfId="1" applyFont="1" applyAlignment="1">
      <alignment wrapText="1"/>
    </xf>
    <xf numFmtId="164" fontId="3" fillId="0" borderId="0" xfId="1" applyNumberFormat="1" applyFont="1" applyAlignment="1">
      <alignment wrapText="1"/>
    </xf>
    <xf numFmtId="43" fontId="0" fillId="0" borderId="0" xfId="1" applyNumberFormat="1" applyFont="1" applyFill="1"/>
    <xf numFmtId="8" fontId="0" fillId="0" borderId="9" xfId="0" applyNumberFormat="1" applyBorder="1"/>
    <xf numFmtId="8" fontId="0" fillId="0" borderId="0" xfId="0" applyNumberFormat="1" applyBorder="1"/>
    <xf numFmtId="171" fontId="0" fillId="9" borderId="0" xfId="1" applyNumberFormat="1" applyFont="1" applyFill="1" applyProtection="1">
      <protection locked="0"/>
    </xf>
    <xf numFmtId="164" fontId="3" fillId="0" borderId="0" xfId="1" applyNumberFormat="1" applyFont="1" applyFill="1"/>
    <xf numFmtId="0" fontId="34" fillId="0" borderId="0" xfId="0" applyFont="1" applyAlignment="1">
      <alignment vertical="top" wrapText="1"/>
    </xf>
    <xf numFmtId="165" fontId="33" fillId="0" borderId="0" xfId="1" applyNumberFormat="1" applyFont="1" applyFill="1"/>
    <xf numFmtId="37" fontId="33" fillId="0" borderId="0" xfId="1" applyNumberFormat="1" applyFont="1" applyFill="1"/>
    <xf numFmtId="39" fontId="33" fillId="0" borderId="0" xfId="1" applyNumberFormat="1" applyFont="1" applyFill="1"/>
    <xf numFmtId="44" fontId="0" fillId="0" borderId="0" xfId="4" applyFont="1" applyFill="1"/>
    <xf numFmtId="164" fontId="0" fillId="0" borderId="0" xfId="0" applyNumberFormat="1" applyFill="1"/>
    <xf numFmtId="164" fontId="0" fillId="0" borderId="0" xfId="1" applyNumberFormat="1" applyFont="1" applyFill="1" applyProtection="1">
      <protection locked="0"/>
    </xf>
    <xf numFmtId="0" fontId="3" fillId="0" borderId="0" xfId="0" applyFont="1" applyAlignment="1">
      <alignment horizontal="center" wrapText="1"/>
    </xf>
    <xf numFmtId="0" fontId="3" fillId="0" borderId="0" xfId="0" applyFont="1" applyAlignment="1">
      <alignment horizontal="left"/>
    </xf>
    <xf numFmtId="0" fontId="3" fillId="0" borderId="0" xfId="9" applyAlignment="1">
      <alignment horizontal="left"/>
    </xf>
    <xf numFmtId="0" fontId="11" fillId="2" borderId="0" xfId="18" applyFont="1" applyFill="1" applyAlignment="1" applyProtection="1">
      <alignment horizontal="centerContinuous" wrapText="1"/>
      <protection locked="0"/>
    </xf>
    <xf numFmtId="37" fontId="11" fillId="2" borderId="0" xfId="18" applyNumberFormat="1" applyFont="1" applyFill="1" applyAlignment="1" applyProtection="1">
      <alignment horizontal="centerContinuous" wrapText="1"/>
      <protection locked="0"/>
    </xf>
    <xf numFmtId="0" fontId="36" fillId="0" borderId="0" xfId="18" applyFont="1" applyAlignment="1">
      <alignment horizontal="center" wrapText="1"/>
    </xf>
    <xf numFmtId="0" fontId="6" fillId="0" borderId="0" xfId="18" applyFont="1" applyAlignment="1" applyProtection="1">
      <alignment horizontal="left" wrapText="1"/>
      <protection locked="0"/>
    </xf>
    <xf numFmtId="0" fontId="6" fillId="0" borderId="0" xfId="18" applyFont="1" applyAlignment="1" applyProtection="1">
      <alignment horizontal="centerContinuous" wrapText="1"/>
      <protection locked="0"/>
    </xf>
    <xf numFmtId="0" fontId="36" fillId="0" borderId="0" xfId="18" applyFont="1" applyAlignment="1" applyProtection="1">
      <alignment horizontal="centerContinuous" wrapText="1"/>
      <protection locked="0"/>
    </xf>
    <xf numFmtId="37" fontId="36" fillId="0" borderId="0" xfId="18" applyNumberFormat="1" applyFont="1" applyAlignment="1" applyProtection="1">
      <alignment horizontal="centerContinuous" wrapText="1"/>
      <protection locked="0"/>
    </xf>
    <xf numFmtId="0" fontId="36" fillId="0" borderId="0" xfId="18" applyFont="1" applyAlignment="1">
      <alignment wrapText="1"/>
    </xf>
    <xf numFmtId="0" fontId="6" fillId="0" borderId="0" xfId="18" applyFont="1" applyAlignment="1" applyProtection="1">
      <alignment horizontal="center" wrapText="1"/>
      <protection locked="0"/>
    </xf>
    <xf numFmtId="0" fontId="24" fillId="0" borderId="0" xfId="18" applyFont="1" applyAlignment="1" applyProtection="1">
      <alignment horizontal="left"/>
      <protection locked="0"/>
    </xf>
    <xf numFmtId="0" fontId="24" fillId="10" borderId="0" xfId="18" applyFont="1" applyFill="1" applyProtection="1">
      <protection locked="0"/>
    </xf>
    <xf numFmtId="37" fontId="24" fillId="10" borderId="0" xfId="18" applyNumberFormat="1" applyFont="1" applyFill="1" applyProtection="1">
      <protection locked="0"/>
    </xf>
    <xf numFmtId="0" fontId="24" fillId="0" borderId="0" xfId="18" applyFont="1"/>
    <xf numFmtId="0" fontId="24" fillId="0" borderId="0" xfId="9" applyFont="1" applyAlignment="1">
      <alignment horizontal="left"/>
    </xf>
    <xf numFmtId="0" fontId="24" fillId="11" borderId="0" xfId="18" applyFont="1" applyFill="1" applyProtection="1">
      <protection locked="0"/>
    </xf>
    <xf numFmtId="37" fontId="24" fillId="11" borderId="0" xfId="18" applyNumberFormat="1" applyFont="1" applyFill="1" applyProtection="1">
      <protection locked="0"/>
    </xf>
    <xf numFmtId="0" fontId="24" fillId="11" borderId="0" xfId="18" applyFont="1" applyFill="1"/>
    <xf numFmtId="0" fontId="24" fillId="0" borderId="0" xfId="18" applyFont="1" applyProtection="1">
      <protection locked="0"/>
    </xf>
    <xf numFmtId="37" fontId="24" fillId="0" borderId="0" xfId="18" applyNumberFormat="1" applyFont="1" applyProtection="1">
      <protection locked="0"/>
    </xf>
    <xf numFmtId="0" fontId="24" fillId="0" borderId="0" xfId="9" applyFont="1"/>
    <xf numFmtId="0" fontId="4" fillId="0" borderId="19" xfId="0" applyFont="1" applyBorder="1" applyAlignment="1">
      <alignment wrapText="1"/>
    </xf>
    <xf numFmtId="0" fontId="4" fillId="0" borderId="0" xfId="0" applyFont="1"/>
    <xf numFmtId="0" fontId="4" fillId="0" borderId="0" xfId="17" quotePrefix="1" applyFont="1" applyAlignment="1">
      <alignment wrapText="1"/>
    </xf>
    <xf numFmtId="0" fontId="4" fillId="0" borderId="19" xfId="17" applyFont="1" applyBorder="1" applyAlignment="1">
      <alignment wrapText="1"/>
    </xf>
    <xf numFmtId="0" fontId="24" fillId="0" borderId="0" xfId="0" applyFont="1"/>
    <xf numFmtId="0" fontId="24" fillId="12" borderId="0" xfId="18" applyFont="1" applyFill="1" applyProtection="1">
      <protection locked="0"/>
    </xf>
    <xf numFmtId="0" fontId="24" fillId="0" borderId="19" xfId="18" applyFont="1" applyBorder="1" applyAlignment="1" applyProtection="1">
      <alignment horizontal="left"/>
      <protection locked="0"/>
    </xf>
    <xf numFmtId="0" fontId="24" fillId="0" borderId="19" xfId="9" applyFont="1" applyBorder="1" applyAlignment="1">
      <alignment horizontal="left"/>
    </xf>
    <xf numFmtId="0" fontId="3" fillId="0" borderId="0" xfId="9"/>
    <xf numFmtId="165" fontId="0" fillId="0" borderId="0" xfId="1" applyNumberFormat="1" applyFont="1" applyFill="1" applyProtection="1">
      <protection locked="0"/>
    </xf>
    <xf numFmtId="165" fontId="0" fillId="0" borderId="0" xfId="1" applyNumberFormat="1" applyFont="1"/>
    <xf numFmtId="165" fontId="0" fillId="0" borderId="0" xfId="0" applyNumberFormat="1"/>
    <xf numFmtId="2" fontId="0" fillId="0" borderId="0" xfId="0" applyNumberFormat="1" applyFill="1" applyBorder="1"/>
    <xf numFmtId="167" fontId="20" fillId="0" borderId="0" xfId="0" applyNumberFormat="1" applyFont="1" applyFill="1" applyBorder="1"/>
    <xf numFmtId="2" fontId="6" fillId="13" borderId="0" xfId="0" applyNumberFormat="1" applyFont="1" applyFill="1"/>
    <xf numFmtId="167" fontId="2" fillId="4" borderId="0" xfId="0" applyNumberFormat="1" applyFont="1" applyFill="1"/>
    <xf numFmtId="0" fontId="3" fillId="0" borderId="0" xfId="0" applyFont="1" applyAlignment="1">
      <alignment horizontal="right"/>
    </xf>
    <xf numFmtId="165" fontId="6" fillId="0" borderId="0" xfId="1" applyNumberFormat="1" applyFont="1" applyFill="1" applyProtection="1">
      <protection locked="0"/>
    </xf>
    <xf numFmtId="165" fontId="6" fillId="0" borderId="0" xfId="1" applyNumberFormat="1" applyFont="1" applyFill="1" applyProtection="1"/>
    <xf numFmtId="44" fontId="3" fillId="0" borderId="0" xfId="4" applyFont="1"/>
    <xf numFmtId="43" fontId="0" fillId="0" borderId="0" xfId="1" applyFont="1" applyFill="1" applyProtection="1"/>
    <xf numFmtId="171" fontId="3" fillId="0" borderId="0" xfId="1" applyNumberFormat="1" applyFont="1"/>
    <xf numFmtId="171" fontId="0" fillId="0" borderId="0" xfId="1" applyNumberFormat="1" applyFont="1" applyFill="1" applyProtection="1"/>
    <xf numFmtId="0" fontId="4" fillId="0" borderId="0" xfId="17" applyFont="1" applyAlignment="1">
      <alignment wrapText="1"/>
    </xf>
    <xf numFmtId="0" fontId="20" fillId="0" borderId="0" xfId="0" applyFont="1" applyAlignment="1">
      <alignment horizontal="center"/>
    </xf>
    <xf numFmtId="14" fontId="20" fillId="0" borderId="0" xfId="0" applyNumberFormat="1" applyFont="1" applyAlignment="1">
      <alignment horizontal="center"/>
    </xf>
    <xf numFmtId="44" fontId="0" fillId="14" borderId="0" xfId="0" applyNumberFormat="1" applyFill="1" applyAlignment="1">
      <alignment horizontal="center"/>
    </xf>
    <xf numFmtId="0" fontId="0" fillId="14" borderId="0" xfId="0" applyFill="1"/>
    <xf numFmtId="171" fontId="0" fillId="15" borderId="0" xfId="1" applyNumberFormat="1" applyFont="1" applyFill="1" applyAlignment="1">
      <alignment horizontal="center"/>
    </xf>
    <xf numFmtId="44" fontId="0" fillId="15" borderId="0" xfId="0" applyNumberFormat="1" applyFill="1" applyAlignment="1">
      <alignment horizontal="center"/>
    </xf>
    <xf numFmtId="0" fontId="0" fillId="15" borderId="0" xfId="0" applyFill="1"/>
    <xf numFmtId="10" fontId="0" fillId="16" borderId="0" xfId="10" applyNumberFormat="1" applyFont="1" applyFill="1"/>
    <xf numFmtId="10" fontId="0" fillId="16" borderId="0" xfId="10" applyNumberFormat="1" applyFont="1" applyFill="1" applyAlignment="1">
      <alignment horizontal="right"/>
    </xf>
    <xf numFmtId="44" fontId="0" fillId="16" borderId="0" xfId="0" applyNumberFormat="1" applyFill="1" applyAlignment="1">
      <alignment horizontal="center"/>
    </xf>
    <xf numFmtId="0" fontId="0" fillId="16" borderId="0" xfId="0" applyFill="1"/>
    <xf numFmtId="44" fontId="0" fillId="0" borderId="0" xfId="4" applyFont="1" applyAlignment="1">
      <alignment horizontal="center"/>
    </xf>
    <xf numFmtId="171" fontId="0" fillId="0" borderId="0" xfId="1" applyNumberFormat="1" applyFont="1"/>
    <xf numFmtId="171" fontId="0" fillId="5" borderId="0" xfId="1" applyNumberFormat="1" applyFont="1" applyFill="1"/>
    <xf numFmtId="0" fontId="0" fillId="0" borderId="0" xfId="0" quotePrefix="1"/>
    <xf numFmtId="44" fontId="20" fillId="0" borderId="0" xfId="0" applyNumberFormat="1" applyFont="1"/>
    <xf numFmtId="44" fontId="0" fillId="5" borderId="0" xfId="4" applyFont="1" applyFill="1"/>
    <xf numFmtId="44" fontId="0" fillId="0" borderId="9" xfId="0" applyNumberFormat="1" applyBorder="1"/>
    <xf numFmtId="171" fontId="3" fillId="0" borderId="0" xfId="1" applyNumberFormat="1" applyFont="1" applyBorder="1"/>
    <xf numFmtId="0" fontId="3" fillId="0" borderId="0" xfId="0" applyFont="1" applyAlignment="1" applyProtection="1">
      <protection locked="0"/>
    </xf>
    <xf numFmtId="44" fontId="0" fillId="0" borderId="0" xfId="10" applyNumberFormat="1" applyFont="1" applyBorder="1" applyAlignment="1">
      <alignment horizontal="center"/>
    </xf>
    <xf numFmtId="0" fontId="3" fillId="6" borderId="0" xfId="0" applyFont="1" applyFill="1" applyAlignment="1">
      <alignment horizontal="center" wrapText="1"/>
    </xf>
    <xf numFmtId="0" fontId="6" fillId="6" borderId="0" xfId="0" applyFont="1" applyFill="1" applyAlignment="1">
      <alignment horizontal="left" wrapText="1"/>
    </xf>
    <xf numFmtId="0" fontId="4" fillId="0" borderId="0" xfId="17" applyNumberFormat="1" applyFont="1" applyFill="1" applyBorder="1" applyAlignment="1">
      <alignment wrapText="1"/>
    </xf>
    <xf numFmtId="0" fontId="4" fillId="0" borderId="0" xfId="17" applyNumberFormat="1" applyFont="1" applyFill="1" applyBorder="1" applyAlignment="1">
      <alignment wrapText="1"/>
    </xf>
    <xf numFmtId="0" fontId="3" fillId="0" borderId="0" xfId="0" applyFont="1" applyAlignment="1">
      <alignment wrapText="1"/>
    </xf>
    <xf numFmtId="0" fontId="0" fillId="0" borderId="0" xfId="0" applyAlignment="1">
      <alignment wrapText="1"/>
    </xf>
    <xf numFmtId="0" fontId="17" fillId="0" borderId="0" xfId="0" applyFont="1" applyAlignment="1">
      <alignment wrapText="1"/>
    </xf>
    <xf numFmtId="0" fontId="3" fillId="0" borderId="0" xfId="0" applyFont="1" applyAlignment="1">
      <alignment vertical="top" wrapText="1"/>
    </xf>
    <xf numFmtId="0" fontId="0" fillId="0" borderId="0" xfId="0" applyAlignment="1">
      <alignment vertical="top" wrapText="1"/>
    </xf>
    <xf numFmtId="0" fontId="37" fillId="0" borderId="0" xfId="0" applyFont="1" applyAlignment="1">
      <alignment vertical="top" wrapText="1"/>
    </xf>
    <xf numFmtId="0" fontId="18" fillId="0" borderId="0" xfId="0" applyFont="1" applyAlignment="1">
      <alignment vertical="top" wrapText="1"/>
    </xf>
    <xf numFmtId="0" fontId="6" fillId="0" borderId="7" xfId="0"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center"/>
    </xf>
    <xf numFmtId="0" fontId="17" fillId="0" borderId="7" xfId="0" applyFont="1" applyFill="1" applyBorder="1" applyAlignment="1">
      <alignment horizontal="center"/>
    </xf>
    <xf numFmtId="0" fontId="17" fillId="0" borderId="0" xfId="0" applyFont="1" applyFill="1" applyBorder="1" applyAlignment="1">
      <alignment horizontal="center"/>
    </xf>
    <xf numFmtId="0" fontId="17" fillId="0" borderId="8" xfId="0" applyFont="1" applyFill="1" applyBorder="1" applyAlignment="1">
      <alignment horizontal="center"/>
    </xf>
    <xf numFmtId="0" fontId="3" fillId="0" borderId="0" xfId="0" applyFont="1" applyFill="1" applyBorder="1" applyAlignment="1">
      <alignment wrapText="1"/>
    </xf>
    <xf numFmtId="0" fontId="34" fillId="0" borderId="0" xfId="0" applyFont="1" applyAlignment="1">
      <alignment vertical="top" wrapText="1"/>
    </xf>
    <xf numFmtId="0" fontId="3" fillId="0" borderId="0" xfId="0" applyFont="1" applyAlignment="1">
      <alignment horizontal="left" wrapText="1"/>
    </xf>
    <xf numFmtId="0" fontId="6" fillId="0" borderId="0" xfId="0" applyFont="1" applyAlignment="1">
      <alignment wrapText="1"/>
    </xf>
    <xf numFmtId="0" fontId="0" fillId="0" borderId="0" xfId="0" applyAlignment="1"/>
    <xf numFmtId="0" fontId="6" fillId="0" borderId="0" xfId="0" applyFont="1" applyAlignment="1">
      <alignment vertical="top" wrapText="1"/>
    </xf>
    <xf numFmtId="44" fontId="29" fillId="6" borderId="14" xfId="13" applyFont="1" applyFill="1" applyBorder="1" applyAlignment="1" applyProtection="1">
      <alignment horizontal="center" wrapText="1"/>
      <protection locked="0"/>
    </xf>
    <xf numFmtId="44" fontId="29" fillId="6" borderId="0" xfId="13" applyFont="1" applyFill="1" applyBorder="1" applyAlignment="1" applyProtection="1">
      <alignment horizontal="center" wrapText="1"/>
      <protection locked="0"/>
    </xf>
    <xf numFmtId="44" fontId="32" fillId="6" borderId="18" xfId="13" applyFont="1" applyFill="1" applyBorder="1" applyAlignment="1" applyProtection="1">
      <alignment horizontal="center" vertical="center" wrapText="1"/>
      <protection locked="0"/>
    </xf>
    <xf numFmtId="44" fontId="32" fillId="6" borderId="20" xfId="13" applyFont="1" applyFill="1" applyBorder="1" applyAlignment="1" applyProtection="1">
      <alignment horizontal="center" vertical="center" wrapText="1"/>
      <protection locked="0"/>
    </xf>
    <xf numFmtId="44" fontId="33" fillId="8" borderId="14" xfId="13" applyFont="1" applyFill="1" applyBorder="1" applyAlignment="1" applyProtection="1">
      <alignment horizontal="center"/>
      <protection locked="0"/>
    </xf>
    <xf numFmtId="44" fontId="33" fillId="8" borderId="0" xfId="13" applyFont="1" applyFill="1" applyBorder="1" applyAlignment="1" applyProtection="1">
      <alignment horizontal="center"/>
      <protection locked="0"/>
    </xf>
    <xf numFmtId="44" fontId="33" fillId="6" borderId="16" xfId="13" applyFont="1" applyFill="1" applyBorder="1" applyAlignment="1" applyProtection="1">
      <alignment horizontal="center" wrapText="1"/>
      <protection locked="0"/>
    </xf>
    <xf numFmtId="44" fontId="33" fillId="6" borderId="12" xfId="13" applyFont="1" applyFill="1" applyBorder="1" applyAlignment="1" applyProtection="1">
      <alignment horizontal="center" wrapText="1"/>
      <protection locked="0"/>
    </xf>
    <xf numFmtId="44" fontId="32" fillId="6" borderId="16" xfId="13" applyFont="1" applyFill="1" applyBorder="1" applyAlignment="1" applyProtection="1">
      <alignment horizontal="center" vertical="center"/>
      <protection locked="0"/>
    </xf>
    <xf numFmtId="44" fontId="32" fillId="6" borderId="12" xfId="13" applyFont="1" applyFill="1" applyBorder="1" applyAlignment="1" applyProtection="1">
      <alignment horizontal="center" vertical="center"/>
      <protection locked="0"/>
    </xf>
    <xf numFmtId="44" fontId="32" fillId="6" borderId="0" xfId="13" applyFont="1" applyFill="1" applyBorder="1" applyAlignment="1" applyProtection="1">
      <alignment horizontal="center" vertical="center"/>
      <protection locked="0"/>
    </xf>
    <xf numFmtId="44" fontId="32" fillId="6" borderId="14" xfId="13" applyFont="1" applyFill="1" applyBorder="1" applyAlignment="1" applyProtection="1">
      <alignment horizontal="center" vertical="center" wrapText="1"/>
      <protection locked="0"/>
    </xf>
    <xf numFmtId="44" fontId="32" fillId="6" borderId="15" xfId="13" applyFont="1" applyFill="1" applyBorder="1" applyAlignment="1" applyProtection="1">
      <alignment horizontal="center" vertical="center" wrapText="1"/>
      <protection locked="0"/>
    </xf>
    <xf numFmtId="44" fontId="28" fillId="6" borderId="14" xfId="13" applyFont="1" applyFill="1" applyBorder="1" applyAlignment="1" applyProtection="1">
      <alignment horizontal="center" wrapText="1"/>
      <protection locked="0"/>
    </xf>
    <xf numFmtId="44" fontId="28" fillId="6" borderId="0" xfId="13" applyFont="1" applyFill="1" applyBorder="1" applyAlignment="1" applyProtection="1">
      <alignment horizontal="center" wrapText="1"/>
      <protection locked="0"/>
    </xf>
    <xf numFmtId="44" fontId="30" fillId="6" borderId="14" xfId="13" applyFont="1" applyFill="1" applyBorder="1" applyAlignment="1" applyProtection="1">
      <alignment horizontal="center" wrapText="1"/>
      <protection locked="0"/>
    </xf>
    <xf numFmtId="44" fontId="30" fillId="6" borderId="0" xfId="13" applyFont="1" applyFill="1" applyBorder="1" applyAlignment="1" applyProtection="1">
      <alignment horizontal="center" wrapText="1"/>
      <protection locked="0"/>
    </xf>
    <xf numFmtId="44" fontId="32" fillId="6" borderId="14" xfId="13" applyFont="1" applyFill="1" applyBorder="1" applyAlignment="1" applyProtection="1">
      <alignment horizontal="center"/>
      <protection locked="0"/>
    </xf>
    <xf numFmtId="44" fontId="32" fillId="6" borderId="0" xfId="13" applyFont="1" applyFill="1" applyBorder="1" applyAlignment="1" applyProtection="1">
      <alignment horizontal="center"/>
      <protection locked="0"/>
    </xf>
    <xf numFmtId="0" fontId="25" fillId="0" borderId="0" xfId="7" applyFont="1" applyAlignment="1">
      <alignment horizontal="center" vertical="center" readingOrder="1"/>
    </xf>
    <xf numFmtId="0" fontId="26" fillId="0" borderId="0" xfId="7" applyFont="1" applyAlignment="1">
      <alignment horizontal="center"/>
    </xf>
    <xf numFmtId="0" fontId="27" fillId="0" borderId="0" xfId="7" applyFont="1" applyAlignment="1">
      <alignment horizontal="center"/>
    </xf>
    <xf numFmtId="43" fontId="2" fillId="4" borderId="0" xfId="0" applyNumberFormat="1" applyFont="1" applyFill="1"/>
    <xf numFmtId="43" fontId="0" fillId="0" borderId="0" xfId="1" applyNumberFormat="1" applyFont="1"/>
    <xf numFmtId="176" fontId="0" fillId="0" borderId="0" xfId="1" applyNumberFormat="1" applyFont="1"/>
  </cellXfs>
  <cellStyles count="29">
    <cellStyle name="Comma" xfId="1" builtinId="3"/>
    <cellStyle name="Comma [0] 2" xfId="26" xr:uid="{ACF77B07-F192-43DD-A6C0-E0EBF60102AA}"/>
    <cellStyle name="Comma [0] 3" xfId="27" xr:uid="{C4D65B8C-FC9D-4E38-AE29-365254A2A232}"/>
    <cellStyle name="Comma 2" xfId="2" xr:uid="{00000000-0005-0000-0000-000001000000}"/>
    <cellStyle name="Comma 3" xfId="3" xr:uid="{00000000-0005-0000-0000-000002000000}"/>
    <cellStyle name="Comma 4" xfId="20" xr:uid="{0301D432-E72B-4502-A6AF-F999537EA0EF}"/>
    <cellStyle name="Comma 5" xfId="28" xr:uid="{EBAB7BC5-C1D1-4D4C-B3F1-27EDDD2198BB}"/>
    <cellStyle name="Comma 6" xfId="21" xr:uid="{1C3BFF46-F95C-4FC6-AAED-20B23B0D7DC6}"/>
    <cellStyle name="Currency" xfId="4" builtinId="4"/>
    <cellStyle name="Currency 2" xfId="5" xr:uid="{00000000-0005-0000-0000-000004000000}"/>
    <cellStyle name="Currency 2 2" xfId="13" xr:uid="{FFDD835F-5613-48AE-9646-6FE079AFEABA}"/>
    <cellStyle name="Currency 3" xfId="6" xr:uid="{00000000-0005-0000-0000-000005000000}"/>
    <cellStyle name="Currency 3 2" xfId="16" xr:uid="{4AD5E9E2-6D49-4BF3-A58A-5EC1DC4CDBB3}"/>
    <cellStyle name="Currency 3 2 2" xfId="25" xr:uid="{83338403-799C-4897-9BC5-9EDBF4B37B90}"/>
    <cellStyle name="Currency 3 3" xfId="23" xr:uid="{2C5EB816-E6B0-43D8-88D2-B11BD16832C0}"/>
    <cellStyle name="Normal" xfId="0" builtinId="0"/>
    <cellStyle name="Normal 2" xfId="7" xr:uid="{00000000-0005-0000-0000-000007000000}"/>
    <cellStyle name="Normal 3" xfId="8" xr:uid="{00000000-0005-0000-0000-000008000000}"/>
    <cellStyle name="Normal 3 2" xfId="14" xr:uid="{85730629-C653-4F47-B5E6-D996F2C8AB3A}"/>
    <cellStyle name="Normal 4" xfId="15" xr:uid="{D8BBB2D4-4EEB-4BBA-9ABA-7C17F1352AA5}"/>
    <cellStyle name="Normal 4 2" xfId="24" xr:uid="{12E246F9-9A38-4B04-AD72-A8E36D64DEE2}"/>
    <cellStyle name="Normal 4 3" xfId="22" xr:uid="{E9794E69-6C81-47EB-9290-EDA75A83FBEA}"/>
    <cellStyle name="Normal 5" xfId="19" xr:uid="{CFD19096-342A-492F-B9B4-7A9CF8D0966C}"/>
    <cellStyle name="Normal_DMA FRV Model with 2006 Capital Data Survey" xfId="9" xr:uid="{00000000-0005-0000-0000-000009000000}"/>
    <cellStyle name="Normal_Property Survey Results 1999 Survey" xfId="18" xr:uid="{2AEBA2B6-F987-48EC-9504-A6C6F156C11E}"/>
    <cellStyle name="Normal_Sheet1" xfId="17" xr:uid="{75484D53-5095-4736-9737-242B37E990B0}"/>
    <cellStyle name="Percent" xfId="10" builtinId="5"/>
    <cellStyle name="Percent 2" xfId="11" xr:uid="{00000000-0005-0000-0000-000010000000}"/>
    <cellStyle name="Percent 3" xfId="12"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30</a:t>
            </a:r>
            <a:r>
              <a:rPr lang="en-US" baseline="0"/>
              <a:t> year, 100 bed, 85% occupancy, 350 sq ft per bed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'[1]FRV Scenarios'!$K$8</c:f>
              <c:strCache>
                <c:ptCount val="1"/>
                <c:pt idx="0">
                  <c:v>550 FRV Age</c:v>
                </c:pt>
              </c:strCache>
            </c:strRef>
          </c:tx>
          <c:spPr>
            <a:solidFill>
              <a:schemeClr val="accent2"/>
            </a:solidFill>
            <a:ln>
              <a:noFill/>
            </a:ln>
            <a:effectLst/>
          </c:spPr>
          <c:invertIfNegative val="0"/>
          <c:cat>
            <c:numRef>
              <c:f>'[1]FRV Scenarios'!$J$9:$J$18</c:f>
              <c:numCache>
                <c:formatCode>General</c:formatCode>
                <c:ptCount val="10"/>
                <c:pt idx="0">
                  <c:v>0</c:v>
                </c:pt>
                <c:pt idx="1">
                  <c:v>500000</c:v>
                </c:pt>
                <c:pt idx="2">
                  <c:v>1000000</c:v>
                </c:pt>
                <c:pt idx="3">
                  <c:v>1500000</c:v>
                </c:pt>
                <c:pt idx="4">
                  <c:v>2000000</c:v>
                </c:pt>
                <c:pt idx="5">
                  <c:v>2500000</c:v>
                </c:pt>
                <c:pt idx="6">
                  <c:v>3000000</c:v>
                </c:pt>
                <c:pt idx="7">
                  <c:v>3500000</c:v>
                </c:pt>
                <c:pt idx="8">
                  <c:v>4000000</c:v>
                </c:pt>
                <c:pt idx="9">
                  <c:v>4500000</c:v>
                </c:pt>
              </c:numCache>
            </c:numRef>
          </c:cat>
          <c:val>
            <c:numRef>
              <c:f>'[1]FRV Scenarios'!$K$9:$K$18</c:f>
              <c:numCache>
                <c:formatCode>General</c:formatCode>
                <c:ptCount val="10"/>
                <c:pt idx="0">
                  <c:v>30</c:v>
                </c:pt>
                <c:pt idx="1">
                  <c:v>27.79</c:v>
                </c:pt>
                <c:pt idx="2">
                  <c:v>25.58</c:v>
                </c:pt>
                <c:pt idx="3">
                  <c:v>23.38</c:v>
                </c:pt>
                <c:pt idx="4">
                  <c:v>21.17</c:v>
                </c:pt>
                <c:pt idx="5">
                  <c:v>18.96</c:v>
                </c:pt>
                <c:pt idx="6">
                  <c:v>16.75</c:v>
                </c:pt>
                <c:pt idx="7">
                  <c:v>14.54</c:v>
                </c:pt>
                <c:pt idx="8">
                  <c:v>12.34</c:v>
                </c:pt>
                <c:pt idx="9">
                  <c:v>10.130000000000001</c:v>
                </c:pt>
              </c:numCache>
            </c:numRef>
          </c:val>
          <c:extLst>
            <c:ext xmlns:c16="http://schemas.microsoft.com/office/drawing/2014/chart" uri="{C3380CC4-5D6E-409C-BE32-E72D297353CC}">
              <c16:uniqueId val="{00000000-C781-4403-9BA3-1559B5F72896}"/>
            </c:ext>
          </c:extLst>
        </c:ser>
        <c:ser>
          <c:idx val="2"/>
          <c:order val="1"/>
          <c:tx>
            <c:strRef>
              <c:f>'[1]FRV Scenarios'!$L$8</c:f>
              <c:strCache>
                <c:ptCount val="1"/>
                <c:pt idx="0">
                  <c:v>550 FRV Rate</c:v>
                </c:pt>
              </c:strCache>
            </c:strRef>
          </c:tx>
          <c:spPr>
            <a:solidFill>
              <a:schemeClr val="accent3"/>
            </a:solidFill>
            <a:ln>
              <a:noFill/>
            </a:ln>
            <a:effectLst/>
          </c:spPr>
          <c:invertIfNegative val="0"/>
          <c:cat>
            <c:numRef>
              <c:f>'[1]FRV Scenarios'!$J$9:$J$18</c:f>
              <c:numCache>
                <c:formatCode>General</c:formatCode>
                <c:ptCount val="10"/>
                <c:pt idx="0">
                  <c:v>0</c:v>
                </c:pt>
                <c:pt idx="1">
                  <c:v>500000</c:v>
                </c:pt>
                <c:pt idx="2">
                  <c:v>1000000</c:v>
                </c:pt>
                <c:pt idx="3">
                  <c:v>1500000</c:v>
                </c:pt>
                <c:pt idx="4">
                  <c:v>2000000</c:v>
                </c:pt>
                <c:pt idx="5">
                  <c:v>2500000</c:v>
                </c:pt>
                <c:pt idx="6">
                  <c:v>3000000</c:v>
                </c:pt>
                <c:pt idx="7">
                  <c:v>3500000</c:v>
                </c:pt>
                <c:pt idx="8">
                  <c:v>4000000</c:v>
                </c:pt>
                <c:pt idx="9">
                  <c:v>4500000</c:v>
                </c:pt>
              </c:numCache>
            </c:numRef>
          </c:cat>
          <c:val>
            <c:numRef>
              <c:f>'[1]FRV Scenarios'!$L$9:$L$18</c:f>
              <c:numCache>
                <c:formatCode>General</c:formatCode>
                <c:ptCount val="10"/>
                <c:pt idx="0">
                  <c:v>14.73</c:v>
                </c:pt>
                <c:pt idx="1">
                  <c:v>15.94</c:v>
                </c:pt>
                <c:pt idx="2">
                  <c:v>17.149999999999999</c:v>
                </c:pt>
                <c:pt idx="3">
                  <c:v>18.350000000000001</c:v>
                </c:pt>
                <c:pt idx="4">
                  <c:v>19.559999999999999</c:v>
                </c:pt>
                <c:pt idx="5">
                  <c:v>20.77</c:v>
                </c:pt>
                <c:pt idx="6">
                  <c:v>21.98</c:v>
                </c:pt>
                <c:pt idx="7">
                  <c:v>23.19</c:v>
                </c:pt>
                <c:pt idx="8">
                  <c:v>24.4</c:v>
                </c:pt>
                <c:pt idx="9">
                  <c:v>25.61</c:v>
                </c:pt>
              </c:numCache>
            </c:numRef>
          </c:val>
          <c:extLst>
            <c:ext xmlns:c16="http://schemas.microsoft.com/office/drawing/2014/chart" uri="{C3380CC4-5D6E-409C-BE32-E72D297353CC}">
              <c16:uniqueId val="{00000001-C781-4403-9BA3-1559B5F72896}"/>
            </c:ext>
          </c:extLst>
        </c:ser>
        <c:ser>
          <c:idx val="3"/>
          <c:order val="2"/>
          <c:tx>
            <c:strRef>
              <c:f>'[1]FRV Scenarios'!$M$8</c:f>
              <c:strCache>
                <c:ptCount val="1"/>
                <c:pt idx="0">
                  <c:v>Years</c:v>
                </c:pt>
              </c:strCache>
            </c:strRef>
          </c:tx>
          <c:spPr>
            <a:solidFill>
              <a:schemeClr val="accent4"/>
            </a:solidFill>
            <a:ln>
              <a:noFill/>
            </a:ln>
            <a:effectLst/>
          </c:spPr>
          <c:invertIfNegative val="0"/>
          <c:cat>
            <c:numRef>
              <c:f>'[1]FRV Scenarios'!$J$9:$J$18</c:f>
              <c:numCache>
                <c:formatCode>General</c:formatCode>
                <c:ptCount val="10"/>
                <c:pt idx="0">
                  <c:v>0</c:v>
                </c:pt>
                <c:pt idx="1">
                  <c:v>500000</c:v>
                </c:pt>
                <c:pt idx="2">
                  <c:v>1000000</c:v>
                </c:pt>
                <c:pt idx="3">
                  <c:v>1500000</c:v>
                </c:pt>
                <c:pt idx="4">
                  <c:v>2000000</c:v>
                </c:pt>
                <c:pt idx="5">
                  <c:v>2500000</c:v>
                </c:pt>
                <c:pt idx="6">
                  <c:v>3000000</c:v>
                </c:pt>
                <c:pt idx="7">
                  <c:v>3500000</c:v>
                </c:pt>
                <c:pt idx="8">
                  <c:v>4000000</c:v>
                </c:pt>
                <c:pt idx="9">
                  <c:v>4500000</c:v>
                </c:pt>
              </c:numCache>
            </c:numRef>
          </c:cat>
          <c:val>
            <c:numRef>
              <c:f>'[1]FRV Scenarios'!$M$9:$M$18</c:f>
              <c:numCache>
                <c:formatCode>General</c:formatCode>
                <c:ptCount val="10"/>
                <c:pt idx="0">
                  <c:v>0</c:v>
                </c:pt>
                <c:pt idx="1">
                  <c:v>13.33</c:v>
                </c:pt>
              </c:numCache>
            </c:numRef>
          </c:val>
          <c:extLst>
            <c:ext xmlns:c16="http://schemas.microsoft.com/office/drawing/2014/chart" uri="{C3380CC4-5D6E-409C-BE32-E72D297353CC}">
              <c16:uniqueId val="{00000002-C781-4403-9BA3-1559B5F72896}"/>
            </c:ext>
          </c:extLst>
        </c:ser>
        <c:dLbls>
          <c:showLegendKey val="0"/>
          <c:showVal val="0"/>
          <c:showCatName val="0"/>
          <c:showSerName val="0"/>
          <c:showPercent val="0"/>
          <c:showBubbleSize val="0"/>
        </c:dLbls>
        <c:gapWidth val="150"/>
        <c:axId val="643492783"/>
        <c:axId val="643523151"/>
      </c:barChart>
      <c:catAx>
        <c:axId val="643492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523151"/>
        <c:crosses val="autoZero"/>
        <c:auto val="1"/>
        <c:lblAlgn val="ctr"/>
        <c:lblOffset val="100"/>
        <c:noMultiLvlLbl val="0"/>
      </c:catAx>
      <c:valAx>
        <c:axId val="6435231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492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167640</xdr:colOff>
      <xdr:row>22</xdr:row>
      <xdr:rowOff>30480</xdr:rowOff>
    </xdr:from>
    <xdr:to>
      <xdr:col>22</xdr:col>
      <xdr:colOff>281940</xdr:colOff>
      <xdr:row>35</xdr:row>
      <xdr:rowOff>121920</xdr:rowOff>
    </xdr:to>
    <xdr:graphicFrame macro="">
      <xdr:nvGraphicFramePr>
        <xdr:cNvPr id="2" name="Chart 1">
          <a:extLst>
            <a:ext uri="{FF2B5EF4-FFF2-40B4-BE49-F238E27FC236}">
              <a16:creationId xmlns:a16="http://schemas.microsoft.com/office/drawing/2014/main" id="{79AD7DB3-0916-4EAD-8407-A28C49780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CHCFA/Modernized%20FRV/Modernized%20FRV%20Rate%20Calculation%20version%202%20-%20VLOOKUP%20-%20scenar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HCFA/Provider%20Tax/Jul-Sept%202022%20Rate%20Model_KB_7.7.22%20with%20provider%20assessment%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RV Scenarios"/>
      <sheetName val="Location factor"/>
      <sheetName val="Sq Ft Floor"/>
      <sheetName val="Lookup Info"/>
    </sheetNames>
    <sheetDataSet>
      <sheetData sheetId="0"/>
      <sheetData sheetId="1">
        <row r="8">
          <cell r="K8" t="str">
            <v>550 FRV Age</v>
          </cell>
          <cell r="L8" t="str">
            <v>550 FRV Rate</v>
          </cell>
          <cell r="M8" t="str">
            <v>Years</v>
          </cell>
        </row>
        <row r="9">
          <cell r="J9">
            <v>0</v>
          </cell>
          <cell r="K9">
            <v>30</v>
          </cell>
          <cell r="L9">
            <v>14.73</v>
          </cell>
          <cell r="M9">
            <v>0</v>
          </cell>
        </row>
        <row r="10">
          <cell r="J10">
            <v>500000</v>
          </cell>
          <cell r="K10">
            <v>27.79</v>
          </cell>
          <cell r="L10">
            <v>15.94</v>
          </cell>
          <cell r="M10">
            <v>13.33</v>
          </cell>
        </row>
        <row r="11">
          <cell r="J11">
            <v>1000000</v>
          </cell>
          <cell r="K11">
            <v>25.58</v>
          </cell>
          <cell r="L11">
            <v>17.149999999999999</v>
          </cell>
          <cell r="M11"/>
        </row>
        <row r="12">
          <cell r="J12">
            <v>1500000</v>
          </cell>
          <cell r="K12">
            <v>23.38</v>
          </cell>
          <cell r="L12">
            <v>18.350000000000001</v>
          </cell>
          <cell r="M12"/>
        </row>
        <row r="13">
          <cell r="J13">
            <v>2000000</v>
          </cell>
          <cell r="K13">
            <v>21.17</v>
          </cell>
          <cell r="L13">
            <v>19.559999999999999</v>
          </cell>
          <cell r="M13"/>
        </row>
        <row r="14">
          <cell r="J14">
            <v>2500000</v>
          </cell>
          <cell r="K14">
            <v>18.96</v>
          </cell>
          <cell r="L14">
            <v>20.77</v>
          </cell>
          <cell r="M14"/>
        </row>
        <row r="15">
          <cell r="J15">
            <v>3000000</v>
          </cell>
          <cell r="K15">
            <v>16.75</v>
          </cell>
          <cell r="L15">
            <v>21.98</v>
          </cell>
          <cell r="M15"/>
        </row>
        <row r="16">
          <cell r="J16">
            <v>3500000</v>
          </cell>
          <cell r="K16">
            <v>14.54</v>
          </cell>
          <cell r="L16">
            <v>23.19</v>
          </cell>
          <cell r="M16"/>
        </row>
        <row r="17">
          <cell r="J17">
            <v>4000000</v>
          </cell>
          <cell r="K17">
            <v>12.34</v>
          </cell>
          <cell r="L17">
            <v>24.4</v>
          </cell>
          <cell r="M17"/>
        </row>
        <row r="18">
          <cell r="J18">
            <v>4500000</v>
          </cell>
          <cell r="K18">
            <v>10.130000000000001</v>
          </cell>
          <cell r="L18">
            <v>25.61</v>
          </cell>
          <cell r="M18"/>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structions"/>
      <sheetName val="Rate Sheet"/>
      <sheetName val="Rate Calculation"/>
      <sheetName val="RATE REDUCTIONS"/>
      <sheetName val="State Owned Facilitys"/>
      <sheetName val="Changes"/>
      <sheetName val="Aging Sch Prior to 2016"/>
      <sheetName val="Tsali Care"/>
      <sheetName val="FRV Output"/>
      <sheetName val="Aging Schedule"/>
      <sheetName val="fac_cmi_3.31.2022"/>
      <sheetName val="Audited Free Standing "/>
      <sheetName val="CDS 2018"/>
      <sheetName val="CDS 2019"/>
      <sheetName val="CDS "/>
      <sheetName val="Hist. Cost Index"/>
      <sheetName val="Square Footage"/>
      <sheetName val="Sq Ft Per Bed"/>
      <sheetName val="Location Factor"/>
      <sheetName val="Maximum Age"/>
      <sheetName val="Inflation"/>
      <sheetName val="Provider Tax"/>
      <sheetName val="Audited Hospital Based"/>
      <sheetName val="Audited FS Medicare Days"/>
      <sheetName val="Audited Hosp Medicare Days"/>
      <sheetName val="2005 Data"/>
      <sheetName val="Options"/>
      <sheetName val="direct array"/>
      <sheetName val="indirect array"/>
      <sheetName val="Schedule A Data"/>
      <sheetName val="Schedule B Allocations"/>
      <sheetName val="Schedule B Data"/>
      <sheetName val="Schedule E Data"/>
      <sheetName val="Facility CMI Summary"/>
      <sheetName val="TW Annual CMI 2005"/>
      <sheetName val="Inflaton 2"/>
      <sheetName val="Sheet1"/>
      <sheetName val="Avg Medicaid - Medicare Days"/>
      <sheetName val="vlookup data"/>
      <sheetName val="Sheet3"/>
    </sheetNames>
    <sheetDataSet>
      <sheetData sheetId="0"/>
      <sheetData sheetId="1"/>
      <sheetData sheetId="2"/>
      <sheetData sheetId="3">
        <row r="1">
          <cell r="T1">
            <v>1</v>
          </cell>
          <cell r="BF1">
            <v>39</v>
          </cell>
        </row>
        <row r="2">
          <cell r="T2">
            <v>20</v>
          </cell>
          <cell r="BF2">
            <v>58</v>
          </cell>
        </row>
        <row r="3">
          <cell r="T3"/>
          <cell r="BF3"/>
        </row>
        <row r="4">
          <cell r="T4"/>
          <cell r="BF4"/>
        </row>
        <row r="5">
          <cell r="T5" t="str">
            <v>NPI</v>
          </cell>
          <cell r="BF5" t="str">
            <v>3/31/22 Medicaid CMI for Snapshot Date</v>
          </cell>
        </row>
        <row r="6">
          <cell r="T6">
            <v>1114501442</v>
          </cell>
          <cell r="BF6">
            <v>1.1047</v>
          </cell>
        </row>
        <row r="7">
          <cell r="T7">
            <v>1245337880</v>
          </cell>
          <cell r="BF7">
            <v>1.3142</v>
          </cell>
        </row>
        <row r="8">
          <cell r="T8">
            <v>1962509505</v>
          </cell>
          <cell r="BF8">
            <v>1.2968</v>
          </cell>
        </row>
        <row r="9">
          <cell r="T9">
            <v>1962505313</v>
          </cell>
          <cell r="BF9">
            <v>1.2905</v>
          </cell>
        </row>
        <row r="10">
          <cell r="T10">
            <v>1396202024</v>
          </cell>
          <cell r="BF10">
            <v>1.1792</v>
          </cell>
        </row>
        <row r="11">
          <cell r="T11">
            <v>1194722629</v>
          </cell>
          <cell r="BF11">
            <v>1.2655000000000001</v>
          </cell>
        </row>
        <row r="12">
          <cell r="T12">
            <v>1255878245</v>
          </cell>
          <cell r="BF12">
            <v>1.1605000000000001</v>
          </cell>
        </row>
        <row r="13">
          <cell r="T13">
            <v>1275519506</v>
          </cell>
          <cell r="BF13">
            <v>1.2549999999999999</v>
          </cell>
        </row>
        <row r="14">
          <cell r="T14">
            <v>1770995094</v>
          </cell>
          <cell r="BF14">
            <v>1.0234000000000001</v>
          </cell>
        </row>
        <row r="15">
          <cell r="T15">
            <v>1609852375</v>
          </cell>
          <cell r="BF15">
            <v>1.1242000000000001</v>
          </cell>
        </row>
        <row r="16">
          <cell r="T16">
            <v>1093791337</v>
          </cell>
          <cell r="BF16">
            <v>1.0919000000000001</v>
          </cell>
        </row>
        <row r="17">
          <cell r="T17">
            <v>1912485517</v>
          </cell>
          <cell r="BF17">
            <v>1.1395999999999999</v>
          </cell>
        </row>
        <row r="18">
          <cell r="T18">
            <v>1073599635</v>
          </cell>
          <cell r="BF18">
            <v>1.1211</v>
          </cell>
        </row>
        <row r="19">
          <cell r="T19">
            <v>1053396788</v>
          </cell>
          <cell r="BF19">
            <v>1.1332</v>
          </cell>
        </row>
        <row r="20">
          <cell r="T20">
            <v>1851377543</v>
          </cell>
          <cell r="BF20">
            <v>1.1868000000000001</v>
          </cell>
        </row>
        <row r="21">
          <cell r="T21">
            <v>1598127276</v>
          </cell>
          <cell r="BF21">
            <v>1.2665</v>
          </cell>
        </row>
        <row r="22">
          <cell r="T22">
            <v>1508842295</v>
          </cell>
          <cell r="BF22">
            <v>1.1833</v>
          </cell>
        </row>
        <row r="23">
          <cell r="T23">
            <v>1639155302</v>
          </cell>
          <cell r="BF23">
            <v>1.3771</v>
          </cell>
        </row>
        <row r="24">
          <cell r="T24">
            <v>1346226040</v>
          </cell>
          <cell r="BF24">
            <v>1.1616</v>
          </cell>
        </row>
        <row r="25">
          <cell r="T25">
            <v>1730722240</v>
          </cell>
          <cell r="BF25">
            <v>1.2511000000000001</v>
          </cell>
        </row>
        <row r="26">
          <cell r="T26">
            <v>1528044294</v>
          </cell>
          <cell r="BF26">
            <v>1.2141</v>
          </cell>
        </row>
        <row r="27">
          <cell r="T27">
            <v>1962052498</v>
          </cell>
          <cell r="BF27">
            <v>0.94720000000000004</v>
          </cell>
        </row>
        <row r="28">
          <cell r="T28">
            <v>1871143305</v>
          </cell>
          <cell r="BF28">
            <v>1.1232</v>
          </cell>
        </row>
        <row r="29">
          <cell r="T29">
            <v>1225688757</v>
          </cell>
          <cell r="BF29">
            <v>1.2009000000000001</v>
          </cell>
        </row>
        <row r="30">
          <cell r="T30">
            <v>1841840378</v>
          </cell>
          <cell r="BF30">
            <v>1.0761000000000001</v>
          </cell>
        </row>
        <row r="31">
          <cell r="T31">
            <v>1760032296</v>
          </cell>
          <cell r="BF31">
            <v>1.2266999999999999</v>
          </cell>
        </row>
        <row r="32">
          <cell r="T32">
            <v>1295723377</v>
          </cell>
          <cell r="BF32">
            <v>1.3149999999999999</v>
          </cell>
        </row>
        <row r="33">
          <cell r="T33">
            <v>1649254582</v>
          </cell>
          <cell r="BF33">
            <v>1.1648000000000001</v>
          </cell>
        </row>
        <row r="34">
          <cell r="T34">
            <v>1316512346</v>
          </cell>
          <cell r="BF34">
            <v>1.1509</v>
          </cell>
        </row>
        <row r="35">
          <cell r="T35">
            <v>1992724157</v>
          </cell>
          <cell r="BF35">
            <v>1.1419999999999999</v>
          </cell>
        </row>
        <row r="36">
          <cell r="T36">
            <v>1578059085</v>
          </cell>
          <cell r="BF36">
            <v>1.0069999999999999</v>
          </cell>
        </row>
        <row r="37">
          <cell r="T37">
            <v>1114480233</v>
          </cell>
          <cell r="BF37">
            <v>1.1901999999999999</v>
          </cell>
        </row>
        <row r="38">
          <cell r="T38">
            <v>1689147035</v>
          </cell>
          <cell r="BF38">
            <v>1.0524</v>
          </cell>
        </row>
        <row r="39">
          <cell r="T39">
            <v>1184174484</v>
          </cell>
          <cell r="BF39">
            <v>1.3163</v>
          </cell>
        </row>
        <row r="40">
          <cell r="T40">
            <v>1578013876</v>
          </cell>
          <cell r="BF40">
            <v>1.1637</v>
          </cell>
        </row>
        <row r="41">
          <cell r="T41">
            <v>1437609732</v>
          </cell>
          <cell r="BF41">
            <v>1.1702999999999999</v>
          </cell>
        </row>
        <row r="42">
          <cell r="T42">
            <v>1336602358</v>
          </cell>
          <cell r="BF42">
            <v>1.1299999999999999</v>
          </cell>
        </row>
        <row r="43">
          <cell r="T43">
            <v>1215400668</v>
          </cell>
          <cell r="BF43">
            <v>1.1039000000000001</v>
          </cell>
        </row>
        <row r="44">
          <cell r="T44">
            <v>1003366311</v>
          </cell>
          <cell r="BF44">
            <v>1.1888000000000001</v>
          </cell>
        </row>
        <row r="45">
          <cell r="T45">
            <v>1548293988</v>
          </cell>
          <cell r="BF45">
            <v>1.4946999999999999</v>
          </cell>
        </row>
        <row r="46">
          <cell r="T46">
            <v>1174608350</v>
          </cell>
          <cell r="BF46">
            <v>1.1788000000000001</v>
          </cell>
        </row>
        <row r="47">
          <cell r="T47">
            <v>1225524747</v>
          </cell>
          <cell r="BF47">
            <v>1.1716</v>
          </cell>
        </row>
        <row r="48">
          <cell r="T48">
            <v>1295704997</v>
          </cell>
          <cell r="BF48">
            <v>1.2194</v>
          </cell>
        </row>
        <row r="49">
          <cell r="T49">
            <v>1063919652</v>
          </cell>
          <cell r="BF49">
            <v>1.1934</v>
          </cell>
        </row>
        <row r="50">
          <cell r="T50">
            <v>1518435650</v>
          </cell>
          <cell r="BF50">
            <v>1.1121000000000001</v>
          </cell>
        </row>
        <row r="51">
          <cell r="T51">
            <v>1578683439</v>
          </cell>
          <cell r="BF51">
            <v>1.2688999999999999</v>
          </cell>
        </row>
        <row r="52">
          <cell r="T52">
            <v>1245350289</v>
          </cell>
          <cell r="BF52">
            <v>1.1943999999999999</v>
          </cell>
        </row>
        <row r="53">
          <cell r="T53">
            <v>1346360328</v>
          </cell>
          <cell r="BF53">
            <v>1.2591000000000001</v>
          </cell>
        </row>
        <row r="54">
          <cell r="T54">
            <v>1104946060</v>
          </cell>
          <cell r="BF54">
            <v>1.2673000000000001</v>
          </cell>
        </row>
        <row r="55">
          <cell r="T55">
            <v>1861513715</v>
          </cell>
          <cell r="BF55">
            <v>1.1862999999999999</v>
          </cell>
        </row>
        <row r="56">
          <cell r="T56">
            <v>1730209677</v>
          </cell>
          <cell r="BF56">
            <v>1.2516</v>
          </cell>
        </row>
        <row r="57">
          <cell r="T57">
            <v>1932606530</v>
          </cell>
          <cell r="BF57">
            <v>1.1041000000000001</v>
          </cell>
        </row>
        <row r="58">
          <cell r="T58">
            <v>1710008669</v>
          </cell>
          <cell r="BF58">
            <v>1.0845</v>
          </cell>
        </row>
        <row r="59">
          <cell r="T59">
            <v>1972071033</v>
          </cell>
          <cell r="BF59">
            <v>1.1302000000000001</v>
          </cell>
        </row>
        <row r="60">
          <cell r="T60">
            <v>1609996552</v>
          </cell>
          <cell r="BF60">
            <v>1.2314000000000001</v>
          </cell>
        </row>
        <row r="61">
          <cell r="T61">
            <v>1912027871</v>
          </cell>
          <cell r="BF61">
            <v>1.2121</v>
          </cell>
        </row>
        <row r="62">
          <cell r="T62">
            <v>1629198577</v>
          </cell>
          <cell r="BF62">
            <v>1.2562</v>
          </cell>
        </row>
        <row r="63">
          <cell r="T63">
            <v>1639299571</v>
          </cell>
          <cell r="BF63">
            <v>1.1329</v>
          </cell>
        </row>
        <row r="64">
          <cell r="T64">
            <v>1831219781</v>
          </cell>
          <cell r="BF64">
            <v>1.2374000000000001</v>
          </cell>
        </row>
        <row r="65">
          <cell r="T65">
            <v>1518088830</v>
          </cell>
          <cell r="BF65">
            <v>1.1514</v>
          </cell>
        </row>
        <row r="66">
          <cell r="T66">
            <v>1740300607</v>
          </cell>
          <cell r="BF66">
            <v>1.3207</v>
          </cell>
        </row>
        <row r="67">
          <cell r="T67">
            <v>1134249006</v>
          </cell>
          <cell r="BF67">
            <v>1.2263999999999999</v>
          </cell>
        </row>
        <row r="68">
          <cell r="T68">
            <v>1740301050</v>
          </cell>
          <cell r="BF68">
            <v>1.2598</v>
          </cell>
        </row>
        <row r="69">
          <cell r="T69">
            <v>1598233645</v>
          </cell>
          <cell r="BF69">
            <v>1.1124000000000001</v>
          </cell>
        </row>
        <row r="70">
          <cell r="T70">
            <v>1659849701</v>
          </cell>
          <cell r="BF70">
            <v>1.0799000000000001</v>
          </cell>
        </row>
        <row r="71">
          <cell r="T71">
            <v>1326169285</v>
          </cell>
          <cell r="BF71">
            <v>1.2251000000000001</v>
          </cell>
        </row>
        <row r="72">
          <cell r="T72">
            <v>1205357878</v>
          </cell>
          <cell r="BF72">
            <v>1.3008999999999999</v>
          </cell>
        </row>
        <row r="73">
          <cell r="T73">
            <v>1619099520</v>
          </cell>
          <cell r="BF73">
            <v>1.2241</v>
          </cell>
        </row>
        <row r="74">
          <cell r="T74">
            <v>1598262198</v>
          </cell>
          <cell r="BF74">
            <v>1.2445999999999999</v>
          </cell>
        </row>
        <row r="75">
          <cell r="T75">
            <v>1437627593</v>
          </cell>
          <cell r="BF75">
            <v>1.1189</v>
          </cell>
        </row>
        <row r="76">
          <cell r="T76">
            <v>1235236878</v>
          </cell>
          <cell r="BF76">
            <v>1.2318</v>
          </cell>
        </row>
        <row r="77">
          <cell r="T77">
            <v>1356372650</v>
          </cell>
          <cell r="BF77">
            <v>1.3168</v>
          </cell>
        </row>
        <row r="78">
          <cell r="T78">
            <v>1669408969</v>
          </cell>
          <cell r="BF78">
            <v>1.0262</v>
          </cell>
        </row>
        <row r="79">
          <cell r="T79">
            <v>1982640785</v>
          </cell>
          <cell r="BF79">
            <v>1.1312</v>
          </cell>
        </row>
        <row r="80">
          <cell r="T80">
            <v>1083659692</v>
          </cell>
          <cell r="BF80">
            <v>1.1995</v>
          </cell>
        </row>
        <row r="81">
          <cell r="T81">
            <v>1821024274</v>
          </cell>
          <cell r="BF81">
            <v>1.1688924274286907</v>
          </cell>
        </row>
        <row r="82">
          <cell r="T82">
            <v>1457397952</v>
          </cell>
          <cell r="BF82">
            <v>1.2050000000000001</v>
          </cell>
        </row>
        <row r="83">
          <cell r="T83">
            <v>1508802497</v>
          </cell>
          <cell r="BF83">
            <v>1.1821999999999999</v>
          </cell>
        </row>
        <row r="84">
          <cell r="T84">
            <v>1366487464</v>
          </cell>
          <cell r="BF84">
            <v>1.2407999999999999</v>
          </cell>
        </row>
        <row r="85">
          <cell r="T85">
            <v>1619908977</v>
          </cell>
          <cell r="BF85">
            <v>1.2369000000000001</v>
          </cell>
        </row>
        <row r="86">
          <cell r="T86">
            <v>1689603060</v>
          </cell>
          <cell r="BF86">
            <v>1.2264999999999999</v>
          </cell>
        </row>
        <row r="87">
          <cell r="T87">
            <v>1285665539</v>
          </cell>
          <cell r="BF87">
            <v>1.2290000000000001</v>
          </cell>
        </row>
        <row r="88">
          <cell r="T88">
            <v>1699710293</v>
          </cell>
          <cell r="BF88">
            <v>1.2040999999999999</v>
          </cell>
        </row>
        <row r="89">
          <cell r="T89">
            <v>1972547321</v>
          </cell>
          <cell r="BF89">
            <v>1.3849</v>
          </cell>
        </row>
        <row r="90">
          <cell r="T90">
            <v>1962447565</v>
          </cell>
          <cell r="BF90">
            <v>1.1277999999999999</v>
          </cell>
        </row>
        <row r="91">
          <cell r="T91">
            <v>1811923931</v>
          </cell>
          <cell r="BF91">
            <v>1.2838000000000001</v>
          </cell>
        </row>
        <row r="92">
          <cell r="T92">
            <v>1932145836</v>
          </cell>
          <cell r="BF92">
            <v>1.123</v>
          </cell>
        </row>
        <row r="93">
          <cell r="T93">
            <v>1376570275</v>
          </cell>
          <cell r="BF93">
            <v>1.1853</v>
          </cell>
        </row>
        <row r="94">
          <cell r="T94">
            <v>1255367447</v>
          </cell>
          <cell r="BF94">
            <v>1.2283999999999999</v>
          </cell>
        </row>
        <row r="95">
          <cell r="T95">
            <v>1952337073</v>
          </cell>
          <cell r="BF95">
            <v>1.2334000000000001</v>
          </cell>
        </row>
        <row r="96">
          <cell r="T96">
            <v>1659307395</v>
          </cell>
          <cell r="BF96">
            <v>1.1327</v>
          </cell>
        </row>
        <row r="97">
          <cell r="T97">
            <v>1942236161</v>
          </cell>
          <cell r="BF97">
            <v>1.1958</v>
          </cell>
        </row>
        <row r="98">
          <cell r="T98">
            <v>1396771515</v>
          </cell>
          <cell r="BF98">
            <v>1.1580999999999999</v>
          </cell>
        </row>
        <row r="99">
          <cell r="T99">
            <v>1558393835</v>
          </cell>
          <cell r="BF99">
            <v>1.1499999999999999</v>
          </cell>
        </row>
        <row r="100">
          <cell r="T100">
            <v>1265816185</v>
          </cell>
          <cell r="BF100">
            <v>1.3290999999999999</v>
          </cell>
        </row>
        <row r="101">
          <cell r="T101">
            <v>1407882830</v>
          </cell>
          <cell r="BF101">
            <v>1.1474</v>
          </cell>
        </row>
        <row r="102">
          <cell r="T102">
            <v>1235175175</v>
          </cell>
          <cell r="BF102">
            <v>1.1359999999999999</v>
          </cell>
        </row>
        <row r="103">
          <cell r="T103">
            <v>1225064777</v>
          </cell>
          <cell r="BF103">
            <v>1.1815</v>
          </cell>
        </row>
        <row r="104">
          <cell r="T104">
            <v>1063458958</v>
          </cell>
          <cell r="BF104">
            <v>1.2047000000000001</v>
          </cell>
        </row>
        <row r="105">
          <cell r="T105">
            <v>1750317897</v>
          </cell>
          <cell r="BF105">
            <v>1.1023000000000001</v>
          </cell>
        </row>
        <row r="106">
          <cell r="T106">
            <v>1184650541</v>
          </cell>
          <cell r="BF106">
            <v>1.329</v>
          </cell>
        </row>
        <row r="107">
          <cell r="T107">
            <v>1700812146</v>
          </cell>
          <cell r="BF107">
            <v>1.1919999999999999</v>
          </cell>
        </row>
        <row r="108">
          <cell r="T108">
            <v>1336612530</v>
          </cell>
          <cell r="BF108">
            <v>1.3476999999999999</v>
          </cell>
        </row>
        <row r="109">
          <cell r="T109">
            <v>1053395210</v>
          </cell>
          <cell r="BF109">
            <v>1.0379</v>
          </cell>
        </row>
        <row r="110">
          <cell r="T110">
            <v>1952446510</v>
          </cell>
          <cell r="BF110">
            <v>1.0045999999999999</v>
          </cell>
        </row>
        <row r="111">
          <cell r="T111">
            <v>1376926519</v>
          </cell>
          <cell r="BF111">
            <v>1.4353</v>
          </cell>
        </row>
        <row r="112">
          <cell r="T112">
            <v>1225654098</v>
          </cell>
          <cell r="BF112">
            <v>1.1688924274286907</v>
          </cell>
        </row>
        <row r="113">
          <cell r="T113">
            <v>1235591918</v>
          </cell>
          <cell r="BF113">
            <v>1.3071999999999999</v>
          </cell>
        </row>
        <row r="114">
          <cell r="T114">
            <v>1336196526</v>
          </cell>
          <cell r="BF114">
            <v>1.2281</v>
          </cell>
        </row>
        <row r="115">
          <cell r="T115">
            <v>1295279594</v>
          </cell>
          <cell r="BF115">
            <v>1.5014000000000001</v>
          </cell>
        </row>
        <row r="116">
          <cell r="T116">
            <v>1326074048</v>
          </cell>
          <cell r="BF116">
            <v>1.1665000000000001</v>
          </cell>
        </row>
        <row r="117">
          <cell r="T117">
            <v>1114501459</v>
          </cell>
          <cell r="BF117">
            <v>1.1805000000000001</v>
          </cell>
        </row>
        <row r="118">
          <cell r="T118">
            <v>1255385720</v>
          </cell>
          <cell r="BF118">
            <v>1.1034999999999999</v>
          </cell>
        </row>
        <row r="119">
          <cell r="T119">
            <v>1144804485</v>
          </cell>
          <cell r="BF119">
            <v>1.1153999999999999</v>
          </cell>
        </row>
        <row r="120">
          <cell r="T120">
            <v>1083711626</v>
          </cell>
          <cell r="BF120">
            <v>1.3204</v>
          </cell>
        </row>
        <row r="121">
          <cell r="T121">
            <v>1669821336</v>
          </cell>
          <cell r="BF121">
            <v>1.1607000000000001</v>
          </cell>
        </row>
        <row r="122">
          <cell r="T122">
            <v>1083661193</v>
          </cell>
          <cell r="BF122">
            <v>1.1111</v>
          </cell>
        </row>
        <row r="123">
          <cell r="T123">
            <v>1336118298</v>
          </cell>
          <cell r="BF123">
            <v>1.4369000000000001</v>
          </cell>
        </row>
        <row r="124">
          <cell r="T124">
            <v>1609976901</v>
          </cell>
          <cell r="BF124">
            <v>1.2728999999999999</v>
          </cell>
        </row>
        <row r="125">
          <cell r="T125">
            <v>1104800069</v>
          </cell>
          <cell r="BF125">
            <v>1.3633999999999999</v>
          </cell>
        </row>
        <row r="126">
          <cell r="T126">
            <v>1235239567</v>
          </cell>
          <cell r="BF126">
            <v>1.3320000000000001</v>
          </cell>
        </row>
        <row r="127">
          <cell r="T127">
            <v>1316921190</v>
          </cell>
          <cell r="BF127">
            <v>1.3568</v>
          </cell>
        </row>
        <row r="128">
          <cell r="T128">
            <v>1194825448</v>
          </cell>
          <cell r="BF128">
            <v>1.3620000000000001</v>
          </cell>
        </row>
        <row r="129">
          <cell r="T129">
            <v>1851375703</v>
          </cell>
          <cell r="BF129">
            <v>1.3022</v>
          </cell>
        </row>
        <row r="130">
          <cell r="T130">
            <v>1316351034</v>
          </cell>
          <cell r="BF130">
            <v>1.1149</v>
          </cell>
        </row>
        <row r="131">
          <cell r="T131">
            <v>1194309336</v>
          </cell>
          <cell r="BF131">
            <v>1.1666000000000001</v>
          </cell>
        </row>
        <row r="132">
          <cell r="T132">
            <v>1356387153</v>
          </cell>
          <cell r="BF132">
            <v>1.2532000000000001</v>
          </cell>
        </row>
        <row r="133">
          <cell r="T133">
            <v>1740249382</v>
          </cell>
          <cell r="BF133">
            <v>1.0494000000000001</v>
          </cell>
        </row>
        <row r="134">
          <cell r="T134">
            <v>1407803679</v>
          </cell>
          <cell r="BF134">
            <v>1.1082000000000001</v>
          </cell>
        </row>
        <row r="135">
          <cell r="T135">
            <v>1669991865</v>
          </cell>
          <cell r="BF135">
            <v>1.0694999999999999</v>
          </cell>
        </row>
        <row r="136">
          <cell r="T136">
            <v>1841854361</v>
          </cell>
          <cell r="BF136">
            <v>1.3818999999999999</v>
          </cell>
        </row>
        <row r="137">
          <cell r="T137">
            <v>1891722187</v>
          </cell>
          <cell r="BF137">
            <v>1.1299999999999999</v>
          </cell>
        </row>
        <row r="138">
          <cell r="T138">
            <v>1164476636</v>
          </cell>
          <cell r="BF138">
            <v>1.1500999999999999</v>
          </cell>
        </row>
        <row r="139">
          <cell r="T139">
            <v>1891740544</v>
          </cell>
          <cell r="BF139">
            <v>1.1366000000000001</v>
          </cell>
        </row>
        <row r="140">
          <cell r="T140">
            <v>1346806015</v>
          </cell>
          <cell r="BF140">
            <v>1.1962999999999999</v>
          </cell>
        </row>
        <row r="141">
          <cell r="T141">
            <v>1073599510</v>
          </cell>
          <cell r="BF141">
            <v>1.0882000000000001</v>
          </cell>
        </row>
        <row r="142">
          <cell r="T142">
            <v>1972587376</v>
          </cell>
          <cell r="BF142">
            <v>1.0823</v>
          </cell>
        </row>
        <row r="143">
          <cell r="T143">
            <v>1437103850</v>
          </cell>
          <cell r="BF143">
            <v>1.1688924274286907</v>
          </cell>
        </row>
        <row r="144">
          <cell r="T144">
            <v>1093131310</v>
          </cell>
          <cell r="BF144">
            <v>1.2325999999999999</v>
          </cell>
        </row>
        <row r="145">
          <cell r="T145">
            <v>1356346191</v>
          </cell>
          <cell r="BF145">
            <v>0.89770000000000005</v>
          </cell>
        </row>
        <row r="146">
          <cell r="T146">
            <v>1831649268</v>
          </cell>
          <cell r="BF146">
            <v>1.1993</v>
          </cell>
        </row>
        <row r="147">
          <cell r="T147">
            <v>1346851052</v>
          </cell>
          <cell r="BF147">
            <v>1.2375</v>
          </cell>
        </row>
        <row r="148">
          <cell r="T148">
            <v>1750418802</v>
          </cell>
          <cell r="BF148">
            <v>1.1688924274286907</v>
          </cell>
        </row>
        <row r="149">
          <cell r="T149">
            <v>1265556294</v>
          </cell>
          <cell r="BF149">
            <v>1.4494</v>
          </cell>
        </row>
        <row r="150">
          <cell r="T150">
            <v>1427248905</v>
          </cell>
          <cell r="BF150">
            <v>1.2958000000000001</v>
          </cell>
        </row>
        <row r="151">
          <cell r="T151">
            <v>1588219828</v>
          </cell>
          <cell r="BF151">
            <v>1.1581999999999999</v>
          </cell>
        </row>
        <row r="152">
          <cell r="T152">
            <v>1245287762</v>
          </cell>
          <cell r="BF152">
            <v>1.2519</v>
          </cell>
        </row>
        <row r="153">
          <cell r="T153">
            <v>1407803828</v>
          </cell>
          <cell r="BF153">
            <v>1.1614</v>
          </cell>
        </row>
        <row r="154">
          <cell r="T154">
            <v>1447435722</v>
          </cell>
          <cell r="BF154">
            <v>1.1964999999999999</v>
          </cell>
        </row>
        <row r="155">
          <cell r="T155">
            <v>1275508970</v>
          </cell>
          <cell r="BF155">
            <v>0.92430000000000001</v>
          </cell>
        </row>
        <row r="156">
          <cell r="T156">
            <v>1134175524</v>
          </cell>
          <cell r="BF156">
            <v>1.1493</v>
          </cell>
        </row>
        <row r="157">
          <cell r="T157">
            <v>1417944752</v>
          </cell>
          <cell r="BF157">
            <v>1.2184999999999999</v>
          </cell>
        </row>
        <row r="158">
          <cell r="T158">
            <v>1396747689</v>
          </cell>
          <cell r="BF158">
            <v>1.1233</v>
          </cell>
        </row>
        <row r="159">
          <cell r="T159">
            <v>1932135381</v>
          </cell>
          <cell r="BF159">
            <v>1.1947000000000001</v>
          </cell>
        </row>
        <row r="160">
          <cell r="T160">
            <v>1710932355</v>
          </cell>
          <cell r="BF160">
            <v>0.9647</v>
          </cell>
        </row>
        <row r="161">
          <cell r="T161">
            <v>1417951492</v>
          </cell>
          <cell r="BF161">
            <v>0.9748</v>
          </cell>
        </row>
        <row r="162">
          <cell r="T162">
            <v>1730136128</v>
          </cell>
          <cell r="BF162">
            <v>1.1406000000000001</v>
          </cell>
        </row>
        <row r="163">
          <cell r="T163">
            <v>1699313544</v>
          </cell>
          <cell r="BF163">
            <v>1.0186999999999999</v>
          </cell>
        </row>
        <row r="164">
          <cell r="T164">
            <v>1144868092</v>
          </cell>
          <cell r="BF164">
            <v>1.1134999999999999</v>
          </cell>
        </row>
        <row r="165">
          <cell r="T165">
            <v>1679555403</v>
          </cell>
          <cell r="BF165">
            <v>0.98839999999999995</v>
          </cell>
        </row>
        <row r="166">
          <cell r="T166">
            <v>1174524458</v>
          </cell>
          <cell r="BF166">
            <v>1.1238999999999999</v>
          </cell>
        </row>
        <row r="167">
          <cell r="T167">
            <v>1477511079</v>
          </cell>
          <cell r="BF167">
            <v>1.0832999999999999</v>
          </cell>
        </row>
        <row r="168">
          <cell r="T168">
            <v>1023386190</v>
          </cell>
          <cell r="BF168">
            <v>1.0386</v>
          </cell>
        </row>
        <row r="169">
          <cell r="T169">
            <v>1396802260</v>
          </cell>
          <cell r="BF169">
            <v>1.2615000000000001</v>
          </cell>
        </row>
        <row r="170">
          <cell r="T170">
            <v>1588618045</v>
          </cell>
          <cell r="BF170">
            <v>1.3056000000000001</v>
          </cell>
        </row>
        <row r="171">
          <cell r="T171">
            <v>1962066480</v>
          </cell>
          <cell r="BF171">
            <v>1.448</v>
          </cell>
        </row>
        <row r="172">
          <cell r="T172">
            <v>1588642102</v>
          </cell>
          <cell r="BF172">
            <v>1.3089999999999999</v>
          </cell>
        </row>
        <row r="173">
          <cell r="T173">
            <v>1154792000</v>
          </cell>
          <cell r="BF173">
            <v>1.0145999999999999</v>
          </cell>
        </row>
        <row r="174">
          <cell r="T174">
            <v>1992242119</v>
          </cell>
          <cell r="BF174">
            <v>1.1436999999999999</v>
          </cell>
        </row>
        <row r="175">
          <cell r="T175">
            <v>1194381681</v>
          </cell>
          <cell r="BF175">
            <v>1.1845000000000001</v>
          </cell>
        </row>
        <row r="176">
          <cell r="T176">
            <v>1902462401</v>
          </cell>
          <cell r="BF176">
            <v>1.202</v>
          </cell>
        </row>
        <row r="177">
          <cell r="T177">
            <v>1689777971</v>
          </cell>
          <cell r="BF177">
            <v>1.3464</v>
          </cell>
        </row>
        <row r="178">
          <cell r="T178">
            <v>1649685132</v>
          </cell>
          <cell r="BF178">
            <v>1.1614</v>
          </cell>
        </row>
        <row r="179">
          <cell r="T179">
            <v>1205252640</v>
          </cell>
          <cell r="BF179">
            <v>1.2234</v>
          </cell>
        </row>
        <row r="180">
          <cell r="T180">
            <v>1528505757</v>
          </cell>
          <cell r="BF180">
            <v>1.1616</v>
          </cell>
        </row>
        <row r="181">
          <cell r="T181">
            <v>1164848503</v>
          </cell>
          <cell r="BF181">
            <v>1.2999000000000001</v>
          </cell>
        </row>
        <row r="182">
          <cell r="T182">
            <v>1033784970</v>
          </cell>
          <cell r="BF182">
            <v>1.2093</v>
          </cell>
        </row>
        <row r="183">
          <cell r="T183">
            <v>1013951896</v>
          </cell>
          <cell r="BF183">
            <v>1.0799000000000001</v>
          </cell>
        </row>
        <row r="184">
          <cell r="T184">
            <v>1649590498</v>
          </cell>
          <cell r="BF184">
            <v>1.1688924274286907</v>
          </cell>
        </row>
        <row r="185">
          <cell r="T185">
            <v>1235370750</v>
          </cell>
          <cell r="BF185">
            <v>1.35</v>
          </cell>
        </row>
        <row r="186">
          <cell r="T186">
            <v>1295391795</v>
          </cell>
          <cell r="BF186">
            <v>1.0815999999999999</v>
          </cell>
        </row>
        <row r="187">
          <cell r="T187">
            <v>1447736087</v>
          </cell>
          <cell r="BF187">
            <v>1.2101</v>
          </cell>
        </row>
        <row r="188">
          <cell r="T188">
            <v>1144277666</v>
          </cell>
          <cell r="BF188">
            <v>1.1688924274286907</v>
          </cell>
        </row>
        <row r="189">
          <cell r="T189">
            <v>1982948550</v>
          </cell>
          <cell r="BF189">
            <v>0.91990000000000005</v>
          </cell>
        </row>
        <row r="190">
          <cell r="T190">
            <v>1699886085</v>
          </cell>
          <cell r="BF190">
            <v>1.1840999999999999</v>
          </cell>
        </row>
        <row r="191">
          <cell r="T191">
            <v>1336142470</v>
          </cell>
          <cell r="BF191">
            <v>0.9536</v>
          </cell>
        </row>
        <row r="192">
          <cell r="T192">
            <v>1811984925</v>
          </cell>
          <cell r="BF192">
            <v>1.0009999999999999</v>
          </cell>
        </row>
        <row r="193">
          <cell r="T193">
            <v>1689621880</v>
          </cell>
          <cell r="BF193">
            <v>1.1242000000000001</v>
          </cell>
        </row>
        <row r="194">
          <cell r="T194">
            <v>1932750841</v>
          </cell>
          <cell r="BF194">
            <v>1.1495</v>
          </cell>
        </row>
        <row r="195">
          <cell r="T195">
            <v>1851836118</v>
          </cell>
          <cell r="BF195">
            <v>1.0442</v>
          </cell>
        </row>
        <row r="196">
          <cell r="T196">
            <v>1598704504</v>
          </cell>
          <cell r="BF196">
            <v>1.0822000000000001</v>
          </cell>
        </row>
        <row r="197">
          <cell r="T197">
            <v>1245227578</v>
          </cell>
          <cell r="BF197">
            <v>1.0627</v>
          </cell>
        </row>
        <row r="198">
          <cell r="T198">
            <v>1427608959</v>
          </cell>
          <cell r="BF198">
            <v>1.2278</v>
          </cell>
        </row>
        <row r="199">
          <cell r="T199">
            <v>1437564739</v>
          </cell>
          <cell r="BF199">
            <v>1.2762</v>
          </cell>
        </row>
        <row r="200">
          <cell r="T200">
            <v>1548206907</v>
          </cell>
          <cell r="BF200">
            <v>1.1195999999999999</v>
          </cell>
        </row>
        <row r="201">
          <cell r="T201">
            <v>1831551514</v>
          </cell>
          <cell r="BF201">
            <v>1.1404000000000001</v>
          </cell>
        </row>
        <row r="202">
          <cell r="T202">
            <v>1295704849</v>
          </cell>
          <cell r="BF202">
            <v>1.3843000000000001</v>
          </cell>
        </row>
        <row r="203">
          <cell r="T203">
            <v>1083298236</v>
          </cell>
          <cell r="BF203">
            <v>1.0884</v>
          </cell>
        </row>
        <row r="204">
          <cell r="T204">
            <v>1538113014</v>
          </cell>
          <cell r="BF204">
            <v>1.1274</v>
          </cell>
        </row>
        <row r="205">
          <cell r="T205">
            <v>1336193754</v>
          </cell>
          <cell r="BF205">
            <v>1.1847000000000001</v>
          </cell>
        </row>
        <row r="206">
          <cell r="T206">
            <v>1326089616</v>
          </cell>
          <cell r="BF206">
            <v>1.1023000000000001</v>
          </cell>
        </row>
        <row r="207">
          <cell r="T207">
            <v>1669425401</v>
          </cell>
          <cell r="BF207">
            <v>1.0892999999999999</v>
          </cell>
        </row>
        <row r="208">
          <cell r="T208">
            <v>1861446338</v>
          </cell>
          <cell r="BF208">
            <v>1.0168999999999999</v>
          </cell>
        </row>
        <row r="209">
          <cell r="T209">
            <v>1407800972</v>
          </cell>
          <cell r="BF209">
            <v>1.1216999999999999</v>
          </cell>
        </row>
        <row r="210">
          <cell r="T210">
            <v>1861446270</v>
          </cell>
          <cell r="BF210">
            <v>1.0704</v>
          </cell>
        </row>
        <row r="211">
          <cell r="T211">
            <v>1851941389</v>
          </cell>
          <cell r="BF211">
            <v>1.0216000000000001</v>
          </cell>
        </row>
        <row r="212">
          <cell r="T212">
            <v>1295101673</v>
          </cell>
          <cell r="BF212">
            <v>1.0158</v>
          </cell>
        </row>
        <row r="213">
          <cell r="T213">
            <v>1760415434</v>
          </cell>
          <cell r="BF213">
            <v>1.0844</v>
          </cell>
        </row>
        <row r="214">
          <cell r="T214">
            <v>1629494059</v>
          </cell>
          <cell r="BF214">
            <v>1.3465</v>
          </cell>
        </row>
        <row r="215">
          <cell r="T215">
            <v>1174149934</v>
          </cell>
          <cell r="BF215">
            <v>1.1688924274286907</v>
          </cell>
        </row>
        <row r="216">
          <cell r="T216">
            <v>1467421024</v>
          </cell>
          <cell r="BF216">
            <v>1.3625</v>
          </cell>
        </row>
        <row r="217">
          <cell r="T217">
            <v>1043865538</v>
          </cell>
          <cell r="BF217">
            <v>1.0896999999999999</v>
          </cell>
        </row>
        <row r="218">
          <cell r="T218">
            <v>1215931977</v>
          </cell>
          <cell r="BF218">
            <v>1.1970000000000001</v>
          </cell>
        </row>
        <row r="219">
          <cell r="T219">
            <v>1508864323</v>
          </cell>
          <cell r="BF219">
            <v>1.1668000000000001</v>
          </cell>
        </row>
        <row r="220">
          <cell r="T220">
            <v>1427052067</v>
          </cell>
          <cell r="BF220">
            <v>1.2404999999999999</v>
          </cell>
        </row>
        <row r="221">
          <cell r="T221">
            <v>1912902230</v>
          </cell>
          <cell r="BF221">
            <v>1.0868</v>
          </cell>
        </row>
        <row r="222">
          <cell r="T222">
            <v>1447254149</v>
          </cell>
          <cell r="BF222">
            <v>1.2464</v>
          </cell>
        </row>
        <row r="223">
          <cell r="T223">
            <v>1497058416</v>
          </cell>
          <cell r="BF223">
            <v>1.4127000000000001</v>
          </cell>
        </row>
        <row r="224">
          <cell r="T224">
            <v>1407325103</v>
          </cell>
          <cell r="BF224">
            <v>1.2670999999999999</v>
          </cell>
        </row>
        <row r="225">
          <cell r="T225">
            <v>1164725198</v>
          </cell>
          <cell r="BF225">
            <v>1.4363999999999999</v>
          </cell>
        </row>
        <row r="226">
          <cell r="T226">
            <v>1528544145</v>
          </cell>
          <cell r="BF226">
            <v>1.3976</v>
          </cell>
        </row>
        <row r="227">
          <cell r="T227">
            <v>1992825848</v>
          </cell>
          <cell r="BF227">
            <v>1.2625</v>
          </cell>
        </row>
        <row r="228">
          <cell r="T228">
            <v>1023671765</v>
          </cell>
          <cell r="BF228">
            <v>1.3152999999999999</v>
          </cell>
        </row>
        <row r="229">
          <cell r="T229">
            <v>1245737840</v>
          </cell>
          <cell r="BF229">
            <v>1.2303999999999999</v>
          </cell>
        </row>
        <row r="230">
          <cell r="T230">
            <v>1720033475</v>
          </cell>
          <cell r="BF230">
            <v>1.2048000000000001</v>
          </cell>
        </row>
        <row r="231">
          <cell r="T231">
            <v>1477641694</v>
          </cell>
          <cell r="BF231">
            <v>0.90349999999999997</v>
          </cell>
        </row>
        <row r="232">
          <cell r="T232">
            <v>1548230188</v>
          </cell>
          <cell r="BF232">
            <v>0.92410000000000003</v>
          </cell>
        </row>
        <row r="233">
          <cell r="T233">
            <v>1366529406</v>
          </cell>
          <cell r="BF233">
            <v>1.0546</v>
          </cell>
        </row>
        <row r="234">
          <cell r="T234">
            <v>1699336776</v>
          </cell>
          <cell r="BF234">
            <v>1.0740000000000001</v>
          </cell>
        </row>
        <row r="235">
          <cell r="T235">
            <v>1790317840</v>
          </cell>
          <cell r="BF235">
            <v>1.3136000000000001</v>
          </cell>
        </row>
        <row r="236">
          <cell r="T236">
            <v>1831197714</v>
          </cell>
          <cell r="BF236">
            <v>1.2905</v>
          </cell>
        </row>
        <row r="237">
          <cell r="T237">
            <v>1871063214</v>
          </cell>
          <cell r="BF237">
            <v>0.95089999999999997</v>
          </cell>
        </row>
        <row r="238">
          <cell r="T238">
            <v>1952396509</v>
          </cell>
          <cell r="BF238">
            <v>1.1802999999999999</v>
          </cell>
        </row>
        <row r="239">
          <cell r="T239">
            <v>1396754875</v>
          </cell>
          <cell r="BF239">
            <v>1.1775</v>
          </cell>
        </row>
        <row r="240">
          <cell r="T240">
            <v>1922611102</v>
          </cell>
          <cell r="BF240">
            <v>1.2094</v>
          </cell>
        </row>
        <row r="241">
          <cell r="T241">
            <v>1851348379</v>
          </cell>
          <cell r="BF241">
            <v>1.0056</v>
          </cell>
        </row>
        <row r="242">
          <cell r="T242">
            <v>1477146959</v>
          </cell>
          <cell r="BF242">
            <v>1.3963000000000001</v>
          </cell>
        </row>
        <row r="243">
          <cell r="T243">
            <v>1093754459</v>
          </cell>
          <cell r="BF243">
            <v>1.2424999999999999</v>
          </cell>
        </row>
        <row r="244">
          <cell r="T244">
            <v>1548770423</v>
          </cell>
          <cell r="BF244">
            <v>1.0185999999999999</v>
          </cell>
        </row>
        <row r="245">
          <cell r="T245">
            <v>1497996920</v>
          </cell>
          <cell r="BF245">
            <v>1.3129</v>
          </cell>
        </row>
        <row r="246">
          <cell r="T246">
            <v>1578715504</v>
          </cell>
          <cell r="BF246">
            <v>1.5018</v>
          </cell>
        </row>
        <row r="247">
          <cell r="T247">
            <v>1609124155</v>
          </cell>
          <cell r="BF247">
            <v>1.1545000000000001</v>
          </cell>
        </row>
        <row r="248">
          <cell r="T248">
            <v>1780693663</v>
          </cell>
          <cell r="BF248">
            <v>1.0304</v>
          </cell>
        </row>
        <row r="249">
          <cell r="T249">
            <v>1407966864</v>
          </cell>
          <cell r="BF249">
            <v>0.93940000000000001</v>
          </cell>
        </row>
        <row r="250">
          <cell r="T250">
            <v>1144646274</v>
          </cell>
          <cell r="BF250">
            <v>1.2033</v>
          </cell>
        </row>
        <row r="251">
          <cell r="T251">
            <v>1467007856</v>
          </cell>
          <cell r="BF251">
            <v>0.99670000000000003</v>
          </cell>
        </row>
        <row r="252">
          <cell r="T252">
            <v>1841390002</v>
          </cell>
          <cell r="BF252">
            <v>1.3689</v>
          </cell>
        </row>
        <row r="253">
          <cell r="T253">
            <v>1922456664</v>
          </cell>
          <cell r="BF253">
            <v>1.3652</v>
          </cell>
        </row>
        <row r="254">
          <cell r="T254">
            <v>1073034138</v>
          </cell>
          <cell r="BF254">
            <v>1.1326000000000001</v>
          </cell>
        </row>
        <row r="255">
          <cell r="T255">
            <v>1861003485</v>
          </cell>
          <cell r="BF255">
            <v>1.2057</v>
          </cell>
        </row>
        <row r="256">
          <cell r="T256">
            <v>1720085293</v>
          </cell>
          <cell r="BF256">
            <v>1.1996</v>
          </cell>
        </row>
        <row r="257">
          <cell r="T257">
            <v>1801428768</v>
          </cell>
          <cell r="BF257">
            <v>1.2757000000000001</v>
          </cell>
        </row>
        <row r="258">
          <cell r="T258">
            <v>1548696834</v>
          </cell>
          <cell r="BF258">
            <v>1.1686000000000001</v>
          </cell>
        </row>
        <row r="259">
          <cell r="T259">
            <v>1396161527</v>
          </cell>
          <cell r="BF259">
            <v>1.2024999999999999</v>
          </cell>
        </row>
        <row r="260">
          <cell r="T260">
            <v>1043703945</v>
          </cell>
          <cell r="BF260">
            <v>1.0218</v>
          </cell>
        </row>
        <row r="261">
          <cell r="T261">
            <v>1275823155</v>
          </cell>
          <cell r="BF261">
            <v>1.3172999999999999</v>
          </cell>
        </row>
        <row r="262">
          <cell r="T262">
            <v>1134660103</v>
          </cell>
          <cell r="BF262">
            <v>1.3895999999999999</v>
          </cell>
        </row>
        <row r="263">
          <cell r="T263">
            <v>1336565779</v>
          </cell>
          <cell r="BF263">
            <v>1.0761000000000001</v>
          </cell>
        </row>
        <row r="264">
          <cell r="T264">
            <v>1770582363</v>
          </cell>
          <cell r="BF264">
            <v>0.97799999999999998</v>
          </cell>
        </row>
        <row r="265">
          <cell r="T265">
            <v>1700874880</v>
          </cell>
          <cell r="BF265">
            <v>1.171</v>
          </cell>
        </row>
        <row r="266">
          <cell r="T266">
            <v>1306293170</v>
          </cell>
          <cell r="BF266">
            <v>1.1993</v>
          </cell>
        </row>
        <row r="267">
          <cell r="T267">
            <v>1518968890</v>
          </cell>
          <cell r="BF267">
            <v>0.97870000000000001</v>
          </cell>
        </row>
        <row r="268">
          <cell r="T268">
            <v>1033513320</v>
          </cell>
          <cell r="BF268">
            <v>1.1691</v>
          </cell>
        </row>
        <row r="269">
          <cell r="T269">
            <v>1770149270</v>
          </cell>
          <cell r="BF269">
            <v>1.1460999999999999</v>
          </cell>
        </row>
        <row r="270">
          <cell r="T270">
            <v>1104471531</v>
          </cell>
          <cell r="BF270">
            <v>1.1252</v>
          </cell>
        </row>
        <row r="271">
          <cell r="T271">
            <v>1568454262</v>
          </cell>
          <cell r="BF271">
            <v>1.0652999999999999</v>
          </cell>
        </row>
        <row r="272">
          <cell r="T272">
            <v>1811920267</v>
          </cell>
          <cell r="BF272">
            <v>1.3513999999999999</v>
          </cell>
        </row>
        <row r="273">
          <cell r="T273">
            <v>1669023685</v>
          </cell>
          <cell r="BF273">
            <v>1.1695</v>
          </cell>
        </row>
        <row r="274">
          <cell r="T274">
            <v>1053380626</v>
          </cell>
          <cell r="BF274">
            <v>1.2909999999999999</v>
          </cell>
        </row>
        <row r="275">
          <cell r="T275">
            <v>1346241627</v>
          </cell>
          <cell r="BF275">
            <v>1.2488999999999999</v>
          </cell>
        </row>
        <row r="276">
          <cell r="T276">
            <v>1740278126</v>
          </cell>
          <cell r="BF276">
            <v>1.2823</v>
          </cell>
        </row>
        <row r="277">
          <cell r="T277">
            <v>1639630452</v>
          </cell>
          <cell r="BF277">
            <v>1.1778999999999999</v>
          </cell>
        </row>
        <row r="278">
          <cell r="T278">
            <v>1740386473</v>
          </cell>
          <cell r="BF278">
            <v>0.89680000000000004</v>
          </cell>
        </row>
        <row r="279">
          <cell r="T279">
            <v>1689628141</v>
          </cell>
          <cell r="BF279">
            <v>1.2423999999999999</v>
          </cell>
        </row>
        <row r="280">
          <cell r="T280">
            <v>1063838381</v>
          </cell>
          <cell r="BF280">
            <v>1.3185</v>
          </cell>
        </row>
        <row r="281">
          <cell r="T281">
            <v>1093708497</v>
          </cell>
          <cell r="BF281">
            <v>1.1548</v>
          </cell>
        </row>
        <row r="282">
          <cell r="T282">
            <v>1295733517</v>
          </cell>
          <cell r="BF282">
            <v>1.2948</v>
          </cell>
        </row>
        <row r="283">
          <cell r="T283">
            <v>1649268335</v>
          </cell>
          <cell r="BF283">
            <v>1.2048000000000001</v>
          </cell>
        </row>
        <row r="284">
          <cell r="T284">
            <v>1417368143</v>
          </cell>
          <cell r="BF284">
            <v>1.3317000000000001</v>
          </cell>
        </row>
        <row r="285">
          <cell r="T285">
            <v>1043263981</v>
          </cell>
          <cell r="BF285">
            <v>1.1227</v>
          </cell>
        </row>
        <row r="286">
          <cell r="T286">
            <v>1710244827</v>
          </cell>
          <cell r="BF286">
            <v>1.3788</v>
          </cell>
        </row>
        <row r="287">
          <cell r="T287">
            <v>1184712580</v>
          </cell>
          <cell r="BF287">
            <v>1.1011</v>
          </cell>
        </row>
        <row r="288">
          <cell r="T288">
            <v>1407843097</v>
          </cell>
          <cell r="BF288">
            <v>1.2513000000000001</v>
          </cell>
        </row>
        <row r="289">
          <cell r="T289">
            <v>1891346797</v>
          </cell>
          <cell r="BF289">
            <v>1.1143000000000001</v>
          </cell>
        </row>
        <row r="290">
          <cell r="T290">
            <v>1639122328</v>
          </cell>
          <cell r="BF290">
            <v>0.98409999999999997</v>
          </cell>
        </row>
        <row r="291">
          <cell r="T291">
            <v>1467016105</v>
          </cell>
          <cell r="BF291">
            <v>1.1664000000000001</v>
          </cell>
        </row>
        <row r="292">
          <cell r="T292">
            <v>1497283899</v>
          </cell>
          <cell r="BF292">
            <v>1.0347</v>
          </cell>
        </row>
        <row r="293">
          <cell r="T293">
            <v>1285687962</v>
          </cell>
          <cell r="BF293">
            <v>1.1191</v>
          </cell>
        </row>
        <row r="294">
          <cell r="T294">
            <v>1649224056</v>
          </cell>
          <cell r="BF294">
            <v>1.0965</v>
          </cell>
        </row>
        <row r="295">
          <cell r="T295">
            <v>1194779504</v>
          </cell>
          <cell r="BF295">
            <v>1.2385999999999999</v>
          </cell>
        </row>
        <row r="296">
          <cell r="T296">
            <v>1003869983</v>
          </cell>
          <cell r="BF296">
            <v>0.97409999999999997</v>
          </cell>
        </row>
        <row r="297">
          <cell r="T297">
            <v>1952354565</v>
          </cell>
          <cell r="BF297">
            <v>1.1071</v>
          </cell>
        </row>
        <row r="298">
          <cell r="T298">
            <v>1821414269</v>
          </cell>
          <cell r="BF298">
            <v>1.2612000000000001</v>
          </cell>
        </row>
        <row r="299">
          <cell r="T299">
            <v>1477537199</v>
          </cell>
          <cell r="BF299">
            <v>1.0652999999999999</v>
          </cell>
        </row>
        <row r="300">
          <cell r="T300">
            <v>1225588536</v>
          </cell>
          <cell r="BF300">
            <v>1.2423999999999999</v>
          </cell>
        </row>
        <row r="301">
          <cell r="T301">
            <v>1225279755</v>
          </cell>
          <cell r="BF301">
            <v>1.2763</v>
          </cell>
        </row>
        <row r="302">
          <cell r="T302">
            <v>1720166838</v>
          </cell>
          <cell r="BF302">
            <v>1.1574</v>
          </cell>
        </row>
        <row r="303">
          <cell r="T303">
            <v>1023358991</v>
          </cell>
          <cell r="BF303">
            <v>0.99919999999999998</v>
          </cell>
        </row>
        <row r="304">
          <cell r="T304">
            <v>1700833233</v>
          </cell>
          <cell r="BF304">
            <v>1.1718999999999999</v>
          </cell>
        </row>
        <row r="305">
          <cell r="T305">
            <v>1215982525</v>
          </cell>
          <cell r="BF305">
            <v>1.1776</v>
          </cell>
        </row>
        <row r="306">
          <cell r="T306">
            <v>1427003110</v>
          </cell>
          <cell r="BF306">
            <v>1.0713999999999999</v>
          </cell>
        </row>
        <row r="307">
          <cell r="T307">
            <v>1598710949</v>
          </cell>
          <cell r="BF307">
            <v>1.1682999999999999</v>
          </cell>
        </row>
        <row r="308">
          <cell r="T308">
            <v>1770538092</v>
          </cell>
          <cell r="BF308">
            <v>1.1347</v>
          </cell>
        </row>
        <row r="309">
          <cell r="T309">
            <v>1871548487</v>
          </cell>
          <cell r="BF309">
            <v>1.0486</v>
          </cell>
        </row>
        <row r="310">
          <cell r="T310">
            <v>1467407775</v>
          </cell>
          <cell r="BF310">
            <v>1.1006</v>
          </cell>
        </row>
        <row r="311">
          <cell r="T311">
            <v>1881993079</v>
          </cell>
          <cell r="BF311">
            <v>1.1067</v>
          </cell>
        </row>
        <row r="312">
          <cell r="T312">
            <v>1255379293</v>
          </cell>
          <cell r="BF312">
            <v>1.1395</v>
          </cell>
        </row>
        <row r="313">
          <cell r="T313">
            <v>1881648350</v>
          </cell>
          <cell r="BF313">
            <v>1.0541</v>
          </cell>
        </row>
        <row r="314">
          <cell r="T314">
            <v>1669410312</v>
          </cell>
          <cell r="BF314">
            <v>1.1589</v>
          </cell>
        </row>
        <row r="315">
          <cell r="T315">
            <v>1184705048</v>
          </cell>
          <cell r="BF315">
            <v>0.96399999999999997</v>
          </cell>
        </row>
        <row r="316">
          <cell r="T316">
            <v>1386187813</v>
          </cell>
          <cell r="BF316">
            <v>1.0526</v>
          </cell>
        </row>
        <row r="317">
          <cell r="T317">
            <v>1669449799</v>
          </cell>
          <cell r="BF317">
            <v>0.94540000000000002</v>
          </cell>
        </row>
        <row r="318">
          <cell r="T318">
            <v>1245285253</v>
          </cell>
          <cell r="BF318">
            <v>1.0933999999999999</v>
          </cell>
        </row>
        <row r="319">
          <cell r="T319">
            <v>1124015458</v>
          </cell>
          <cell r="BF319">
            <v>1.0728</v>
          </cell>
        </row>
        <row r="320">
          <cell r="T320">
            <v>1629047279</v>
          </cell>
          <cell r="BF320">
            <v>1.3745000000000001</v>
          </cell>
        </row>
        <row r="321">
          <cell r="T321">
            <v>1144299702</v>
          </cell>
          <cell r="BF321">
            <v>1.2454000000000001</v>
          </cell>
        </row>
        <row r="322">
          <cell r="T322">
            <v>1942279609</v>
          </cell>
          <cell r="BF322">
            <v>1.3262</v>
          </cell>
        </row>
        <row r="323">
          <cell r="T323">
            <v>1114996758</v>
          </cell>
          <cell r="BF323">
            <v>1.3416999999999999</v>
          </cell>
        </row>
        <row r="324">
          <cell r="T324">
            <v>1902875578</v>
          </cell>
          <cell r="BF324">
            <v>1.4278999999999999</v>
          </cell>
        </row>
        <row r="325">
          <cell r="T325">
            <v>1689640583</v>
          </cell>
          <cell r="BF325">
            <v>1.4181999999999999</v>
          </cell>
        </row>
        <row r="326">
          <cell r="T326">
            <v>1831125285</v>
          </cell>
          <cell r="BF326">
            <v>1.0336000000000001</v>
          </cell>
        </row>
        <row r="327">
          <cell r="T327">
            <v>1629515499</v>
          </cell>
          <cell r="BF327">
            <v>1.1675</v>
          </cell>
        </row>
        <row r="328">
          <cell r="T328">
            <v>1952766271</v>
          </cell>
          <cell r="BF328">
            <v>1.3395999999999999</v>
          </cell>
        </row>
        <row r="329">
          <cell r="T329">
            <v>1659319366</v>
          </cell>
          <cell r="BF329">
            <v>1.2152000000000001</v>
          </cell>
        </row>
        <row r="330">
          <cell r="T330">
            <v>1972050276</v>
          </cell>
          <cell r="BF330">
            <v>1.1893</v>
          </cell>
        </row>
        <row r="331">
          <cell r="T331">
            <v>1154369841</v>
          </cell>
          <cell r="BF331">
            <v>1.161</v>
          </cell>
        </row>
        <row r="332">
          <cell r="T332">
            <v>1639153919</v>
          </cell>
          <cell r="BF332">
            <v>1.0633999999999999</v>
          </cell>
        </row>
        <row r="333">
          <cell r="T333">
            <v>1043314602</v>
          </cell>
          <cell r="BF333">
            <v>1.3629</v>
          </cell>
        </row>
        <row r="334">
          <cell r="T334">
            <v>1700821865</v>
          </cell>
          <cell r="BF334">
            <v>1.2582</v>
          </cell>
        </row>
        <row r="335">
          <cell r="T335">
            <v>1902853781</v>
          </cell>
          <cell r="BF335">
            <v>1.3121</v>
          </cell>
        </row>
        <row r="336">
          <cell r="T336">
            <v>1235264219</v>
          </cell>
          <cell r="BF336">
            <v>1.1259999999999999</v>
          </cell>
        </row>
        <row r="337">
          <cell r="T337">
            <v>1366577355</v>
          </cell>
          <cell r="BF337">
            <v>1.0595000000000001</v>
          </cell>
        </row>
        <row r="338">
          <cell r="T338">
            <v>1033244090</v>
          </cell>
          <cell r="BF338">
            <v>1.1471</v>
          </cell>
        </row>
        <row r="339">
          <cell r="T339">
            <v>1699310839</v>
          </cell>
          <cell r="BF339">
            <v>1.1812</v>
          </cell>
        </row>
        <row r="340">
          <cell r="T340">
            <v>1770618720</v>
          </cell>
          <cell r="BF340">
            <v>1.2710999999999999</v>
          </cell>
        </row>
        <row r="341">
          <cell r="T341">
            <v>1356476311</v>
          </cell>
          <cell r="BF341">
            <v>1.1218999999999999</v>
          </cell>
        </row>
        <row r="342">
          <cell r="T342">
            <v>1528606225</v>
          </cell>
          <cell r="BF342">
            <v>1.4124000000000001</v>
          </cell>
        </row>
        <row r="343">
          <cell r="T343">
            <v>1669083291</v>
          </cell>
          <cell r="BF343">
            <v>1.0904</v>
          </cell>
        </row>
        <row r="344">
          <cell r="T344">
            <v>1629425491</v>
          </cell>
          <cell r="BF344">
            <v>1.2562</v>
          </cell>
        </row>
        <row r="345">
          <cell r="T345">
            <v>1629016340</v>
          </cell>
          <cell r="BF345">
            <v>1.1845000000000001</v>
          </cell>
        </row>
        <row r="346">
          <cell r="T346">
            <v>1750703278</v>
          </cell>
          <cell r="BF346">
            <v>1.0911</v>
          </cell>
        </row>
        <row r="347">
          <cell r="T347">
            <v>1215979059</v>
          </cell>
          <cell r="BF347">
            <v>1.0774999999999999</v>
          </cell>
        </row>
        <row r="348">
          <cell r="T348">
            <v>1821551797</v>
          </cell>
          <cell r="BF348">
            <v>1.1921999999999999</v>
          </cell>
        </row>
        <row r="349">
          <cell r="T349">
            <v>1992793962</v>
          </cell>
          <cell r="BF349">
            <v>1.3656999999999999</v>
          </cell>
        </row>
        <row r="350">
          <cell r="T350">
            <v>1023481520</v>
          </cell>
          <cell r="BF350">
            <v>1.0936999999999999</v>
          </cell>
        </row>
        <row r="351">
          <cell r="T351">
            <v>1174178313</v>
          </cell>
          <cell r="BF351">
            <v>1.1469</v>
          </cell>
        </row>
        <row r="352">
          <cell r="T352">
            <v>1487060893</v>
          </cell>
          <cell r="BF352">
            <v>1.3095000000000001</v>
          </cell>
        </row>
        <row r="353">
          <cell r="T353">
            <v>1629535455</v>
          </cell>
          <cell r="BF353">
            <v>1.1574</v>
          </cell>
        </row>
        <row r="354">
          <cell r="T354">
            <v>1265441208</v>
          </cell>
          <cell r="BF354">
            <v>1.07</v>
          </cell>
        </row>
        <row r="355">
          <cell r="T355">
            <v>1710537998</v>
          </cell>
          <cell r="BF355">
            <v>1.0602</v>
          </cell>
        </row>
        <row r="356">
          <cell r="T356">
            <v>1184196206</v>
          </cell>
          <cell r="BF356">
            <v>0.96340000000000003</v>
          </cell>
        </row>
        <row r="357">
          <cell r="T357">
            <v>1104950765</v>
          </cell>
          <cell r="BF357">
            <v>1.3105</v>
          </cell>
        </row>
        <row r="358">
          <cell r="T358">
            <v>1760462196</v>
          </cell>
          <cell r="BF358">
            <v>1.1443000000000001</v>
          </cell>
        </row>
        <row r="359">
          <cell r="T359">
            <v>1134298615</v>
          </cell>
          <cell r="BF359">
            <v>1.7821</v>
          </cell>
        </row>
        <row r="360">
          <cell r="T360">
            <v>1720088339</v>
          </cell>
          <cell r="BF360">
            <v>1.0241</v>
          </cell>
        </row>
        <row r="361">
          <cell r="T361">
            <v>1326143504</v>
          </cell>
          <cell r="BF361">
            <v>1.2232000000000001</v>
          </cell>
        </row>
        <row r="362">
          <cell r="T362">
            <v>1952486771</v>
          </cell>
          <cell r="BF362">
            <v>1.3134999999999999</v>
          </cell>
        </row>
        <row r="363">
          <cell r="T363">
            <v>1932107547</v>
          </cell>
          <cell r="BF363">
            <v>1.0578000000000001</v>
          </cell>
        </row>
        <row r="364">
          <cell r="T364">
            <v>1558391250</v>
          </cell>
          <cell r="BF364">
            <v>1.1789000000000001</v>
          </cell>
        </row>
        <row r="365">
          <cell r="T365">
            <v>1538137468</v>
          </cell>
          <cell r="BF365">
            <v>1.0668</v>
          </cell>
        </row>
        <row r="366">
          <cell r="T366">
            <v>1942583752</v>
          </cell>
          <cell r="BF366">
            <v>1.0165</v>
          </cell>
        </row>
        <row r="367">
          <cell r="T367">
            <v>1376542878</v>
          </cell>
          <cell r="BF367">
            <v>0.99019999999999997</v>
          </cell>
        </row>
        <row r="368">
          <cell r="T368">
            <v>1629511597</v>
          </cell>
          <cell r="BF368">
            <v>0.86719999999999997</v>
          </cell>
        </row>
        <row r="369">
          <cell r="T369">
            <v>1053953844</v>
          </cell>
          <cell r="BF369">
            <v>1.0730999999999999</v>
          </cell>
        </row>
        <row r="370">
          <cell r="T370">
            <v>1528040888</v>
          </cell>
          <cell r="BF370">
            <v>1.0041</v>
          </cell>
        </row>
        <row r="371">
          <cell r="T371">
            <v>1225000888</v>
          </cell>
          <cell r="BF371">
            <v>1.0461</v>
          </cell>
        </row>
        <row r="372">
          <cell r="T372">
            <v>1639556806</v>
          </cell>
          <cell r="BF372">
            <v>0.9</v>
          </cell>
        </row>
        <row r="373">
          <cell r="T373"/>
        </row>
        <row r="374">
          <cell r="T374"/>
          <cell r="BF374"/>
        </row>
        <row r="375">
          <cell r="T375"/>
        </row>
        <row r="376">
          <cell r="T376"/>
          <cell r="BF376"/>
        </row>
        <row r="377">
          <cell r="T377"/>
        </row>
        <row r="378">
          <cell r="T378"/>
        </row>
        <row r="379">
          <cell r="T379"/>
          <cell r="BF379">
            <v>1.1841824860165124</v>
          </cell>
        </row>
        <row r="380">
          <cell r="T380"/>
          <cell r="BF380"/>
        </row>
        <row r="381">
          <cell r="T381"/>
        </row>
        <row r="382">
          <cell r="T382"/>
        </row>
        <row r="383">
          <cell r="T383"/>
        </row>
        <row r="384">
          <cell r="T384">
            <v>1366552739</v>
          </cell>
          <cell r="BF384">
            <v>1.2574000000000001</v>
          </cell>
        </row>
        <row r="385">
          <cell r="T385">
            <v>1861504946</v>
          </cell>
          <cell r="BF385">
            <v>1.2343</v>
          </cell>
        </row>
        <row r="386">
          <cell r="T386">
            <v>1326519844</v>
          </cell>
          <cell r="BF386">
            <v>1.3263</v>
          </cell>
        </row>
        <row r="387">
          <cell r="T387">
            <v>1285656272</v>
          </cell>
          <cell r="BF387">
            <v>0.92720000000000002</v>
          </cell>
        </row>
        <row r="388">
          <cell r="T388"/>
        </row>
        <row r="389">
          <cell r="T389"/>
          <cell r="BF389"/>
        </row>
        <row r="390">
          <cell r="T390"/>
        </row>
        <row r="391">
          <cell r="T391"/>
        </row>
        <row r="392">
          <cell r="T392">
            <v>1730136250</v>
          </cell>
          <cell r="BF392">
            <v>1.1752</v>
          </cell>
        </row>
        <row r="393">
          <cell r="T393">
            <v>1861521635</v>
          </cell>
          <cell r="BF393">
            <v>1.3995</v>
          </cell>
        </row>
        <row r="394">
          <cell r="T394">
            <v>1891908687</v>
          </cell>
          <cell r="BF394">
            <v>1.2744</v>
          </cell>
        </row>
        <row r="395">
          <cell r="T395">
            <v>1932368586</v>
          </cell>
          <cell r="BF395">
            <v>1.1688924274286907</v>
          </cell>
        </row>
        <row r="396">
          <cell r="T396">
            <v>1306372230</v>
          </cell>
          <cell r="BF396">
            <v>1.2763</v>
          </cell>
        </row>
        <row r="397">
          <cell r="T397">
            <v>1437484672</v>
          </cell>
          <cell r="BF397">
            <v>1.2782</v>
          </cell>
        </row>
        <row r="398">
          <cell r="T398">
            <v>1982130811</v>
          </cell>
          <cell r="BF398">
            <v>1.2998000000000001</v>
          </cell>
        </row>
        <row r="399">
          <cell r="T399">
            <v>1124342241</v>
          </cell>
          <cell r="BF399">
            <v>1.2750999999999999</v>
          </cell>
        </row>
        <row r="400">
          <cell r="T400">
            <v>1669613071</v>
          </cell>
          <cell r="BF400">
            <v>1.2724</v>
          </cell>
        </row>
        <row r="401">
          <cell r="T401">
            <v>1518112036</v>
          </cell>
          <cell r="BF401">
            <v>1.0835999999999999</v>
          </cell>
        </row>
        <row r="402">
          <cell r="T402">
            <v>1114463932</v>
          </cell>
          <cell r="BF402">
            <v>1.2332000000000001</v>
          </cell>
        </row>
        <row r="403">
          <cell r="T403">
            <v>1194028118</v>
          </cell>
          <cell r="BF403">
            <v>1.1715</v>
          </cell>
        </row>
        <row r="404">
          <cell r="T404">
            <v>1255682522</v>
          </cell>
          <cell r="BF404">
            <v>1.1566000000000001</v>
          </cell>
        </row>
        <row r="405">
          <cell r="T405">
            <v>1588805014</v>
          </cell>
          <cell r="BF405">
            <v>1.2648999999999999</v>
          </cell>
        </row>
        <row r="406">
          <cell r="T406">
            <v>1962832899</v>
          </cell>
          <cell r="BF406">
            <v>1.1721999999999999</v>
          </cell>
        </row>
        <row r="407">
          <cell r="T407">
            <v>1710312079</v>
          </cell>
          <cell r="BF407">
            <v>1.3083</v>
          </cell>
        </row>
        <row r="408">
          <cell r="T408">
            <v>1992106348</v>
          </cell>
          <cell r="BF408">
            <v>1.2117</v>
          </cell>
        </row>
        <row r="409">
          <cell r="T409">
            <v>1376932889</v>
          </cell>
          <cell r="BF409">
            <v>1.0964</v>
          </cell>
        </row>
        <row r="410">
          <cell r="T410">
            <v>1912323635</v>
          </cell>
          <cell r="BF410">
            <v>1.2021999999999999</v>
          </cell>
        </row>
        <row r="411">
          <cell r="T411">
            <v>1841697422</v>
          </cell>
          <cell r="BF411">
            <v>0.82030000000000003</v>
          </cell>
        </row>
        <row r="412">
          <cell r="T412">
            <v>1003205337</v>
          </cell>
          <cell r="BF412">
            <v>1.1976</v>
          </cell>
        </row>
        <row r="413">
          <cell r="T413">
            <v>1477137628</v>
          </cell>
          <cell r="BF413">
            <v>1.2234</v>
          </cell>
        </row>
        <row r="414">
          <cell r="T414">
            <v>1992998504</v>
          </cell>
          <cell r="BF414">
            <v>0.95250000000000001</v>
          </cell>
        </row>
        <row r="415">
          <cell r="T415">
            <v>1093228397</v>
          </cell>
          <cell r="BF415">
            <v>1.1013999999999999</v>
          </cell>
        </row>
        <row r="416">
          <cell r="T416">
            <v>1558872333</v>
          </cell>
          <cell r="BF416">
            <v>1.0947</v>
          </cell>
        </row>
        <row r="417">
          <cell r="T417">
            <v>1730183625</v>
          </cell>
          <cell r="BF417">
            <v>0.89400000000000002</v>
          </cell>
        </row>
        <row r="418">
          <cell r="T418">
            <v>1033611959</v>
          </cell>
          <cell r="BF418">
            <v>1.0425</v>
          </cell>
        </row>
        <row r="419">
          <cell r="T419"/>
          <cell r="BF419"/>
        </row>
        <row r="420">
          <cell r="T420">
            <v>1851362487</v>
          </cell>
          <cell r="BF420"/>
        </row>
        <row r="421">
          <cell r="T421"/>
          <cell r="BF421"/>
        </row>
        <row r="422">
          <cell r="T422">
            <v>1750305033</v>
          </cell>
          <cell r="BF422">
            <v>1.1841824860165124</v>
          </cell>
        </row>
        <row r="423">
          <cell r="T423">
            <v>1205389657</v>
          </cell>
          <cell r="BF423">
            <v>1.1841824860165124</v>
          </cell>
        </row>
        <row r="424">
          <cell r="T424">
            <v>1710999842</v>
          </cell>
          <cell r="BF424">
            <v>1.1841824860165124</v>
          </cell>
        </row>
        <row r="425">
          <cell r="T425"/>
          <cell r="BF425">
            <v>0</v>
          </cell>
        </row>
        <row r="426">
          <cell r="T426"/>
          <cell r="BF426">
            <v>0</v>
          </cell>
        </row>
        <row r="427">
          <cell r="T427"/>
          <cell r="BF427"/>
        </row>
        <row r="436">
          <cell r="T436"/>
          <cell r="BF436">
            <v>1.1688924274286907</v>
          </cell>
        </row>
        <row r="437">
          <cell r="T437"/>
          <cell r="BF437">
            <v>1.1688924274286907</v>
          </cell>
        </row>
        <row r="438">
          <cell r="T438"/>
          <cell r="BF438">
            <v>1.1688924274286907</v>
          </cell>
        </row>
        <row r="439">
          <cell r="T439"/>
          <cell r="BF439">
            <v>1.1688924274286907</v>
          </cell>
        </row>
        <row r="440">
          <cell r="T440"/>
          <cell r="BF440">
            <v>1.1688924274286907</v>
          </cell>
        </row>
        <row r="441">
          <cell r="T441"/>
          <cell r="BF441">
            <v>1.1688924274286907</v>
          </cell>
        </row>
        <row r="442">
          <cell r="T442"/>
          <cell r="BF442">
            <v>1.1688924274286907</v>
          </cell>
        </row>
        <row r="443">
          <cell r="T443"/>
          <cell r="BF443">
            <v>1.1688924274286907</v>
          </cell>
        </row>
        <row r="444">
          <cell r="T444"/>
          <cell r="BF444">
            <v>1.1688924274286907</v>
          </cell>
        </row>
        <row r="445">
          <cell r="T445"/>
          <cell r="BF445">
            <v>1.1688924274286907</v>
          </cell>
        </row>
        <row r="446">
          <cell r="T446"/>
          <cell r="BF446">
            <v>1.1688924274286907</v>
          </cell>
        </row>
        <row r="447">
          <cell r="T447"/>
          <cell r="BF447">
            <v>1.1688924274286907</v>
          </cell>
        </row>
        <row r="448">
          <cell r="T448"/>
          <cell r="BF448">
            <v>1.1688924274286907</v>
          </cell>
        </row>
        <row r="449">
          <cell r="T449"/>
          <cell r="BF449">
            <v>1.1688924274286907</v>
          </cell>
        </row>
        <row r="450">
          <cell r="T450"/>
          <cell r="BF450">
            <v>1.1688924274286907</v>
          </cell>
        </row>
        <row r="451">
          <cell r="T451"/>
          <cell r="BF451">
            <v>1.1688924274286907</v>
          </cell>
        </row>
        <row r="452">
          <cell r="T452"/>
          <cell r="BF452">
            <v>1.1688924274286907</v>
          </cell>
        </row>
        <row r="453">
          <cell r="T453"/>
          <cell r="BF453">
            <v>1.1688924274286907</v>
          </cell>
        </row>
        <row r="454">
          <cell r="T454"/>
          <cell r="BF454">
            <v>1.1688924274286907</v>
          </cell>
        </row>
        <row r="455">
          <cell r="T455"/>
          <cell r="BF455">
            <v>1.1688924274286907</v>
          </cell>
        </row>
        <row r="456">
          <cell r="T456"/>
          <cell r="BF456">
            <v>1.1688924274286907</v>
          </cell>
        </row>
        <row r="457">
          <cell r="T457"/>
          <cell r="BF457">
            <v>1.1688924274286907</v>
          </cell>
        </row>
        <row r="458">
          <cell r="T458"/>
          <cell r="BF458">
            <v>1.1688924274286907</v>
          </cell>
        </row>
        <row r="459">
          <cell r="T459"/>
          <cell r="BF459">
            <v>1.1688924274286907</v>
          </cell>
        </row>
        <row r="460">
          <cell r="T460"/>
          <cell r="BF460">
            <v>1.1688924274286907</v>
          </cell>
        </row>
        <row r="461">
          <cell r="T461"/>
          <cell r="BF461">
            <v>1.1688924274286907</v>
          </cell>
        </row>
        <row r="462">
          <cell r="T462"/>
          <cell r="BF462">
            <v>1.1688924274286907</v>
          </cell>
        </row>
        <row r="463">
          <cell r="T463"/>
          <cell r="BF463">
            <v>1.1688924274286907</v>
          </cell>
        </row>
        <row r="464">
          <cell r="T464"/>
          <cell r="BF464">
            <v>1.1688924274286907</v>
          </cell>
        </row>
        <row r="465">
          <cell r="T465"/>
          <cell r="BF465">
            <v>1.1688924274286907</v>
          </cell>
        </row>
        <row r="466">
          <cell r="T466"/>
          <cell r="BF466"/>
        </row>
        <row r="467">
          <cell r="T467">
            <v>1144256694</v>
          </cell>
          <cell r="BF467"/>
        </row>
        <row r="468">
          <cell r="T468">
            <v>1891007506</v>
          </cell>
          <cell r="BF468"/>
        </row>
        <row r="469">
          <cell r="T469">
            <v>1659365666</v>
          </cell>
          <cell r="BF469"/>
        </row>
        <row r="470">
          <cell r="T470">
            <v>1457709891</v>
          </cell>
          <cell r="BF470"/>
        </row>
        <row r="471">
          <cell r="T471">
            <v>1386688703</v>
          </cell>
          <cell r="BF471"/>
        </row>
        <row r="472">
          <cell r="T472">
            <v>1187450150</v>
          </cell>
          <cell r="BF472"/>
        </row>
        <row r="473">
          <cell r="T473">
            <v>1124094008</v>
          </cell>
          <cell r="BF473"/>
        </row>
        <row r="474">
          <cell r="T474">
            <v>1366418246</v>
          </cell>
          <cell r="BF474">
            <v>1.1688924274286907</v>
          </cell>
        </row>
        <row r="475">
          <cell r="T475">
            <v>1437110913</v>
          </cell>
          <cell r="BF475">
            <v>1.1688924274286907</v>
          </cell>
        </row>
        <row r="476">
          <cell r="T476">
            <v>1073592358</v>
          </cell>
          <cell r="BF476">
            <v>1.1688924274286907</v>
          </cell>
        </row>
        <row r="477">
          <cell r="T477">
            <v>1841617552</v>
          </cell>
          <cell r="BF477">
            <v>1.1688924274286907</v>
          </cell>
        </row>
        <row r="478">
          <cell r="T478">
            <v>1891871901</v>
          </cell>
          <cell r="BF478">
            <v>1.1688924274286907</v>
          </cell>
        </row>
        <row r="479">
          <cell r="T479"/>
          <cell r="BF479"/>
        </row>
        <row r="480">
          <cell r="T480"/>
          <cell r="BF480"/>
        </row>
        <row r="481">
          <cell r="T481"/>
          <cell r="BF481"/>
        </row>
        <row r="627">
          <cell r="T627"/>
          <cell r="BF627">
            <v>57</v>
          </cell>
        </row>
      </sheetData>
      <sheetData sheetId="4"/>
      <sheetData sheetId="5"/>
      <sheetData sheetId="6"/>
      <sheetData sheetId="7"/>
      <sheetData sheetId="8"/>
      <sheetData sheetId="9">
        <row r="1">
          <cell r="B1" t="str">
            <v>FRV Computation</v>
          </cell>
        </row>
        <row r="2">
          <cell r="B2"/>
        </row>
        <row r="3">
          <cell r="B3" t="str">
            <v>Input Assumptions</v>
          </cell>
        </row>
        <row r="4">
          <cell r="B4" t="str">
            <v>RS Means Hist Cost Factor (psf)</v>
          </cell>
          <cell r="F4">
            <v>170.02</v>
          </cell>
        </row>
        <row r="5">
          <cell r="B5" t="str">
            <v>RS Means Hist Cost Index Factor</v>
          </cell>
        </row>
        <row r="6">
          <cell r="B6" t="str">
            <v>Land Factor</v>
          </cell>
        </row>
        <row r="7">
          <cell r="B7" t="str">
            <v>RS Means Location Factor</v>
          </cell>
        </row>
        <row r="8">
          <cell r="B8" t="str">
            <v>Imputed Square Feet, less than 90 beds</v>
          </cell>
        </row>
        <row r="9">
          <cell r="B9" t="str">
            <v>Imputed Square Feet, greater than 90 beds</v>
          </cell>
        </row>
        <row r="10">
          <cell r="B10" t="str">
            <v>Implied Per Bed Value of Moveable Equipment</v>
          </cell>
        </row>
        <row r="11">
          <cell r="B11" t="str">
            <v>RS Means Equipment Replacement Factor</v>
          </cell>
        </row>
        <row r="12">
          <cell r="B12" t="str">
            <v>Depreciation Rate</v>
          </cell>
        </row>
        <row r="13">
          <cell r="B13" t="str">
            <v>Maximum Depreciable Value</v>
          </cell>
        </row>
        <row r="14">
          <cell r="B14" t="str">
            <v>FRV Rental Rate (10-Year USTB (3 yr. rolling avg) + 300 bps)</v>
          </cell>
        </row>
        <row r="15">
          <cell r="B15" t="str">
            <v>Occupancy Assumption for FRV per bed</v>
          </cell>
        </row>
        <row r="16">
          <cell r="B16" t="str">
            <v>Capital Cost</v>
          </cell>
        </row>
        <row r="17">
          <cell r="B17" t="str">
            <v>Max Allowable Facility Age, Default Facility Age (no info)</v>
          </cell>
        </row>
        <row r="18">
          <cell r="B18" t="str">
            <v>Indirect Rate Carveout</v>
          </cell>
        </row>
        <row r="19">
          <cell r="B19" t="str">
            <v>Current Year For Aging Purposes</v>
          </cell>
        </row>
        <row r="20">
          <cell r="B20" t="str">
            <v>Days in Cost Report Year</v>
          </cell>
        </row>
        <row r="21">
          <cell r="B21" t="str">
            <v>Use Updated FRV Methodology Effective 10/1/2021</v>
          </cell>
        </row>
        <row r="22">
          <cell r="B22" t="str">
            <v>Use Updated TW CMIsfor Rates Effective 4/1/2022</v>
          </cell>
        </row>
        <row r="28">
          <cell r="F28"/>
        </row>
        <row r="29">
          <cell r="F29"/>
        </row>
        <row r="30">
          <cell r="F30"/>
        </row>
        <row r="31">
          <cell r="F31"/>
        </row>
        <row r="32">
          <cell r="B32" t="str">
            <v>Facility Name</v>
          </cell>
          <cell r="F32" t="str">
            <v>NPI</v>
          </cell>
        </row>
        <row r="33">
          <cell r="B33" t="str">
            <v>Abernethy Laurels</v>
          </cell>
          <cell r="F33">
            <v>1245227578</v>
          </cell>
        </row>
        <row r="34">
          <cell r="B34" t="str">
            <v>Alamance Health Care Center</v>
          </cell>
          <cell r="F34">
            <v>1114501442</v>
          </cell>
        </row>
        <row r="35">
          <cell r="B35" t="str">
            <v>Alexandria Place</v>
          </cell>
          <cell r="F35">
            <v>1245337880</v>
          </cell>
        </row>
        <row r="36">
          <cell r="B36" t="str">
            <v>THE MARGATE HEALTH &amp; REHAB CENTER</v>
          </cell>
          <cell r="F36">
            <v>1962505313</v>
          </cell>
        </row>
        <row r="37">
          <cell r="B37" t="str">
            <v>Pelican Health at Asheville</v>
          </cell>
          <cell r="F37">
            <v>1396202024</v>
          </cell>
        </row>
        <row r="38">
          <cell r="B38" t="str">
            <v>Aston Park Health Care, Inc.</v>
          </cell>
          <cell r="F38">
            <v>1194722629</v>
          </cell>
        </row>
        <row r="39">
          <cell r="B39" t="str">
            <v>Autumn Care Of Biscoe</v>
          </cell>
          <cell r="F39">
            <v>1255878245</v>
          </cell>
        </row>
        <row r="40">
          <cell r="B40" t="str">
            <v>Autumn Care Of Drexel</v>
          </cell>
          <cell r="F40">
            <v>1275519506</v>
          </cell>
        </row>
        <row r="41">
          <cell r="B41" t="str">
            <v>FAIR HAVEN AT FOREST CITY</v>
          </cell>
          <cell r="F41">
            <v>1770995094</v>
          </cell>
        </row>
        <row r="42">
          <cell r="B42" t="str">
            <v>Autumn Care Of Marion</v>
          </cell>
          <cell r="F42">
            <v>1609852375</v>
          </cell>
        </row>
        <row r="43">
          <cell r="B43" t="str">
            <v>Autumn Care Of Marshville</v>
          </cell>
          <cell r="F43">
            <v>1093791337</v>
          </cell>
        </row>
        <row r="44">
          <cell r="B44" t="str">
            <v>Davie Nursing &amp; Rehabilitation Center</v>
          </cell>
          <cell r="F44">
            <v>1912485517</v>
          </cell>
        </row>
        <row r="45">
          <cell r="B45" t="str">
            <v>Autumn Care Of Myrtle Grove</v>
          </cell>
          <cell r="F45">
            <v>1073599635</v>
          </cell>
        </row>
        <row r="46">
          <cell r="B46" t="str">
            <v>Autumn Care Of Nash</v>
          </cell>
          <cell r="F46">
            <v>1053396788</v>
          </cell>
        </row>
        <row r="47">
          <cell r="B47" t="str">
            <v>Autumn Care Of Raeford</v>
          </cell>
          <cell r="F47">
            <v>1851377543</v>
          </cell>
        </row>
        <row r="48">
          <cell r="B48" t="str">
            <v>Rich Square Nursing And Rehabilitation</v>
          </cell>
          <cell r="F48">
            <v>1598127276</v>
          </cell>
        </row>
        <row r="49">
          <cell r="B49" t="str">
            <v>Autumn Care Of Salisbury</v>
          </cell>
          <cell r="F49">
            <v>1508842295</v>
          </cell>
        </row>
        <row r="50">
          <cell r="B50" t="str">
            <v>Autumn Care Of Saluda</v>
          </cell>
          <cell r="F50">
            <v>1639155302</v>
          </cell>
        </row>
        <row r="51">
          <cell r="B51" t="str">
            <v>Autumn Care Of Shallotte</v>
          </cell>
          <cell r="F51">
            <v>1346226040</v>
          </cell>
        </row>
        <row r="52">
          <cell r="B52" t="str">
            <v>Autumn Care Of Statesville</v>
          </cell>
          <cell r="F52">
            <v>1730722240</v>
          </cell>
        </row>
        <row r="53">
          <cell r="B53" t="str">
            <v>Autumn Care Of Waynesville</v>
          </cell>
          <cell r="F53">
            <v>1528044294</v>
          </cell>
        </row>
        <row r="54">
          <cell r="B54" t="str">
            <v>Pelican Health Randolph</v>
          </cell>
          <cell r="F54">
            <v>1962052498</v>
          </cell>
        </row>
        <row r="55">
          <cell r="B55" t="str">
            <v>Accordius Health At Concord</v>
          </cell>
          <cell r="F55">
            <v>1871143305</v>
          </cell>
        </row>
        <row r="56">
          <cell r="B56" t="str">
            <v>Pelican Health Reidsville</v>
          </cell>
          <cell r="F56">
            <v>1225688757</v>
          </cell>
        </row>
        <row r="57">
          <cell r="B57" t="str">
            <v>ACCORDIUS HEALTH AT WILKESBORO</v>
          </cell>
          <cell r="F57">
            <v>1841840378</v>
          </cell>
        </row>
        <row r="58">
          <cell r="B58" t="str">
            <v>ACCORDIUS HEALTH AT WILSON</v>
          </cell>
          <cell r="F58">
            <v>1760032296</v>
          </cell>
        </row>
        <row r="59">
          <cell r="B59" t="str">
            <v>Brookridge Retirement Community</v>
          </cell>
          <cell r="F59">
            <v>1295723377</v>
          </cell>
        </row>
        <row r="60">
          <cell r="B60" t="str">
            <v>Bayview Nursing &amp; Rehabilitation Center</v>
          </cell>
          <cell r="F60">
            <v>1649254582</v>
          </cell>
        </row>
        <row r="61">
          <cell r="B61" t="str">
            <v>Belaire Health Care Center</v>
          </cell>
          <cell r="F61">
            <v>1316512346</v>
          </cell>
        </row>
        <row r="62">
          <cell r="B62" t="str">
            <v>Bethesda Health Care Facility</v>
          </cell>
          <cell r="F62">
            <v>1992724157</v>
          </cell>
        </row>
        <row r="63">
          <cell r="B63" t="str">
            <v>Accordius Heath At Asheville</v>
          </cell>
          <cell r="F63">
            <v>1578059085</v>
          </cell>
        </row>
        <row r="64">
          <cell r="B64" t="str">
            <v xml:space="preserve">Pelican Health at Charlotte </v>
          </cell>
          <cell r="F64">
            <v>1114480233</v>
          </cell>
        </row>
        <row r="65">
          <cell r="B65" t="str">
            <v>Accordius Health at Greensboro</v>
          </cell>
          <cell r="F65">
            <v>1689147035</v>
          </cell>
        </row>
        <row r="66">
          <cell r="B66" t="str">
            <v>MacGregor Downs Health Center by Harborview</v>
          </cell>
          <cell r="F66">
            <v>1184174484</v>
          </cell>
        </row>
        <row r="67">
          <cell r="B67" t="str">
            <v xml:space="preserve">Blue Ridge Health And Rehabilitation Center </v>
          </cell>
          <cell r="F67">
            <v>1578013876</v>
          </cell>
        </row>
        <row r="68">
          <cell r="B68" t="str">
            <v>Harborview Lumberton</v>
          </cell>
          <cell r="F68">
            <v>1437609732</v>
          </cell>
        </row>
        <row r="69">
          <cell r="B69" t="str">
            <v>The Citadel at Myers Park</v>
          </cell>
          <cell r="F69">
            <v>1336602358</v>
          </cell>
        </row>
        <row r="70">
          <cell r="B70" t="str">
            <v>Carolina Pines at Greensboro</v>
          </cell>
          <cell r="F70">
            <v>1215400668</v>
          </cell>
        </row>
        <row r="71">
          <cell r="B71" t="str">
            <v>Edgecombe Health &amp; Rehab Ctr by Harborview</v>
          </cell>
          <cell r="F71">
            <v>1003366311</v>
          </cell>
        </row>
        <row r="72">
          <cell r="B72" t="str">
            <v>Big Elm Retirement And Nursing Ctr, Inc</v>
          </cell>
          <cell r="F72">
            <v>1174608350</v>
          </cell>
        </row>
        <row r="73">
          <cell r="B73" t="str">
            <v>Carolina Pines At Asheville</v>
          </cell>
          <cell r="F73">
            <v>1225524747</v>
          </cell>
        </row>
        <row r="74">
          <cell r="B74" t="str">
            <v>Universal Healthcare - Blumenthal</v>
          </cell>
          <cell r="F74">
            <v>1295704997</v>
          </cell>
        </row>
        <row r="75">
          <cell r="B75" t="str">
            <v>Brian Center Southpoint</v>
          </cell>
          <cell r="F75">
            <v>1578683439</v>
          </cell>
        </row>
        <row r="76">
          <cell r="B76" t="str">
            <v>Brian Center Health &amp; Rehab/Goldsboro</v>
          </cell>
          <cell r="F76">
            <v>1104946060</v>
          </cell>
        </row>
        <row r="77">
          <cell r="B77" t="str">
            <v>Brian Center Hlth &amp; Rehab/Hendersonville</v>
          </cell>
          <cell r="F77">
            <v>1326169285</v>
          </cell>
        </row>
        <row r="78">
          <cell r="B78" t="str">
            <v>Brian Center Health &amp; Rehab/Hickory East</v>
          </cell>
          <cell r="F78">
            <v>1730209677</v>
          </cell>
        </row>
        <row r="79">
          <cell r="B79" t="str">
            <v>Brian Center Health &amp; Rehab/Spruce Pine</v>
          </cell>
          <cell r="F79">
            <v>1710008669</v>
          </cell>
        </row>
        <row r="80">
          <cell r="B80" t="str">
            <v>Brian Center Health &amp; Rehab/Wallace</v>
          </cell>
          <cell r="F80">
            <v>1609996552</v>
          </cell>
        </row>
        <row r="81">
          <cell r="B81" t="str">
            <v>Haywood Nursing &amp; Rehabilitation Center</v>
          </cell>
          <cell r="F81">
            <v>1912027871</v>
          </cell>
        </row>
        <row r="82">
          <cell r="B82" t="str">
            <v>Brian Center Health &amp; Rehab/Weaverville</v>
          </cell>
          <cell r="F82">
            <v>1629198577</v>
          </cell>
        </row>
        <row r="83">
          <cell r="B83" t="str">
            <v>Brian Center Health &amp; Rehab/Wilson</v>
          </cell>
          <cell r="F83">
            <v>1639299571</v>
          </cell>
        </row>
        <row r="84">
          <cell r="B84" t="str">
            <v>Brian Center Health &amp; Rehab/Windsor</v>
          </cell>
          <cell r="F84">
            <v>1831219781</v>
          </cell>
        </row>
        <row r="85">
          <cell r="B85" t="str">
            <v>Brian Center Health &amp; Rehab/Yanceyville</v>
          </cell>
          <cell r="F85">
            <v>1518088830</v>
          </cell>
        </row>
        <row r="86">
          <cell r="B86" t="str">
            <v>Brian Center Health &amp; Retire/Cabarrus</v>
          </cell>
          <cell r="F86">
            <v>1740300607</v>
          </cell>
        </row>
        <row r="87">
          <cell r="B87" t="str">
            <v>Brian Center Health &amp; Retire/Clayton</v>
          </cell>
          <cell r="F87">
            <v>1134249006</v>
          </cell>
        </row>
        <row r="88">
          <cell r="B88" t="str">
            <v>Brian Center Health &amp; Retire/Lincolnton</v>
          </cell>
          <cell r="F88">
            <v>1740301050</v>
          </cell>
        </row>
        <row r="89">
          <cell r="B89" t="str">
            <v>Accordius Health at Monroe</v>
          </cell>
          <cell r="F89">
            <v>1598233645</v>
          </cell>
        </row>
        <row r="90">
          <cell r="B90" t="str">
            <v>Accordius Health at Mooresville</v>
          </cell>
          <cell r="F90">
            <v>1659849701</v>
          </cell>
        </row>
        <row r="91">
          <cell r="B91" t="str">
            <v>Accordius Health At Winston-Salem</v>
          </cell>
          <cell r="F91">
            <v>1205357878</v>
          </cell>
        </row>
        <row r="92">
          <cell r="B92" t="str">
            <v>Accordius Health At Brevard</v>
          </cell>
          <cell r="F92">
            <v>1063919652</v>
          </cell>
        </row>
        <row r="93">
          <cell r="B93" t="str">
            <v>Accordius Health at Charlotte</v>
          </cell>
          <cell r="F93">
            <v>1518435650</v>
          </cell>
        </row>
        <row r="94">
          <cell r="B94" t="str">
            <v>Brian Center Health &amp; Rehab/Eden</v>
          </cell>
          <cell r="F94">
            <v>1245350289</v>
          </cell>
        </row>
        <row r="95">
          <cell r="B95" t="str">
            <v>Brian Center Health &amp; Rehab/Gastonia</v>
          </cell>
          <cell r="F95">
            <v>1346360328</v>
          </cell>
        </row>
        <row r="96">
          <cell r="B96" t="str">
            <v>Brian Center Health &amp; Rehab/Hertford</v>
          </cell>
          <cell r="F96">
            <v>1861513715</v>
          </cell>
        </row>
        <row r="97">
          <cell r="B97" t="str">
            <v>Accordius Health At Salisbury</v>
          </cell>
          <cell r="F97">
            <v>1932606530</v>
          </cell>
        </row>
        <row r="98">
          <cell r="B98" t="str">
            <v>Accordius Health at Statesville</v>
          </cell>
          <cell r="F98">
            <v>1972071033</v>
          </cell>
        </row>
        <row r="99">
          <cell r="B99" t="str">
            <v>Brian Center Health &amp; Rehab / Hickory Viewmo</v>
          </cell>
          <cell r="F99">
            <v>1619099520</v>
          </cell>
        </row>
        <row r="100">
          <cell r="B100" t="str">
            <v>Accordius Health At Lexington</v>
          </cell>
          <cell r="F100">
            <v>1598262198</v>
          </cell>
        </row>
        <row r="101">
          <cell r="B101" t="str">
            <v>Accordius Health at Midwood</v>
          </cell>
          <cell r="F101">
            <v>1437627593</v>
          </cell>
        </row>
        <row r="102">
          <cell r="B102" t="str">
            <v>Brightmoor Nursing Center</v>
          </cell>
          <cell r="F102">
            <v>1235236878</v>
          </cell>
        </row>
        <row r="103">
          <cell r="B103" t="str">
            <v>Parkview Health And Rehabilitation</v>
          </cell>
          <cell r="F103">
            <v>1033611959</v>
          </cell>
        </row>
        <row r="104">
          <cell r="B104" t="str">
            <v>Ayden Court Nursing And Rehabilitation Center</v>
          </cell>
          <cell r="F104">
            <v>1356372650</v>
          </cell>
        </row>
        <row r="105">
          <cell r="B105" t="str">
            <v>University Place Nursing And Rehabiliation Center</v>
          </cell>
          <cell r="F105">
            <v>1669408969</v>
          </cell>
        </row>
        <row r="106">
          <cell r="B106" t="str">
            <v>Smoky Mountain Health And Rehabilitation Center</v>
          </cell>
          <cell r="F106">
            <v>1861504946</v>
          </cell>
        </row>
        <row r="107">
          <cell r="B107" t="str">
            <v>Pine Ridge Health And Rehabilitation Center</v>
          </cell>
          <cell r="F107">
            <v>1982640785</v>
          </cell>
        </row>
        <row r="108">
          <cell r="B108" t="str">
            <v>Chowan River Nursing And Rehabilitation Center</v>
          </cell>
          <cell r="F108">
            <v>1083659692</v>
          </cell>
        </row>
        <row r="109">
          <cell r="B109" t="str">
            <v>Enfield Oaks Nursing And Rehabilitation Center</v>
          </cell>
          <cell r="F109">
            <v>1821024274</v>
          </cell>
        </row>
        <row r="110">
          <cell r="B110" t="str">
            <v>Macon Valley Nursing And Rehabilitation Center</v>
          </cell>
          <cell r="F110">
            <v>1457397952</v>
          </cell>
        </row>
        <row r="111">
          <cell r="B111" t="str">
            <v>Willow Creek Nursing And Rehabilitation Center</v>
          </cell>
          <cell r="F111">
            <v>1508802497</v>
          </cell>
        </row>
        <row r="112">
          <cell r="B112" t="str">
            <v>Graham Healthcare And Rehabilitation Center</v>
          </cell>
          <cell r="F112">
            <v>1366487464</v>
          </cell>
        </row>
        <row r="113">
          <cell r="B113" t="str">
            <v>Greenhaven Health And Rehabilitation Center</v>
          </cell>
          <cell r="F113">
            <v>1619908977</v>
          </cell>
        </row>
        <row r="114">
          <cell r="B114" t="str">
            <v>Richmond Pines Heathcare And Rehabilitation Center</v>
          </cell>
          <cell r="F114">
            <v>1689603060</v>
          </cell>
        </row>
        <row r="115">
          <cell r="B115" t="str">
            <v>Harnett Woods Nursing And Rehabilitation Center</v>
          </cell>
          <cell r="F115">
            <v>1285665539</v>
          </cell>
        </row>
        <row r="116">
          <cell r="B116" t="str">
            <v>Cherry Point Bay Nursing And Rehabilitation Center</v>
          </cell>
          <cell r="F116">
            <v>1699710293</v>
          </cell>
        </row>
        <row r="117">
          <cell r="B117" t="str">
            <v>Kerr Lake Nursing And Rehabilitation Center</v>
          </cell>
          <cell r="F117">
            <v>1972547321</v>
          </cell>
        </row>
        <row r="118">
          <cell r="B118" t="str">
            <v>Premier Nursing And Rehabilitation Center</v>
          </cell>
          <cell r="F118">
            <v>1962447565</v>
          </cell>
        </row>
        <row r="119">
          <cell r="B119" t="str">
            <v>Piney Grove Nursing And Rehabilitation Center</v>
          </cell>
          <cell r="F119">
            <v>1811923931</v>
          </cell>
        </row>
        <row r="120">
          <cell r="B120" t="str">
            <v>Harmony Hall Nursing And Rehabilitation Center</v>
          </cell>
          <cell r="F120">
            <v>1932145836</v>
          </cell>
        </row>
        <row r="121">
          <cell r="B121" t="str">
            <v>Franklin Oaks Nursing And Rehabilitation Center</v>
          </cell>
          <cell r="F121">
            <v>1376570275</v>
          </cell>
        </row>
        <row r="122">
          <cell r="B122" t="str">
            <v>Jacob'S Creek Nursing And Rehabilitation Center</v>
          </cell>
          <cell r="F122">
            <v>1255367447</v>
          </cell>
        </row>
        <row r="123">
          <cell r="B123" t="str">
            <v>Magnolia Lane Nursing And Rehabilitation Center</v>
          </cell>
          <cell r="F123">
            <v>1952337073</v>
          </cell>
        </row>
        <row r="124">
          <cell r="B124" t="str">
            <v>Riverpoint Crest Nursing And Rehabilitation Center</v>
          </cell>
          <cell r="F124">
            <v>1659307395</v>
          </cell>
        </row>
        <row r="125">
          <cell r="B125" t="str">
            <v>Croatan Ridge Nursing And Rehabilitation Center</v>
          </cell>
          <cell r="F125">
            <v>1942236161</v>
          </cell>
        </row>
        <row r="126">
          <cell r="B126" t="str">
            <v>Northchase Nursing And Rehabilitation Center</v>
          </cell>
          <cell r="F126">
            <v>1396771515</v>
          </cell>
        </row>
        <row r="127">
          <cell r="B127" t="str">
            <v>Carolina Rivers Nursing And Rehabilitation Center</v>
          </cell>
          <cell r="F127">
            <v>1558393835</v>
          </cell>
        </row>
        <row r="128">
          <cell r="B128" t="str">
            <v>Peak Resources Outer Banks</v>
          </cell>
          <cell r="F128">
            <v>1265816185</v>
          </cell>
        </row>
        <row r="129">
          <cell r="B129" t="str">
            <v>Grantsbrook Nursing And Rehabilitation Center</v>
          </cell>
          <cell r="F129">
            <v>1407882830</v>
          </cell>
        </row>
        <row r="130">
          <cell r="B130" t="str">
            <v>Bethany Woods Nursing And Rehabilitation Center</v>
          </cell>
          <cell r="F130">
            <v>1235175175</v>
          </cell>
        </row>
        <row r="131">
          <cell r="B131" t="str">
            <v>Barbour Court Nursing And Rehabilitation Center</v>
          </cell>
          <cell r="F131">
            <v>1225064777</v>
          </cell>
        </row>
        <row r="132">
          <cell r="B132" t="str">
            <v>Greendale Forest Nursing And Rehabilitation Center</v>
          </cell>
          <cell r="F132">
            <v>1063458958</v>
          </cell>
        </row>
        <row r="133">
          <cell r="B133" t="str">
            <v>River Trace Nursing And Rehabilitation Center</v>
          </cell>
          <cell r="F133">
            <v>1750317897</v>
          </cell>
        </row>
        <row r="134">
          <cell r="B134" t="str">
            <v>Westwood Hills Nursing And Rehabilitation Center</v>
          </cell>
          <cell r="F134">
            <v>1184650541</v>
          </cell>
        </row>
        <row r="135">
          <cell r="B135" t="str">
            <v>Wilson Pines Nursing And Rehabilitation Center</v>
          </cell>
          <cell r="F135">
            <v>1700812146</v>
          </cell>
        </row>
        <row r="136">
          <cell r="B136" t="str">
            <v>Peak Resources - Brookshire</v>
          </cell>
          <cell r="F136">
            <v>1336612530</v>
          </cell>
        </row>
        <row r="137">
          <cell r="B137" t="str">
            <v>Brunswick Cove Nursing Center</v>
          </cell>
          <cell r="F137">
            <v>1952446510</v>
          </cell>
        </row>
        <row r="138">
          <cell r="B138" t="str">
            <v>Hickory Falls Health And Rehabilitation</v>
          </cell>
          <cell r="F138">
            <v>1376926519</v>
          </cell>
        </row>
        <row r="139">
          <cell r="B139" t="str">
            <v>Cumberland Nursing And Rehabilitation Center</v>
          </cell>
          <cell r="F139">
            <v>1225654098</v>
          </cell>
        </row>
        <row r="140">
          <cell r="B140" t="str">
            <v>Maggie Valley Nursing And Rehabilitation</v>
          </cell>
          <cell r="F140">
            <v>1235591918</v>
          </cell>
        </row>
        <row r="141">
          <cell r="B141" t="str">
            <v>Cardinal Healthcare &amp; Rehab Center</v>
          </cell>
          <cell r="F141">
            <v>1336196526</v>
          </cell>
        </row>
        <row r="142">
          <cell r="B142" t="str">
            <v>Carolina Care Health And Rehabilitation</v>
          </cell>
          <cell r="F142">
            <v>1295279594</v>
          </cell>
        </row>
        <row r="143">
          <cell r="B143" t="str">
            <v>Maple Grove Health And Rehabilitation Center</v>
          </cell>
          <cell r="F143">
            <v>1326074048</v>
          </cell>
        </row>
        <row r="144">
          <cell r="B144" t="str">
            <v>Carolina Rehab Center of Cumberland</v>
          </cell>
          <cell r="F144">
            <v>1114501459</v>
          </cell>
        </row>
        <row r="145">
          <cell r="B145" t="str">
            <v xml:space="preserve">Capital Nursing And Rehabilitation </v>
          </cell>
          <cell r="F145">
            <v>1255385720</v>
          </cell>
        </row>
        <row r="146">
          <cell r="B146" t="str">
            <v>Carolina Rehab Center Of Burke</v>
          </cell>
          <cell r="F146">
            <v>1144804485</v>
          </cell>
        </row>
        <row r="147">
          <cell r="B147" t="str">
            <v>Carrington Place</v>
          </cell>
          <cell r="F147">
            <v>1083711626</v>
          </cell>
        </row>
        <row r="148">
          <cell r="B148" t="str">
            <v>Carver Living Center</v>
          </cell>
          <cell r="F148">
            <v>1669821336</v>
          </cell>
        </row>
        <row r="149">
          <cell r="B149" t="str">
            <v>Cary Health &amp; Rehab Center</v>
          </cell>
          <cell r="F149">
            <v>1083661193</v>
          </cell>
        </row>
        <row r="150">
          <cell r="B150" t="str">
            <v>Central Continuing Care</v>
          </cell>
          <cell r="F150">
            <v>1336118298</v>
          </cell>
        </row>
        <row r="151">
          <cell r="B151" t="str">
            <v>Peak Resources - Cherryville</v>
          </cell>
          <cell r="F151">
            <v>1609976901</v>
          </cell>
        </row>
        <row r="152">
          <cell r="B152" t="str">
            <v>Haymount Rehab &amp; Nursing Center</v>
          </cell>
          <cell r="F152">
            <v>1104800069</v>
          </cell>
        </row>
        <row r="153">
          <cell r="B153" t="str">
            <v>Peak Resources - Gastonia</v>
          </cell>
          <cell r="F153">
            <v>1235239567</v>
          </cell>
        </row>
        <row r="154">
          <cell r="B154" t="str">
            <v>Scottish Pines Rehabilitation And Nursing Center</v>
          </cell>
          <cell r="F154">
            <v>1316921190</v>
          </cell>
        </row>
        <row r="155">
          <cell r="B155" t="str">
            <v>Peak Resources - Shelby</v>
          </cell>
          <cell r="F155">
            <v>1194825448</v>
          </cell>
        </row>
        <row r="156">
          <cell r="B156" t="str">
            <v>Crystal Bluffs Rehabilitation &amp; Health Care Center</v>
          </cell>
          <cell r="F156">
            <v>1851375703</v>
          </cell>
        </row>
        <row r="157">
          <cell r="B157" t="str">
            <v>Signature Healthcare Of Chapel Hill</v>
          </cell>
          <cell r="F157">
            <v>1316351034</v>
          </cell>
        </row>
        <row r="158">
          <cell r="B158" t="str">
            <v>Charlotte Health &amp; Rehab Center</v>
          </cell>
          <cell r="F158">
            <v>1194309336</v>
          </cell>
        </row>
        <row r="159">
          <cell r="B159" t="str">
            <v>Tower Nursing And Rehabilitation Center</v>
          </cell>
          <cell r="F159">
            <v>1356387153</v>
          </cell>
        </row>
        <row r="160">
          <cell r="B160" t="str">
            <v>Clapp'S Convalescent Nursing Home, Inc.</v>
          </cell>
          <cell r="F160">
            <v>1740249382</v>
          </cell>
        </row>
        <row r="161">
          <cell r="B161" t="str">
            <v>Clapp'S Nursing Center, Inc.</v>
          </cell>
          <cell r="F161">
            <v>1225000888</v>
          </cell>
        </row>
        <row r="162">
          <cell r="B162" t="str">
            <v>Clay County Care Center</v>
          </cell>
          <cell r="F162">
            <v>1407803679</v>
          </cell>
        </row>
        <row r="163">
          <cell r="B163" t="str">
            <v>College Pines Rehabilitation and Skilled Nursing Facility</v>
          </cell>
          <cell r="F163">
            <v>1841854361</v>
          </cell>
        </row>
        <row r="164">
          <cell r="B164" t="str">
            <v>Conover Nursing &amp; Rehab Center</v>
          </cell>
          <cell r="F164">
            <v>1891722187</v>
          </cell>
        </row>
        <row r="165">
          <cell r="B165" t="str">
            <v>Liberty Commons N&amp;R Ctr. Of Halifax Cty</v>
          </cell>
          <cell r="F165">
            <v>1164476636</v>
          </cell>
        </row>
        <row r="166">
          <cell r="B166" t="str">
            <v>Westfield Rehabilitation And Health Center</v>
          </cell>
          <cell r="F166">
            <v>1891740544</v>
          </cell>
        </row>
        <row r="167">
          <cell r="B167" t="str">
            <v>Davis Health Care Center</v>
          </cell>
          <cell r="F167">
            <v>1356346191</v>
          </cell>
        </row>
        <row r="168">
          <cell r="B168" t="str">
            <v xml:space="preserve">Compass Healthcare and Rehab Guilford </v>
          </cell>
          <cell r="F168">
            <v>1346806015</v>
          </cell>
        </row>
        <row r="169">
          <cell r="B169" t="str">
            <v>Courtland Terrace</v>
          </cell>
          <cell r="F169">
            <v>1073599510</v>
          </cell>
        </row>
        <row r="170">
          <cell r="B170" t="str">
            <v>Croasdaile Village</v>
          </cell>
          <cell r="F170">
            <v>1972587376</v>
          </cell>
        </row>
        <row r="171">
          <cell r="B171" t="str">
            <v>Cross Creek Health Care</v>
          </cell>
          <cell r="F171">
            <v>1437103850</v>
          </cell>
        </row>
        <row r="172">
          <cell r="B172" t="str">
            <v>Cypress Pointe Rehabilitation Center</v>
          </cell>
          <cell r="F172">
            <v>1093131310</v>
          </cell>
        </row>
        <row r="173">
          <cell r="B173" t="str">
            <v>Accordius Health at Gatesville</v>
          </cell>
          <cell r="F173">
            <v>1831649268</v>
          </cell>
        </row>
        <row r="174">
          <cell r="B174" t="str">
            <v>Cornerstone Nursing And Rehabilitation Center</v>
          </cell>
          <cell r="F174">
            <v>1346851052</v>
          </cell>
        </row>
        <row r="175">
          <cell r="B175" t="str">
            <v>Edgewood Place At The Village-Brookwood</v>
          </cell>
          <cell r="F175">
            <v>1750418802</v>
          </cell>
        </row>
        <row r="176">
          <cell r="B176" t="str">
            <v>Elderberry Health Care</v>
          </cell>
          <cell r="F176">
            <v>1265556294</v>
          </cell>
        </row>
        <row r="177">
          <cell r="B177" t="str">
            <v>Peak Resources - Charlotte</v>
          </cell>
          <cell r="F177">
            <v>1427248905</v>
          </cell>
        </row>
        <row r="178">
          <cell r="B178" t="str">
            <v>Liberty Commons Nursing And Rehab Center Of Bladen County</v>
          </cell>
          <cell r="F178">
            <v>1588219828</v>
          </cell>
        </row>
        <row r="179">
          <cell r="B179" t="str">
            <v>Pruitthealth-Elkin</v>
          </cell>
          <cell r="F179">
            <v>1245287762</v>
          </cell>
        </row>
        <row r="180">
          <cell r="B180" t="str">
            <v>Emerald Ridge Rehab &amp; Care Center</v>
          </cell>
          <cell r="F180">
            <v>1407803828</v>
          </cell>
        </row>
        <row r="181">
          <cell r="B181" t="str">
            <v>Fair Haven Home, Inc.</v>
          </cell>
          <cell r="F181">
            <v>1275508970</v>
          </cell>
        </row>
        <row r="182">
          <cell r="B182" t="str">
            <v>Pruitthealth-Farmville</v>
          </cell>
          <cell r="F182">
            <v>1134175524</v>
          </cell>
        </row>
        <row r="183">
          <cell r="B183" t="str">
            <v>Five Oaks Manor</v>
          </cell>
          <cell r="F183">
            <v>1417944752</v>
          </cell>
        </row>
        <row r="184">
          <cell r="B184" t="str">
            <v>Flesher'S Fairview Healthcare Center</v>
          </cell>
          <cell r="F184">
            <v>1396747689</v>
          </cell>
        </row>
        <row r="185">
          <cell r="B185" t="str">
            <v>Forrest Oakes Healthcare Center</v>
          </cell>
          <cell r="F185">
            <v>1932135381</v>
          </cell>
        </row>
        <row r="186">
          <cell r="B186" t="str">
            <v>Fountains At The Albemarle</v>
          </cell>
          <cell r="F186">
            <v>1710932355</v>
          </cell>
        </row>
        <row r="187">
          <cell r="B187" t="str">
            <v>Friends Homes - Guilford</v>
          </cell>
          <cell r="F187">
            <v>1417951492</v>
          </cell>
        </row>
        <row r="188">
          <cell r="B188" t="str">
            <v>Gateway Rehabilitation And Healthcare</v>
          </cell>
          <cell r="F188">
            <v>1730136128</v>
          </cell>
        </row>
        <row r="189">
          <cell r="B189" t="str">
            <v>THE CITADEL AT MOORESVILLE</v>
          </cell>
          <cell r="F189">
            <v>1699313544</v>
          </cell>
        </row>
        <row r="190">
          <cell r="B190" t="str">
            <v>THE CITADEL AT SALISBURY</v>
          </cell>
          <cell r="F190">
            <v>1144868092</v>
          </cell>
        </row>
        <row r="191">
          <cell r="B191" t="str">
            <v>Givens Health Center</v>
          </cell>
          <cell r="F191">
            <v>1679555403</v>
          </cell>
        </row>
        <row r="192">
          <cell r="B192" t="str">
            <v>Glenaire, Inc.</v>
          </cell>
          <cell r="F192">
            <v>1174524458</v>
          </cell>
        </row>
        <row r="193">
          <cell r="B193" t="str">
            <v>Glenbridge Health And Rehabilitation</v>
          </cell>
          <cell r="F193">
            <v>1477511079</v>
          </cell>
        </row>
        <row r="194">
          <cell r="B194" t="str">
            <v>Warsaw Health And Rehab</v>
          </cell>
          <cell r="F194">
            <v>1023386190</v>
          </cell>
        </row>
        <row r="195">
          <cell r="B195" t="str">
            <v>Glenflora</v>
          </cell>
          <cell r="F195">
            <v>1396802260</v>
          </cell>
        </row>
        <row r="196">
          <cell r="B196" t="str">
            <v>Alston Brook</v>
          </cell>
          <cell r="F196">
            <v>1962509505</v>
          </cell>
        </row>
        <row r="197">
          <cell r="B197" t="str">
            <v>Golden Years Nursing Home</v>
          </cell>
          <cell r="F197">
            <v>1588618045</v>
          </cell>
        </row>
        <row r="198">
          <cell r="B198" t="str">
            <v xml:space="preserve">Grace Heights Rehabilitation and Skilled Nursing Facility </v>
          </cell>
          <cell r="F198">
            <v>1962066480</v>
          </cell>
        </row>
        <row r="199">
          <cell r="B199" t="str">
            <v>Graybrier Nursing And Retirement Center</v>
          </cell>
          <cell r="F199">
            <v>1588642102</v>
          </cell>
        </row>
        <row r="200">
          <cell r="B200" t="str">
            <v>East Carolina Rehab And Wellness</v>
          </cell>
          <cell r="F200">
            <v>1154792000</v>
          </cell>
        </row>
        <row r="201">
          <cell r="B201" t="str">
            <v>Accordius Health At Creekside</v>
          </cell>
          <cell r="F201">
            <v>1992242119</v>
          </cell>
        </row>
        <row r="202">
          <cell r="B202" t="str">
            <v>The Citadel Elizabeth City</v>
          </cell>
          <cell r="F202">
            <v>1194381681</v>
          </cell>
        </row>
        <row r="203">
          <cell r="B203" t="str">
            <v>Pelican Health Henderson</v>
          </cell>
          <cell r="F203">
            <v>1902462401</v>
          </cell>
        </row>
        <row r="204">
          <cell r="B204" t="str">
            <v>Kenansville  Health &amp; Rehab Center</v>
          </cell>
          <cell r="F204">
            <v>1689777971</v>
          </cell>
        </row>
        <row r="205">
          <cell r="B205" t="str">
            <v>Signature Healthcare Of Roanoke Rapids</v>
          </cell>
          <cell r="F205">
            <v>1649685132</v>
          </cell>
        </row>
        <row r="206">
          <cell r="B206" t="str">
            <v>Rocky Mount Rehabilitation Center</v>
          </cell>
          <cell r="F206">
            <v>1205252640</v>
          </cell>
        </row>
        <row r="207">
          <cell r="B207" t="str">
            <v>Accordius Health At Scotland Manor</v>
          </cell>
          <cell r="F207">
            <v>1528505757</v>
          </cell>
        </row>
        <row r="208">
          <cell r="B208" t="str">
            <v>Zebulon Rehabilitation Center</v>
          </cell>
          <cell r="F208">
            <v>1164848503</v>
          </cell>
        </row>
        <row r="209">
          <cell r="B209" t="str">
            <v>Guilford Health Care Center</v>
          </cell>
          <cell r="F209">
            <v>1033784970</v>
          </cell>
        </row>
        <row r="210">
          <cell r="B210" t="str">
            <v>Northhampton Nursing And Rehabilitation Center</v>
          </cell>
          <cell r="F210">
            <v>1013951896</v>
          </cell>
        </row>
        <row r="211">
          <cell r="B211" t="str">
            <v xml:space="preserve">Harborview Rehabilitation And Healthcare </v>
          </cell>
          <cell r="F211">
            <v>1649590498</v>
          </cell>
        </row>
        <row r="212">
          <cell r="B212" t="str">
            <v>Universal Health Care Lillington</v>
          </cell>
          <cell r="F212">
            <v>1235370750</v>
          </cell>
        </row>
        <row r="213">
          <cell r="B213" t="str">
            <v>Accordius Health at Hendersonville</v>
          </cell>
          <cell r="F213">
            <v>1295391795</v>
          </cell>
        </row>
        <row r="214">
          <cell r="B214" t="str">
            <v>Wadesboro Health &amp; Rehab Center</v>
          </cell>
          <cell r="F214">
            <v>1447736087</v>
          </cell>
        </row>
        <row r="215">
          <cell r="B215" t="str">
            <v>Pruitthealth-High Point</v>
          </cell>
          <cell r="F215">
            <v>1144277666</v>
          </cell>
        </row>
        <row r="216">
          <cell r="B216" t="str">
            <v xml:space="preserve">Givens Highland Farms </v>
          </cell>
          <cell r="F216">
            <v>1982948550</v>
          </cell>
        </row>
        <row r="217">
          <cell r="B217" t="str">
            <v>Highland House Rehabilitation And Healthcare</v>
          </cell>
          <cell r="F217">
            <v>1699886085</v>
          </cell>
        </row>
        <row r="218">
          <cell r="B218" t="str">
            <v>Hillcrest Convalescent Center, Inc.</v>
          </cell>
          <cell r="F218">
            <v>1336142470</v>
          </cell>
        </row>
        <row r="219">
          <cell r="B219" t="str">
            <v>Hillside Nursing Center</v>
          </cell>
          <cell r="F219">
            <v>1811984925</v>
          </cell>
        </row>
        <row r="220">
          <cell r="B220" t="str">
            <v>Hunter Woods Nursing And Rehab Center</v>
          </cell>
          <cell r="F220">
            <v>1689621880</v>
          </cell>
        </row>
        <row r="221">
          <cell r="B221" t="str">
            <v>Huntersville Oaks</v>
          </cell>
          <cell r="F221">
            <v>1932750841</v>
          </cell>
        </row>
        <row r="222">
          <cell r="B222" t="str">
            <v>The Laurels Of Pender</v>
          </cell>
          <cell r="F222">
            <v>1851836118</v>
          </cell>
        </row>
        <row r="223">
          <cell r="B223" t="str">
            <v>Pruitthealth-Durham Llc</v>
          </cell>
          <cell r="F223">
            <v>1447435722</v>
          </cell>
        </row>
        <row r="224">
          <cell r="B224" t="str">
            <v>The Oaks-Brevard</v>
          </cell>
          <cell r="F224">
            <v>1598704504</v>
          </cell>
        </row>
        <row r="225">
          <cell r="B225" t="str">
            <v>Accordius Health at Aberdeen</v>
          </cell>
          <cell r="F225">
            <v>1427608959</v>
          </cell>
        </row>
        <row r="226">
          <cell r="B226" t="str">
            <v>Signature Healthcare Of Kinston</v>
          </cell>
          <cell r="F226">
            <v>1437564739</v>
          </cell>
        </row>
        <row r="227">
          <cell r="B227" t="str">
            <v>Lake Park Nursing And Rehab Center</v>
          </cell>
          <cell r="F227">
            <v>1548206907</v>
          </cell>
        </row>
        <row r="228">
          <cell r="B228" t="str">
            <v>Pineville Rehab &amp; Living Center</v>
          </cell>
          <cell r="F228">
            <v>1922456664</v>
          </cell>
        </row>
        <row r="229">
          <cell r="B229" t="str">
            <v>Durham Nursing And Rehabilitation Center</v>
          </cell>
          <cell r="F229">
            <v>1831551514</v>
          </cell>
        </row>
        <row r="230">
          <cell r="B230" t="str">
            <v>Lenoir Healthcare Center</v>
          </cell>
          <cell r="F230">
            <v>1295704849</v>
          </cell>
        </row>
        <row r="231">
          <cell r="B231" t="str">
            <v>Lexington Health Care Center</v>
          </cell>
          <cell r="F231">
            <v>1083298236</v>
          </cell>
        </row>
        <row r="232">
          <cell r="B232" t="str">
            <v>Liberty Commons N&amp;R Ctr. Of Johnston Cty</v>
          </cell>
          <cell r="F232">
            <v>1669425401</v>
          </cell>
        </row>
        <row r="233">
          <cell r="B233" t="str">
            <v>Liberty Commons Rehabilitation Center</v>
          </cell>
          <cell r="F233">
            <v>1861446270</v>
          </cell>
        </row>
        <row r="234">
          <cell r="B234" t="str">
            <v>Liberty Commons N&amp;R Ctr. Of Rowan County</v>
          </cell>
          <cell r="F234">
            <v>1407800972</v>
          </cell>
        </row>
        <row r="235">
          <cell r="B235" t="str">
            <v>Liberty Commons Nursing &amp; Rehab Center of Alamance Cty</v>
          </cell>
          <cell r="F235">
            <v>1326089616</v>
          </cell>
        </row>
        <row r="236">
          <cell r="B236" t="str">
            <v>Liberty Commons N&amp;R Ctr Of Columbus Cty</v>
          </cell>
          <cell r="F236">
            <v>1538113014</v>
          </cell>
        </row>
        <row r="237">
          <cell r="B237" t="str">
            <v>Pelican Health Thomasville</v>
          </cell>
          <cell r="F237">
            <v>1851941389</v>
          </cell>
        </row>
        <row r="238">
          <cell r="B238" t="str">
            <v>Life Care Center Of Banner Elk</v>
          </cell>
          <cell r="F238">
            <v>1295101673</v>
          </cell>
        </row>
        <row r="239">
          <cell r="B239" t="str">
            <v>Life Care Center Of Hendersonville</v>
          </cell>
          <cell r="F239">
            <v>1760415434</v>
          </cell>
        </row>
        <row r="240">
          <cell r="B240" t="str">
            <v>Lincolnton Rehabilitation Center</v>
          </cell>
          <cell r="F240">
            <v>1629494059</v>
          </cell>
        </row>
        <row r="241">
          <cell r="B241" t="str">
            <v>Highland Acres Nursing And Rehabilitation Center</v>
          </cell>
          <cell r="F241">
            <v>1174149934</v>
          </cell>
        </row>
        <row r="242">
          <cell r="B242" t="str">
            <v>Litchford Falls Healthcare &amp; Rehab</v>
          </cell>
          <cell r="F242">
            <v>1467421024</v>
          </cell>
        </row>
        <row r="243">
          <cell r="B243" t="str">
            <v>Liberty Commons Nursing And Rehab Center Of Franklin County</v>
          </cell>
          <cell r="F243">
            <v>1043865538</v>
          </cell>
        </row>
        <row r="244">
          <cell r="B244" t="str">
            <v>Lutheran Home At Trinity Oaks, Inc.</v>
          </cell>
          <cell r="F244">
            <v>1447254149</v>
          </cell>
        </row>
        <row r="245">
          <cell r="B245" t="str">
            <v>Trinity Place</v>
          </cell>
          <cell r="F245">
            <v>1215931977</v>
          </cell>
        </row>
        <row r="246">
          <cell r="B246" t="str">
            <v>Trinity Village</v>
          </cell>
          <cell r="F246">
            <v>1427052067</v>
          </cell>
        </row>
        <row r="247">
          <cell r="B247" t="str">
            <v>Trinity Ridge</v>
          </cell>
          <cell r="F247">
            <v>1508864323</v>
          </cell>
        </row>
        <row r="248">
          <cell r="B248" t="str">
            <v>Trinity Glen</v>
          </cell>
          <cell r="F248">
            <v>1912902230</v>
          </cell>
        </row>
        <row r="249">
          <cell r="B249" t="str">
            <v>Madison Manor Rehabilitation And Nursing Center</v>
          </cell>
          <cell r="F249">
            <v>1497058416</v>
          </cell>
        </row>
        <row r="250">
          <cell r="B250" t="str">
            <v>Compass Healthcare and Rehab Rowan</v>
          </cell>
          <cell r="F250">
            <v>1407325103</v>
          </cell>
        </row>
        <row r="251">
          <cell r="B251" t="str">
            <v>Stone Creek Health And Rehabilitation</v>
          </cell>
          <cell r="F251">
            <v>1164725198</v>
          </cell>
        </row>
        <row r="252">
          <cell r="B252" t="str">
            <v>The Greens At Pinehurst Rehab &amp; Living Center</v>
          </cell>
          <cell r="F252">
            <v>1528544145</v>
          </cell>
        </row>
        <row r="253">
          <cell r="B253" t="str">
            <v>Maple Leaf Health Care</v>
          </cell>
          <cell r="F253">
            <v>1992825848</v>
          </cell>
        </row>
        <row r="254">
          <cell r="B254" t="str">
            <v>Alpine Health and Rehab</v>
          </cell>
          <cell r="F254">
            <v>1023671765</v>
          </cell>
        </row>
        <row r="255">
          <cell r="B255" t="str">
            <v>Accordius Health At Wilmington</v>
          </cell>
          <cell r="F255">
            <v>1245737840</v>
          </cell>
        </row>
        <row r="256">
          <cell r="B256" t="str">
            <v>Mary Gran Nursing Center</v>
          </cell>
          <cell r="F256">
            <v>1720033475</v>
          </cell>
        </row>
        <row r="257">
          <cell r="B257" t="str">
            <v>Maryfield Nursing Home</v>
          </cell>
          <cell r="F257">
            <v>1477641694</v>
          </cell>
        </row>
        <row r="258">
          <cell r="B258" t="str">
            <v>The Oaks At Whitaker Glen-Mayview</v>
          </cell>
          <cell r="F258">
            <v>1366529406</v>
          </cell>
        </row>
        <row r="259">
          <cell r="B259" t="str">
            <v>Deer Park Health &amp; Rehabilitation</v>
          </cell>
          <cell r="F259">
            <v>1477537199</v>
          </cell>
        </row>
        <row r="260">
          <cell r="B260" t="str">
            <v>Accordius Health At Clemmons</v>
          </cell>
          <cell r="F260">
            <v>1669991865</v>
          </cell>
        </row>
        <row r="261">
          <cell r="B261" t="str">
            <v>The Ivy at Gastonia</v>
          </cell>
          <cell r="F261">
            <v>1699336776</v>
          </cell>
        </row>
        <row r="262">
          <cell r="B262" t="str">
            <v xml:space="preserve">Mecklenburg Health And Rehabilitation Center </v>
          </cell>
          <cell r="F262">
            <v>1790317840</v>
          </cell>
        </row>
        <row r="263">
          <cell r="B263" t="str">
            <v>Mountain Ridge Wellness Center</v>
          </cell>
          <cell r="F263">
            <v>1831197714</v>
          </cell>
        </row>
        <row r="264">
          <cell r="B264" t="str">
            <v>Vero Health &amp; Rehab of Sylva</v>
          </cell>
          <cell r="F264">
            <v>1871063214</v>
          </cell>
        </row>
        <row r="265">
          <cell r="B265" t="str">
            <v>Mountain View Manor</v>
          </cell>
          <cell r="F265">
            <v>1952396509</v>
          </cell>
        </row>
        <row r="266">
          <cell r="B266" t="str">
            <v>Mountain Vista Health Park</v>
          </cell>
          <cell r="F266">
            <v>1396754875</v>
          </cell>
        </row>
        <row r="267">
          <cell r="B267" t="str">
            <v>Universal Health Care - Nashville</v>
          </cell>
          <cell r="F267">
            <v>1891007506</v>
          </cell>
        </row>
        <row r="268">
          <cell r="B268" t="str">
            <v>Hunter Hills Nursing And Rehabilitation Center</v>
          </cell>
          <cell r="F268">
            <v>1922611102</v>
          </cell>
        </row>
        <row r="269">
          <cell r="B269" t="str">
            <v>Pruitthealth-Trent</v>
          </cell>
          <cell r="F269">
            <v>1851348379</v>
          </cell>
        </row>
        <row r="270">
          <cell r="B270" t="str">
            <v>Oak Forest Health And Rehabilitation</v>
          </cell>
          <cell r="F270">
            <v>1477146959</v>
          </cell>
        </row>
        <row r="271">
          <cell r="B271" t="str">
            <v>Oak Grove Health Care Center</v>
          </cell>
          <cell r="F271">
            <v>1093754459</v>
          </cell>
        </row>
        <row r="272">
          <cell r="B272" t="str">
            <v>Liberty Commons Nursing &amp; Rehab Center of Southport</v>
          </cell>
          <cell r="F272">
            <v>1548770423</v>
          </cell>
        </row>
        <row r="273">
          <cell r="B273" t="str">
            <v>Universal Health Care Oxford</v>
          </cell>
          <cell r="F273">
            <v>1497996920</v>
          </cell>
        </row>
        <row r="274">
          <cell r="B274" t="str">
            <v>Hendersonville Health And Rehabilitation</v>
          </cell>
          <cell r="F274">
            <v>1578715504</v>
          </cell>
        </row>
        <row r="275">
          <cell r="B275" t="str">
            <v>The Lodge At Mills River</v>
          </cell>
          <cell r="F275">
            <v>1548293988</v>
          </cell>
        </row>
        <row r="276">
          <cell r="B276" t="str">
            <v>Emerald Health &amp; Rehab Center</v>
          </cell>
          <cell r="F276">
            <v>1609124155</v>
          </cell>
        </row>
        <row r="277">
          <cell r="B277" t="str">
            <v>Penick Village</v>
          </cell>
          <cell r="F277">
            <v>1780693663</v>
          </cell>
        </row>
        <row r="278">
          <cell r="B278" t="str">
            <v>Pettigrew Rehabilitation Center</v>
          </cell>
          <cell r="F278">
            <v>1144646274</v>
          </cell>
        </row>
        <row r="279">
          <cell r="B279" t="str">
            <v>Piedmont Crossing</v>
          </cell>
          <cell r="F279">
            <v>1124015458</v>
          </cell>
        </row>
        <row r="280">
          <cell r="B280" t="str">
            <v>Liberty Commons Nursing And Rehab Center Of Moore County</v>
          </cell>
          <cell r="F280">
            <v>1467007856</v>
          </cell>
        </row>
        <row r="281">
          <cell r="B281" t="str">
            <v>Peak Resources - Pinelake</v>
          </cell>
          <cell r="F281">
            <v>1841390002</v>
          </cell>
        </row>
        <row r="282">
          <cell r="B282" t="str">
            <v>Pisgah Manor, Inc.</v>
          </cell>
          <cell r="F282">
            <v>1073034138</v>
          </cell>
        </row>
        <row r="283">
          <cell r="B283" t="str">
            <v>The Carrolton of Plymouth</v>
          </cell>
          <cell r="F283">
            <v>1861003485</v>
          </cell>
        </row>
        <row r="284">
          <cell r="B284" t="str">
            <v>Premier Living And Rehab Center</v>
          </cell>
          <cell r="F284">
            <v>1720085293</v>
          </cell>
        </row>
        <row r="285">
          <cell r="B285" t="str">
            <v>COMPASS HEALTHCARE AND REHAB HAWFIE</v>
          </cell>
          <cell r="F285">
            <v>1801428768</v>
          </cell>
        </row>
        <row r="286">
          <cell r="B286" t="str">
            <v xml:space="preserve">Royal Park Rehabilitation &amp; Health Center Of Matthews </v>
          </cell>
          <cell r="F286">
            <v>1336193754</v>
          </cell>
        </row>
        <row r="287">
          <cell r="B287" t="str">
            <v>Quail Haven Healthcare Center Of Pinehurst</v>
          </cell>
          <cell r="F287">
            <v>1548696834</v>
          </cell>
        </row>
        <row r="288">
          <cell r="B288" t="str">
            <v>Raleigh Rehabilitation Center</v>
          </cell>
          <cell r="F288">
            <v>1396161527</v>
          </cell>
        </row>
        <row r="289">
          <cell r="B289" t="str">
            <v>Village Green Health And Rehabilitation</v>
          </cell>
          <cell r="F289">
            <v>1134660103</v>
          </cell>
        </row>
        <row r="290">
          <cell r="B290" t="str">
            <v>Accordius Health At Gastonia</v>
          </cell>
          <cell r="F290">
            <v>1043703945</v>
          </cell>
        </row>
        <row r="291">
          <cell r="B291" t="str">
            <v>Peak Resources Alamance</v>
          </cell>
          <cell r="F291">
            <v>1275823155</v>
          </cell>
        </row>
        <row r="292">
          <cell r="B292" t="str">
            <v>Monroe Rehabilitation Center</v>
          </cell>
          <cell r="F292">
            <v>1336565779</v>
          </cell>
        </row>
        <row r="293">
          <cell r="B293" t="str">
            <v>Rickman Nursing Care Center</v>
          </cell>
          <cell r="F293">
            <v>1700874880</v>
          </cell>
        </row>
        <row r="294">
          <cell r="B294" t="str">
            <v>RIDGEWOOD LIVING &amp; REHABILITATION CENTER</v>
          </cell>
          <cell r="F294">
            <v>1306293170</v>
          </cell>
        </row>
        <row r="295">
          <cell r="B295" t="str">
            <v>Pruitthealth-Rockingham</v>
          </cell>
          <cell r="F295">
            <v>1033513320</v>
          </cell>
        </row>
        <row r="296">
          <cell r="B296" t="str">
            <v>Accordius Health at Rose Manor</v>
          </cell>
          <cell r="F296">
            <v>1770149270</v>
          </cell>
        </row>
        <row r="297">
          <cell r="B297" t="str">
            <v>Liberty Commons Nursing &amp; Rehab Ctr of Person Cty</v>
          </cell>
          <cell r="F297">
            <v>1104471531</v>
          </cell>
        </row>
        <row r="298">
          <cell r="B298" t="str">
            <v>Salemtowne</v>
          </cell>
          <cell r="F298">
            <v>1568454262</v>
          </cell>
        </row>
        <row r="299">
          <cell r="B299" t="str">
            <v>Sardis Oaks</v>
          </cell>
          <cell r="F299">
            <v>1669023685</v>
          </cell>
        </row>
        <row r="300">
          <cell r="B300" t="str">
            <v>Saturn Nursing And Rehabilitation</v>
          </cell>
          <cell r="F300">
            <v>1053380626</v>
          </cell>
        </row>
        <row r="301">
          <cell r="B301" t="str">
            <v>Scotia Village</v>
          </cell>
          <cell r="F301">
            <v>1346241627</v>
          </cell>
        </row>
        <row r="302">
          <cell r="B302" t="str">
            <v>Senior Citizen'S Home, Inc.</v>
          </cell>
          <cell r="F302">
            <v>1740278126</v>
          </cell>
        </row>
        <row r="303">
          <cell r="B303" t="str">
            <v>Currituck Health &amp; Rehab Center</v>
          </cell>
          <cell r="F303">
            <v>1639630452</v>
          </cell>
        </row>
        <row r="304">
          <cell r="B304" t="str">
            <v>Shaire Nursing Center</v>
          </cell>
          <cell r="F304">
            <v>1740386473</v>
          </cell>
        </row>
        <row r="305">
          <cell r="B305" t="str">
            <v>Shoreland Healthcare</v>
          </cell>
          <cell r="F305">
            <v>1689628141</v>
          </cell>
        </row>
        <row r="306">
          <cell r="B306" t="str">
            <v>Silas Creek Rehabilitation Center</v>
          </cell>
          <cell r="F306">
            <v>1063838381</v>
          </cell>
        </row>
        <row r="307">
          <cell r="B307" t="str">
            <v>Silver Bluff, Inc.</v>
          </cell>
          <cell r="F307">
            <v>1093708497</v>
          </cell>
        </row>
        <row r="308">
          <cell r="B308" t="str">
            <v>Skyland Care Center</v>
          </cell>
          <cell r="F308">
            <v>1295733517</v>
          </cell>
        </row>
        <row r="309">
          <cell r="B309" t="str">
            <v>Smithfield Manor Nursing And Rehab</v>
          </cell>
          <cell r="F309">
            <v>1649268335</v>
          </cell>
        </row>
        <row r="310">
          <cell r="B310" t="str">
            <v>The Lodge at Rocky Mount</v>
          </cell>
          <cell r="F310">
            <v>1417368143</v>
          </cell>
        </row>
        <row r="311">
          <cell r="B311" t="str">
            <v>Southwood Nursing &amp; Retirement Center</v>
          </cell>
          <cell r="F311">
            <v>1043263981</v>
          </cell>
        </row>
        <row r="312">
          <cell r="B312" t="str">
            <v>Summerstone Health And Rehabilitation Center</v>
          </cell>
          <cell r="F312">
            <v>1710244827</v>
          </cell>
        </row>
        <row r="313">
          <cell r="B313" t="str">
            <v>St Joseph Of The Pines</v>
          </cell>
          <cell r="F313">
            <v>1184712580</v>
          </cell>
        </row>
        <row r="314">
          <cell r="B314" t="str">
            <v>Stanley Total Living Center</v>
          </cell>
          <cell r="F314">
            <v>1407843097</v>
          </cell>
        </row>
        <row r="315">
          <cell r="B315" t="str">
            <v>Stanly Manor,Inc.</v>
          </cell>
          <cell r="F315">
            <v>1891346797</v>
          </cell>
        </row>
        <row r="316">
          <cell r="B316" t="str">
            <v>Alleghany Care And Rehabilitation Center</v>
          </cell>
          <cell r="F316">
            <v>1639122328</v>
          </cell>
        </row>
        <row r="317">
          <cell r="B317" t="str">
            <v xml:space="preserve">Woodland Hill Center </v>
          </cell>
          <cell r="F317">
            <v>1467016105</v>
          </cell>
        </row>
        <row r="318">
          <cell r="B318" t="str">
            <v>Bladen East Health And Rehabilitation Center</v>
          </cell>
          <cell r="F318">
            <v>1497283899</v>
          </cell>
        </row>
        <row r="319">
          <cell r="B319" t="str">
            <v>Abbotts Creek Care And Rehabilition Center</v>
          </cell>
          <cell r="F319">
            <v>1285687962</v>
          </cell>
        </row>
        <row r="320">
          <cell r="B320" t="str">
            <v>Mount Olive Care And Rehabilitation Center</v>
          </cell>
          <cell r="F320">
            <v>1649224056</v>
          </cell>
        </row>
        <row r="321">
          <cell r="B321" t="str">
            <v>Pembroke Care And Rehabilitation Center</v>
          </cell>
          <cell r="F321">
            <v>1194779504</v>
          </cell>
        </row>
        <row r="322">
          <cell r="B322" t="str">
            <v>Siler City Care And Rehabilitation Center</v>
          </cell>
          <cell r="F322">
            <v>1003869983</v>
          </cell>
        </row>
        <row r="323">
          <cell r="B323" t="str">
            <v>Triad Care And Rehabilitation Center</v>
          </cell>
          <cell r="F323">
            <v>1952354565</v>
          </cell>
        </row>
        <row r="324">
          <cell r="B324" t="str">
            <v>Sunnybrook Rehabilitation Center</v>
          </cell>
          <cell r="F324">
            <v>1821414269</v>
          </cell>
        </row>
        <row r="325">
          <cell r="B325" t="str">
            <v>Surry Community Health Ctr of Harborview</v>
          </cell>
          <cell r="F325">
            <v>1225588536</v>
          </cell>
        </row>
        <row r="326">
          <cell r="B326" t="str">
            <v>Universal Health Care Greenville</v>
          </cell>
          <cell r="F326">
            <v>1225279755</v>
          </cell>
        </row>
        <row r="327">
          <cell r="B327" t="str">
            <v>Prodigy Transitional Rehab</v>
          </cell>
          <cell r="F327">
            <v>1720166838</v>
          </cell>
        </row>
        <row r="328">
          <cell r="B328" t="str">
            <v>Pruitthealth-Sealevel</v>
          </cell>
          <cell r="F328">
            <v>1023358991</v>
          </cell>
        </row>
        <row r="329">
          <cell r="B329" t="str">
            <v>Pruitthealth-Town Center</v>
          </cell>
          <cell r="F329">
            <v>1700833233</v>
          </cell>
        </row>
        <row r="330">
          <cell r="B330" t="str">
            <v>The Laurels Of Chatham</v>
          </cell>
          <cell r="F330">
            <v>1215982525</v>
          </cell>
        </row>
        <row r="331">
          <cell r="B331" t="str">
            <v>The Laurels Of Forest Glenn</v>
          </cell>
          <cell r="F331">
            <v>1427003110</v>
          </cell>
        </row>
        <row r="332">
          <cell r="B332" t="str">
            <v>The Laurels Of Greentree Ridge</v>
          </cell>
          <cell r="F332">
            <v>1598710949</v>
          </cell>
        </row>
        <row r="333">
          <cell r="B333" t="str">
            <v>The Laurels Of Hendersonville</v>
          </cell>
          <cell r="F333">
            <v>1770538092</v>
          </cell>
        </row>
        <row r="334">
          <cell r="B334" t="str">
            <v>The Laurels Of Salisbury</v>
          </cell>
          <cell r="F334">
            <v>1871548487</v>
          </cell>
        </row>
        <row r="335">
          <cell r="B335" t="str">
            <v>The Laurels Of Summit Ridge</v>
          </cell>
          <cell r="F335">
            <v>1467407775</v>
          </cell>
        </row>
        <row r="336">
          <cell r="B336" t="str">
            <v>The Oaks</v>
          </cell>
          <cell r="F336">
            <v>1881993079</v>
          </cell>
        </row>
        <row r="337">
          <cell r="B337" t="str">
            <v>The Oaks At Sweeten Creek</v>
          </cell>
          <cell r="F337">
            <v>1255379293</v>
          </cell>
        </row>
        <row r="338">
          <cell r="B338" t="str">
            <v>Three Rivers Health And Rehab Center</v>
          </cell>
          <cell r="F338">
            <v>1881648350</v>
          </cell>
        </row>
        <row r="339">
          <cell r="B339" t="str">
            <v>Ths Of Kannapolis</v>
          </cell>
          <cell r="F339">
            <v>1669410312</v>
          </cell>
        </row>
        <row r="340">
          <cell r="B340" t="str">
            <v>Trent Village Nursing Home</v>
          </cell>
          <cell r="F340">
            <v>1184705048</v>
          </cell>
        </row>
        <row r="341">
          <cell r="B341" t="str">
            <v>Treyburn Rehabilitation Center</v>
          </cell>
          <cell r="F341">
            <v>1386187813</v>
          </cell>
        </row>
        <row r="342">
          <cell r="B342" t="str">
            <v xml:space="preserve">Tsali Care Center                                 </v>
          </cell>
          <cell r="F342" t="e">
            <v>#N/A</v>
          </cell>
        </row>
        <row r="343">
          <cell r="B343" t="str">
            <v>Twin Lakes Community</v>
          </cell>
          <cell r="F343">
            <v>1669449799</v>
          </cell>
        </row>
        <row r="344">
          <cell r="B344" t="str">
            <v>Pruitthealth-Neuse</v>
          </cell>
          <cell r="F344">
            <v>1245285253</v>
          </cell>
        </row>
        <row r="345">
          <cell r="B345" t="str">
            <v>Universal Healthcare - King</v>
          </cell>
          <cell r="F345">
            <v>1629047279</v>
          </cell>
        </row>
        <row r="346">
          <cell r="B346" t="str">
            <v>Universal Healthcare And Rehabilitation</v>
          </cell>
          <cell r="F346">
            <v>1942279609</v>
          </cell>
        </row>
        <row r="347">
          <cell r="B347" t="str">
            <v>Universal Healthcare of Fletcher</v>
          </cell>
          <cell r="F347">
            <v>1114996758</v>
          </cell>
        </row>
        <row r="348">
          <cell r="B348" t="str">
            <v>Universal Healthcare of Ramseur</v>
          </cell>
          <cell r="F348">
            <v>1902875578</v>
          </cell>
        </row>
        <row r="349">
          <cell r="B349" t="str">
            <v>Universal Healthcare - North Raleigh</v>
          </cell>
          <cell r="F349">
            <v>1144299702</v>
          </cell>
        </row>
        <row r="350">
          <cell r="B350" t="str">
            <v>Valley Nursing Center</v>
          </cell>
          <cell r="F350">
            <v>1689640583</v>
          </cell>
        </row>
        <row r="351">
          <cell r="B351" t="str">
            <v>Valley View Care &amp; Rehab Center</v>
          </cell>
          <cell r="F351">
            <v>1831125285</v>
          </cell>
        </row>
        <row r="352">
          <cell r="B352" t="str">
            <v>Village Care Of King</v>
          </cell>
          <cell r="F352">
            <v>1629515499</v>
          </cell>
        </row>
        <row r="353">
          <cell r="B353" t="str">
            <v>Elizabeth City Health And Rehabilitation Center</v>
          </cell>
          <cell r="F353">
            <v>1952766271</v>
          </cell>
        </row>
        <row r="354">
          <cell r="B354" t="str">
            <v>Walnut Cove Healthcare Center</v>
          </cell>
          <cell r="F354">
            <v>1659319366</v>
          </cell>
        </row>
        <row r="355">
          <cell r="B355" t="str">
            <v>Warren Hills Nursing Center</v>
          </cell>
          <cell r="F355">
            <v>1972050276</v>
          </cell>
        </row>
        <row r="356">
          <cell r="B356" t="str">
            <v>Wellington Nursing And Rehab Center</v>
          </cell>
          <cell r="F356">
            <v>1154369841</v>
          </cell>
        </row>
        <row r="357">
          <cell r="B357" t="str">
            <v>Wesley Pines</v>
          </cell>
          <cell r="F357">
            <v>1639153919</v>
          </cell>
        </row>
        <row r="358">
          <cell r="B358" t="str">
            <v>Westchester Manor At Providence Place</v>
          </cell>
          <cell r="F358">
            <v>1043314602</v>
          </cell>
        </row>
        <row r="359">
          <cell r="B359" t="str">
            <v>Westwood Health &amp; Rehab Center</v>
          </cell>
          <cell r="F359">
            <v>1700821865</v>
          </cell>
        </row>
        <row r="360">
          <cell r="B360" t="str">
            <v>Whispering Pines Nursing Home</v>
          </cell>
          <cell r="F360">
            <v>1902853781</v>
          </cell>
        </row>
        <row r="361">
          <cell r="B361" t="str">
            <v>White Oak Manor Burlington Inc</v>
          </cell>
          <cell r="F361">
            <v>1235264219</v>
          </cell>
        </row>
        <row r="362">
          <cell r="B362" t="str">
            <v>White Oak Manor Charlotte Inc</v>
          </cell>
          <cell r="F362">
            <v>1366577355</v>
          </cell>
        </row>
        <row r="363">
          <cell r="B363" t="str">
            <v>White Oak Manor Kings Mountain Inc</v>
          </cell>
          <cell r="F363">
            <v>1033244090</v>
          </cell>
        </row>
        <row r="364">
          <cell r="B364" t="str">
            <v>Accordius Health at Rutherfordton</v>
          </cell>
          <cell r="F364">
            <v>1699310839</v>
          </cell>
        </row>
        <row r="365">
          <cell r="B365" t="str">
            <v>White Oak Manor Shelby Inc</v>
          </cell>
          <cell r="F365">
            <v>1770618720</v>
          </cell>
        </row>
        <row r="366">
          <cell r="B366" t="str">
            <v>White Oak Manor Tryon Inc</v>
          </cell>
          <cell r="F366">
            <v>1356476311</v>
          </cell>
        </row>
        <row r="367">
          <cell r="B367" t="str">
            <v>Wilkesboro Health &amp; Rehab</v>
          </cell>
          <cell r="F367">
            <v>1528606225</v>
          </cell>
        </row>
        <row r="368">
          <cell r="B368" t="str">
            <v>Roanoke River Nursing And Rehabilitation Center</v>
          </cell>
          <cell r="F368">
            <v>1669083291</v>
          </cell>
        </row>
        <row r="369">
          <cell r="B369" t="str">
            <v>Willow Ridge Of North Carolina, Llc</v>
          </cell>
          <cell r="F369">
            <v>1629425491</v>
          </cell>
        </row>
        <row r="370">
          <cell r="B370" t="str">
            <v>Willowbrook Healthcare Center</v>
          </cell>
          <cell r="F370">
            <v>1629016340</v>
          </cell>
        </row>
        <row r="371">
          <cell r="B371" t="str">
            <v>Wilson Rehabilitation And Nursing Ctr</v>
          </cell>
          <cell r="F371">
            <v>1750703278</v>
          </cell>
        </row>
        <row r="372">
          <cell r="B372" t="str">
            <v>Wilora Lake Healthcare Center</v>
          </cell>
          <cell r="F372">
            <v>1215979059</v>
          </cell>
        </row>
        <row r="373">
          <cell r="B373" t="str">
            <v>The Citadel at Winston Salem</v>
          </cell>
          <cell r="F373">
            <v>1821551797</v>
          </cell>
        </row>
        <row r="374">
          <cell r="B374" t="str">
            <v>Woodbury Wellness Center</v>
          </cell>
          <cell r="F374">
            <v>1992793962</v>
          </cell>
        </row>
        <row r="375">
          <cell r="B375" t="str">
            <v>Woodlands Nursing &amp; Rehabilitation Center</v>
          </cell>
          <cell r="F375">
            <v>1023481520</v>
          </cell>
        </row>
        <row r="376">
          <cell r="B376" t="str">
            <v>Yadkin Nursing Care Center, Inc.</v>
          </cell>
          <cell r="F376">
            <v>1174178313</v>
          </cell>
        </row>
        <row r="377">
          <cell r="B377" t="str">
            <v>Smoky Ridge Health &amp; Rehabilitation</v>
          </cell>
          <cell r="F377">
            <v>1053395210</v>
          </cell>
        </row>
        <row r="378">
          <cell r="B378" t="str">
            <v>Anson Health And Rehabilitation, Llc</v>
          </cell>
          <cell r="F378">
            <v>1487060893</v>
          </cell>
        </row>
        <row r="379">
          <cell r="B379" t="str">
            <v>Liberty Commons Nursing &amp; Rehab Center of Watauga County</v>
          </cell>
          <cell r="F379">
            <v>1629535455</v>
          </cell>
        </row>
        <row r="380">
          <cell r="B380" t="str">
            <v>Brantwood Nursing &amp; Retirement Center</v>
          </cell>
          <cell r="F380">
            <v>1265441208</v>
          </cell>
        </row>
        <row r="381">
          <cell r="B381" t="str">
            <v>Cleveland Pines</v>
          </cell>
          <cell r="F381">
            <v>1710537998</v>
          </cell>
        </row>
        <row r="382">
          <cell r="B382" t="str">
            <v>Edwin Morgan Center/Scotland Mem Hosp</v>
          </cell>
          <cell r="F382">
            <v>1659365666</v>
          </cell>
        </row>
        <row r="383">
          <cell r="B383" t="str">
            <v xml:space="preserve">Eckerd Living Center </v>
          </cell>
          <cell r="F383">
            <v>1184196206</v>
          </cell>
        </row>
        <row r="384">
          <cell r="B384" t="str">
            <v>Hugh Chatham Memorial Hospital</v>
          </cell>
          <cell r="F384">
            <v>1104950765</v>
          </cell>
        </row>
        <row r="385">
          <cell r="B385" t="str">
            <v>Iredell Memorial Hospital, Incorporated</v>
          </cell>
          <cell r="F385">
            <v>1760462196</v>
          </cell>
        </row>
        <row r="386">
          <cell r="B386" t="str">
            <v>Southport Nursing Center</v>
          </cell>
          <cell r="F386">
            <v>1457709891</v>
          </cell>
        </row>
        <row r="387">
          <cell r="B387" t="str">
            <v>Lenoir Memorial Hospital-Nf</v>
          </cell>
          <cell r="F387">
            <v>1386688703</v>
          </cell>
        </row>
        <row r="388">
          <cell r="B388" t="str">
            <v>Rex Rehab &amp; Nursing Center of Apex</v>
          </cell>
          <cell r="F388">
            <v>1770582363</v>
          </cell>
        </row>
        <row r="389">
          <cell r="B389" t="str">
            <v>UNC Rockingham Rehabilitation &amp; Nursing Care Center</v>
          </cell>
          <cell r="F389">
            <v>1720088339</v>
          </cell>
        </row>
        <row r="390">
          <cell r="B390" t="str">
            <v>Heartland Living &amp; Rehab @ The Moses H Cone Mem</v>
          </cell>
          <cell r="F390">
            <v>1326143504</v>
          </cell>
        </row>
        <row r="391">
          <cell r="B391" t="str">
            <v>Northern Hospital Of Surry County-Ltc</v>
          </cell>
          <cell r="F391">
            <v>1932107547</v>
          </cell>
        </row>
        <row r="392">
          <cell r="B392" t="str">
            <v>Our Community Hospital-Ltc</v>
          </cell>
          <cell r="F392">
            <v>1558391250</v>
          </cell>
        </row>
        <row r="393">
          <cell r="B393" t="str">
            <v>Pender Memorial Hospital Snf</v>
          </cell>
          <cell r="F393">
            <v>1538137468</v>
          </cell>
        </row>
        <row r="394">
          <cell r="B394" t="str">
            <v xml:space="preserve">Person Memorial Hospital </v>
          </cell>
          <cell r="F394">
            <v>1942583752</v>
          </cell>
        </row>
        <row r="395">
          <cell r="B395" t="str">
            <v>Sampson Regional Medical Center</v>
          </cell>
          <cell r="F395">
            <v>1187450150</v>
          </cell>
        </row>
        <row r="396">
          <cell r="B396" t="str">
            <v>Jesse Helms Nursing Center</v>
          </cell>
          <cell r="F396">
            <v>1053953844</v>
          </cell>
        </row>
        <row r="397">
          <cell r="B397" t="str">
            <v>Woodhaven Nursing &amp; Alzheimer'S Care Ctr</v>
          </cell>
          <cell r="F397">
            <v>1528040888</v>
          </cell>
        </row>
        <row r="398">
          <cell r="B398" t="str">
            <v>Kindred Hospital-Greensboro</v>
          </cell>
          <cell r="F398">
            <v>1134298615</v>
          </cell>
        </row>
        <row r="399">
          <cell r="B399" t="str">
            <v xml:space="preserve">Murphy Rehabilitation And Nursing </v>
          </cell>
          <cell r="F399">
            <v>1952486771</v>
          </cell>
        </row>
        <row r="400">
          <cell r="B400" t="str">
            <v>Rex Rehab &amp; Nursing Center of Raleigh</v>
          </cell>
          <cell r="F400">
            <v>1376542878</v>
          </cell>
        </row>
        <row r="401">
          <cell r="B401" t="str">
            <v>Stokes County Nursing Home</v>
          </cell>
          <cell r="F401">
            <v>1629511597</v>
          </cell>
        </row>
        <row r="402">
          <cell r="B402" t="str">
            <v>Penn Nursing Center</v>
          </cell>
          <cell r="F402">
            <v>1407966864</v>
          </cell>
        </row>
        <row r="403">
          <cell r="B403" t="str">
            <v>Whitestone:  A Masonic And Eastern Star Community</v>
          </cell>
          <cell r="F403">
            <v>1548230188</v>
          </cell>
        </row>
        <row r="404">
          <cell r="B404" t="str">
            <v>Wakemed Fuquay Varina</v>
          </cell>
          <cell r="F404">
            <v>1124094008</v>
          </cell>
        </row>
        <row r="405">
          <cell r="B405" t="str">
            <v>Wake Med For Zebulon</v>
          </cell>
          <cell r="F405">
            <v>1366418246</v>
          </cell>
        </row>
        <row r="406">
          <cell r="B406" t="str">
            <v>Snug Harbor</v>
          </cell>
          <cell r="F406">
            <v>1437110913</v>
          </cell>
        </row>
        <row r="407">
          <cell r="B407" t="str">
            <v>Adams Farm And Living Rehab</v>
          </cell>
          <cell r="F407">
            <v>1366552739</v>
          </cell>
        </row>
        <row r="408">
          <cell r="B408" t="str">
            <v>RIVER LANDING AT SANDY RIDGE</v>
          </cell>
          <cell r="F408">
            <v>1518968890</v>
          </cell>
        </row>
        <row r="409">
          <cell r="B409" t="str">
            <v>Sanford Health And Rehabilitation</v>
          </cell>
          <cell r="F409">
            <v>1811920267</v>
          </cell>
        </row>
        <row r="410">
          <cell r="B410" t="str">
            <v>Liberty Commons N&amp;R Ctr. Of Lee County</v>
          </cell>
          <cell r="F410">
            <v>1861446338</v>
          </cell>
        </row>
        <row r="411">
          <cell r="B411" t="str">
            <v>Pruitthealth-Raleigh</v>
          </cell>
          <cell r="F411">
            <v>1730136250</v>
          </cell>
        </row>
        <row r="412">
          <cell r="B412" t="str">
            <v xml:space="preserve">Olde Knox Commons </v>
          </cell>
          <cell r="F412">
            <v>1861521635</v>
          </cell>
        </row>
        <row r="413">
          <cell r="B413" t="str">
            <v>Bermuda Commons</v>
          </cell>
          <cell r="F413">
            <v>1891908687</v>
          </cell>
        </row>
        <row r="414">
          <cell r="B414" t="str">
            <v>Peak Resources-Wilmington</v>
          </cell>
          <cell r="F414">
            <v>1326519844</v>
          </cell>
        </row>
        <row r="415">
          <cell r="B415" t="str">
            <v>Twin Lakes Community Memory Care</v>
          </cell>
          <cell r="F415">
            <v>1932368586</v>
          </cell>
        </row>
        <row r="416">
          <cell r="B416" t="str">
            <v>Camden Health And Rehabilitation</v>
          </cell>
          <cell r="F416">
            <v>1306372230</v>
          </cell>
        </row>
        <row r="417">
          <cell r="B417" t="str">
            <v>Universal Healthcare / Brunswick Inc.</v>
          </cell>
          <cell r="F417">
            <v>1437484672</v>
          </cell>
        </row>
        <row r="418">
          <cell r="B418" t="str">
            <v>Ashton Health And Rehabilitation</v>
          </cell>
          <cell r="F418">
            <v>1982130811</v>
          </cell>
        </row>
        <row r="419">
          <cell r="B419" t="str">
            <v>White Oak Of Waxhaw</v>
          </cell>
          <cell r="F419">
            <v>1124342241</v>
          </cell>
        </row>
        <row r="420">
          <cell r="B420" t="str">
            <v>The Shannon Gray Rehab &amp; Recovery Center</v>
          </cell>
          <cell r="F420">
            <v>1669613071</v>
          </cell>
        </row>
        <row r="421">
          <cell r="B421" t="str">
            <v>Pruitthealth-Carolina Point</v>
          </cell>
          <cell r="F421">
            <v>1518112036</v>
          </cell>
        </row>
        <row r="422">
          <cell r="B422" t="str">
            <v>Autumn Care Of Fayetteville</v>
          </cell>
          <cell r="F422">
            <v>1114463932</v>
          </cell>
        </row>
        <row r="423">
          <cell r="B423" t="str">
            <v>Trinity Grove</v>
          </cell>
          <cell r="F423">
            <v>1194028118</v>
          </cell>
        </row>
        <row r="424">
          <cell r="B424" t="str">
            <v>Presbyterian Orthopaedic Hospital, Llc</v>
          </cell>
          <cell r="F424" t="e">
            <v>#N/A</v>
          </cell>
        </row>
        <row r="425">
          <cell r="B425" t="str">
            <v>Azalea Health And Rehab Center</v>
          </cell>
          <cell r="F425">
            <v>1255682522</v>
          </cell>
        </row>
        <row r="426">
          <cell r="B426" t="str">
            <v xml:space="preserve">Hillcrest Raleigh at Crabtree Valley </v>
          </cell>
          <cell r="F426">
            <v>1639556806</v>
          </cell>
        </row>
        <row r="427">
          <cell r="B427" t="str">
            <v>Universal Healthcare/Fuquay-Varina</v>
          </cell>
          <cell r="F427">
            <v>1588805014</v>
          </cell>
        </row>
        <row r="428">
          <cell r="B428" t="str">
            <v>Pavillion Health Center At Brightmore</v>
          </cell>
          <cell r="F428">
            <v>1962832899</v>
          </cell>
        </row>
        <row r="429">
          <cell r="B429" t="str">
            <v>Clear Creek Nursing &amp; Rehabilitation Center</v>
          </cell>
          <cell r="F429">
            <v>1710312079</v>
          </cell>
        </row>
        <row r="430">
          <cell r="B430" t="str">
            <v>Pruitthealth-Union Pointe</v>
          </cell>
          <cell r="F430">
            <v>1992106348</v>
          </cell>
        </row>
        <row r="431">
          <cell r="B431" t="str">
            <v>Autumn Care Of Cornelius</v>
          </cell>
          <cell r="F431">
            <v>1376932889</v>
          </cell>
        </row>
        <row r="432">
          <cell r="B432" t="str">
            <v>Trinity Elms</v>
          </cell>
          <cell r="F432">
            <v>1912323635</v>
          </cell>
        </row>
        <row r="433">
          <cell r="B433" t="str">
            <v>Davis Health and Wellness Center at Cambridge Village</v>
          </cell>
          <cell r="F433">
            <v>1841697422</v>
          </cell>
        </row>
        <row r="434">
          <cell r="B434" t="str">
            <v>Springbrook Nursing and Rehabilitation Center</v>
          </cell>
          <cell r="F434">
            <v>1003205337</v>
          </cell>
        </row>
        <row r="435">
          <cell r="B435" t="str">
            <v>Huntersville Nursing and Rehabilitation Center</v>
          </cell>
          <cell r="F435">
            <v>1477137628</v>
          </cell>
        </row>
        <row r="436">
          <cell r="B436" t="str">
            <v>Bermuda Village Retirement Center</v>
          </cell>
          <cell r="F436" t="e">
            <v>#N/A</v>
          </cell>
        </row>
        <row r="437">
          <cell r="B437" t="str">
            <v>Asbury Health and Rehabilitation Center</v>
          </cell>
          <cell r="F437">
            <v>1992998504</v>
          </cell>
        </row>
        <row r="438">
          <cell r="B438" t="str">
            <v>Bellarose Nursing and Rehabilitation Center</v>
          </cell>
          <cell r="F438">
            <v>1093228397</v>
          </cell>
        </row>
        <row r="439">
          <cell r="B439" t="str">
            <v>Brunswick Health and Rehabilitation Center</v>
          </cell>
          <cell r="F439">
            <v>1558872333</v>
          </cell>
        </row>
        <row r="440">
          <cell r="B440" t="str">
            <v>Friends Homes - West</v>
          </cell>
          <cell r="F440">
            <v>1730183625</v>
          </cell>
        </row>
        <row r="443">
          <cell r="F443" t="str">
            <v xml:space="preserve"> </v>
          </cell>
        </row>
        <row r="444">
          <cell r="F444" t="str">
            <v xml:space="preserve"> </v>
          </cell>
        </row>
        <row r="445">
          <cell r="F445" t="str">
            <v xml:space="preserve">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6"/>
  <sheetViews>
    <sheetView tabSelected="1" workbookViewId="0"/>
  </sheetViews>
  <sheetFormatPr defaultRowHeight="13.2" x14ac:dyDescent="0.25"/>
  <cols>
    <col min="8" max="8" width="12.21875" customWidth="1"/>
    <col min="9" max="9" width="14.21875" customWidth="1"/>
  </cols>
  <sheetData>
    <row r="1" spans="1:9" ht="22.8" x14ac:dyDescent="0.4">
      <c r="A1" s="10" t="s">
        <v>40</v>
      </c>
      <c r="B1" s="10"/>
      <c r="C1" s="10"/>
      <c r="D1" s="10"/>
      <c r="E1" s="10"/>
      <c r="F1" s="10"/>
      <c r="G1" s="10"/>
      <c r="H1" s="10"/>
      <c r="I1" s="10"/>
    </row>
    <row r="2" spans="1:9" ht="22.8" x14ac:dyDescent="0.4">
      <c r="A2" s="10" t="s">
        <v>41</v>
      </c>
      <c r="B2" s="10"/>
      <c r="C2" s="10"/>
      <c r="D2" s="10"/>
      <c r="E2" s="10"/>
      <c r="F2" s="10"/>
      <c r="G2" s="10"/>
      <c r="H2" s="10"/>
      <c r="I2" s="10"/>
    </row>
    <row r="3" spans="1:9" ht="57" customHeight="1" x14ac:dyDescent="0.25">
      <c r="A3" s="198" t="s">
        <v>801</v>
      </c>
      <c r="B3" s="199"/>
      <c r="C3" s="199"/>
      <c r="D3" s="199"/>
      <c r="E3" s="199"/>
      <c r="F3" s="199"/>
      <c r="G3" s="199"/>
      <c r="H3" s="199"/>
      <c r="I3" s="199"/>
    </row>
    <row r="4" spans="1:9" ht="26.25" customHeight="1" x14ac:dyDescent="0.25">
      <c r="A4" s="9" t="s">
        <v>793</v>
      </c>
    </row>
    <row r="5" spans="1:9" ht="26.4" customHeight="1" x14ac:dyDescent="0.25">
      <c r="B5" s="198" t="s">
        <v>794</v>
      </c>
      <c r="C5" s="199"/>
      <c r="D5" s="199"/>
      <c r="E5" s="199"/>
      <c r="F5" s="199"/>
      <c r="G5" s="199"/>
      <c r="H5" s="199"/>
      <c r="I5" s="199"/>
    </row>
    <row r="6" spans="1:9" ht="25.5" customHeight="1" x14ac:dyDescent="0.25">
      <c r="A6" s="9" t="s">
        <v>795</v>
      </c>
    </row>
    <row r="7" spans="1:9" ht="13.8" customHeight="1" x14ac:dyDescent="0.25">
      <c r="B7" s="198" t="s">
        <v>796</v>
      </c>
      <c r="C7" s="199"/>
      <c r="D7" s="199"/>
      <c r="E7" s="199"/>
      <c r="F7" s="199"/>
      <c r="G7" s="199"/>
      <c r="H7" s="199"/>
      <c r="I7" s="199"/>
    </row>
    <row r="8" spans="1:9" ht="25.5" customHeight="1" x14ac:dyDescent="0.25">
      <c r="A8" s="9" t="s">
        <v>616</v>
      </c>
    </row>
    <row r="9" spans="1:9" ht="39.6" customHeight="1" x14ac:dyDescent="0.25">
      <c r="B9" s="198" t="s">
        <v>797</v>
      </c>
      <c r="C9" s="199"/>
      <c r="D9" s="199"/>
      <c r="E9" s="199"/>
      <c r="F9" s="199"/>
      <c r="G9" s="199"/>
      <c r="H9" s="199"/>
      <c r="I9" s="199"/>
    </row>
    <row r="10" spans="1:9" ht="25.5" customHeight="1" x14ac:dyDescent="0.25">
      <c r="A10" s="9" t="s">
        <v>798</v>
      </c>
      <c r="B10" s="55"/>
      <c r="C10" s="55"/>
      <c r="D10" s="55"/>
      <c r="E10" s="55"/>
      <c r="F10" s="55"/>
      <c r="G10" s="55"/>
      <c r="H10" s="55"/>
      <c r="I10" s="55"/>
    </row>
    <row r="11" spans="1:9" ht="24.6" customHeight="1" x14ac:dyDescent="0.25">
      <c r="B11" s="198" t="s">
        <v>805</v>
      </c>
      <c r="C11" s="198"/>
      <c r="D11" s="198"/>
      <c r="E11" s="198"/>
      <c r="F11" s="198"/>
      <c r="G11" s="198"/>
      <c r="H11" s="198"/>
      <c r="I11" s="198"/>
    </row>
    <row r="12" spans="1:9" ht="25.5" customHeight="1" x14ac:dyDescent="0.25">
      <c r="A12" s="9" t="s">
        <v>799</v>
      </c>
      <c r="B12" s="55"/>
      <c r="C12" s="55"/>
      <c r="D12" s="55"/>
      <c r="E12" s="55"/>
      <c r="F12" s="55"/>
      <c r="G12" s="55"/>
      <c r="H12" s="55"/>
      <c r="I12" s="55"/>
    </row>
    <row r="13" spans="1:9" ht="13.2" customHeight="1" x14ac:dyDescent="0.25">
      <c r="B13" s="198" t="s">
        <v>800</v>
      </c>
      <c r="C13" s="198"/>
      <c r="D13" s="198"/>
      <c r="E13" s="198"/>
      <c r="F13" s="198"/>
      <c r="G13" s="198"/>
      <c r="H13" s="198"/>
      <c r="I13" s="198"/>
    </row>
    <row r="14" spans="1:9" ht="38.25" customHeight="1" x14ac:dyDescent="0.25">
      <c r="A14" s="198" t="s">
        <v>60</v>
      </c>
      <c r="B14" s="199"/>
      <c r="C14" s="199"/>
      <c r="D14" s="199"/>
      <c r="E14" s="199"/>
      <c r="F14" s="199"/>
      <c r="G14" s="199"/>
      <c r="H14" s="199"/>
      <c r="I14" s="199"/>
    </row>
    <row r="15" spans="1:9" ht="42" customHeight="1" x14ac:dyDescent="0.25">
      <c r="A15" s="200" t="s">
        <v>828</v>
      </c>
      <c r="B15" s="200"/>
      <c r="C15" s="200"/>
      <c r="D15" s="200"/>
      <c r="E15" s="200"/>
      <c r="F15" s="200"/>
      <c r="G15" s="200"/>
      <c r="H15" s="200"/>
      <c r="I15" s="200"/>
    </row>
    <row r="16" spans="1:9" ht="24" customHeight="1" x14ac:dyDescent="0.25">
      <c r="A16" s="198" t="s">
        <v>609</v>
      </c>
      <c r="B16" s="199"/>
      <c r="C16" s="199"/>
      <c r="D16" s="199"/>
      <c r="E16" s="199"/>
      <c r="F16" s="199"/>
      <c r="G16" s="199"/>
      <c r="H16" s="199"/>
      <c r="I16" s="199"/>
    </row>
  </sheetData>
  <mergeCells count="9">
    <mergeCell ref="A16:I16"/>
    <mergeCell ref="A15:I15"/>
    <mergeCell ref="A14:I14"/>
    <mergeCell ref="A3:I3"/>
    <mergeCell ref="B9:I9"/>
    <mergeCell ref="B5:I5"/>
    <mergeCell ref="B7:I7"/>
    <mergeCell ref="B11:I11"/>
    <mergeCell ref="B13:I13"/>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CB4D-8AF1-4D11-BCCD-F00D64DA0E12}">
  <sheetPr>
    <tabColor theme="9" tint="0.79998168889431442"/>
  </sheetPr>
  <dimension ref="A2:N435"/>
  <sheetViews>
    <sheetView workbookViewId="0"/>
  </sheetViews>
  <sheetFormatPr defaultRowHeight="13.2" x14ac:dyDescent="0.25"/>
  <cols>
    <col min="1" max="1" width="18.88671875" bestFit="1" customWidth="1"/>
    <col min="2" max="2" width="54.5546875" bestFit="1" customWidth="1"/>
  </cols>
  <sheetData>
    <row r="2" spans="1:14" ht="14.4" x14ac:dyDescent="0.3">
      <c r="A2" s="84" t="s">
        <v>153</v>
      </c>
      <c r="B2" s="83"/>
      <c r="C2" s="83"/>
      <c r="D2" s="83"/>
      <c r="E2" s="83"/>
      <c r="F2" s="83"/>
      <c r="G2" s="83"/>
      <c r="H2" s="83"/>
      <c r="I2" s="83"/>
      <c r="J2" s="83"/>
      <c r="K2" s="83"/>
      <c r="L2" s="83"/>
      <c r="M2" s="83"/>
      <c r="N2" s="83"/>
    </row>
    <row r="9" spans="1:14" ht="18" x14ac:dyDescent="0.25">
      <c r="A9" s="236" t="s">
        <v>154</v>
      </c>
      <c r="B9" s="236"/>
      <c r="C9" s="236"/>
      <c r="D9" s="236"/>
      <c r="E9" s="236"/>
      <c r="F9" s="236"/>
      <c r="G9" s="236"/>
      <c r="H9" s="236"/>
      <c r="I9" s="236"/>
      <c r="J9" s="236"/>
      <c r="K9" s="236"/>
      <c r="L9" s="236"/>
      <c r="M9" s="236"/>
      <c r="N9" s="236"/>
    </row>
    <row r="10" spans="1:14" ht="18" x14ac:dyDescent="0.35">
      <c r="A10" s="237" t="s">
        <v>155</v>
      </c>
      <c r="B10" s="237"/>
      <c r="C10" s="237"/>
      <c r="D10" s="237"/>
      <c r="E10" s="237"/>
      <c r="F10" s="237"/>
      <c r="G10" s="237"/>
      <c r="H10" s="237"/>
      <c r="I10" s="237"/>
      <c r="J10" s="237"/>
      <c r="K10" s="237"/>
      <c r="L10" s="237"/>
      <c r="M10" s="237"/>
      <c r="N10" s="237"/>
    </row>
    <row r="12" spans="1:14" x14ac:dyDescent="0.25">
      <c r="A12" s="238" t="s">
        <v>156</v>
      </c>
      <c r="B12" s="238"/>
      <c r="C12" s="238"/>
      <c r="D12" s="238"/>
      <c r="E12" s="238"/>
      <c r="F12" s="238"/>
      <c r="G12" s="238"/>
      <c r="H12" s="238"/>
      <c r="I12" s="238"/>
      <c r="J12" s="238"/>
      <c r="K12" s="238"/>
      <c r="L12" s="238"/>
      <c r="M12" s="238"/>
      <c r="N12" s="238"/>
    </row>
    <row r="14" spans="1:14" ht="13.8" x14ac:dyDescent="0.25">
      <c r="A14" s="230" t="s">
        <v>157</v>
      </c>
      <c r="B14" s="231"/>
      <c r="C14" s="231"/>
      <c r="D14" s="231"/>
      <c r="E14" s="231"/>
      <c r="F14" s="231"/>
      <c r="G14" s="231"/>
      <c r="H14" s="231"/>
      <c r="I14" s="231"/>
      <c r="J14" s="231"/>
      <c r="K14" s="231"/>
      <c r="L14" s="231"/>
      <c r="M14" s="231"/>
      <c r="N14" s="231"/>
    </row>
    <row r="15" spans="1:14" ht="14.4" x14ac:dyDescent="0.3">
      <c r="A15" s="217" t="s">
        <v>158</v>
      </c>
      <c r="B15" s="218"/>
      <c r="C15" s="218"/>
      <c r="D15" s="218"/>
      <c r="E15" s="218"/>
      <c r="F15" s="218"/>
      <c r="G15" s="218"/>
      <c r="H15" s="218"/>
      <c r="I15" s="218"/>
      <c r="J15" s="218"/>
      <c r="K15" s="218"/>
      <c r="L15" s="218"/>
      <c r="M15" s="218"/>
      <c r="N15" s="218"/>
    </row>
    <row r="16" spans="1:14" ht="13.8" x14ac:dyDescent="0.25">
      <c r="A16" s="232" t="s">
        <v>579</v>
      </c>
      <c r="B16" s="233"/>
      <c r="C16" s="233"/>
      <c r="D16" s="233"/>
      <c r="E16" s="233"/>
      <c r="F16" s="233"/>
      <c r="G16" s="233"/>
      <c r="H16" s="233"/>
      <c r="I16" s="233"/>
      <c r="J16" s="233"/>
      <c r="K16" s="233"/>
      <c r="L16" s="233"/>
      <c r="M16" s="233"/>
      <c r="N16" s="233"/>
    </row>
    <row r="17" spans="1:14" ht="14.4" x14ac:dyDescent="0.3">
      <c r="A17" s="217" t="s">
        <v>160</v>
      </c>
      <c r="B17" s="218"/>
      <c r="C17" s="218"/>
      <c r="D17" s="218"/>
      <c r="E17" s="218"/>
      <c r="F17" s="218"/>
      <c r="G17" s="218"/>
      <c r="H17" s="218"/>
      <c r="I17" s="218"/>
      <c r="J17" s="218"/>
      <c r="K17" s="218"/>
      <c r="L17" s="218"/>
      <c r="M17" s="218"/>
      <c r="N17" s="218"/>
    </row>
    <row r="18" spans="1:14" ht="13.8" x14ac:dyDescent="0.25">
      <c r="A18" s="85"/>
      <c r="B18" s="86"/>
      <c r="C18" s="86"/>
      <c r="D18" s="86"/>
      <c r="E18" s="86"/>
      <c r="F18" s="86"/>
      <c r="G18" s="86"/>
      <c r="H18" s="86"/>
      <c r="I18" s="86"/>
      <c r="J18" s="86"/>
      <c r="K18" s="86"/>
      <c r="L18" s="86"/>
      <c r="M18" s="86"/>
      <c r="N18" s="86"/>
    </row>
    <row r="19" spans="1:14" x14ac:dyDescent="0.25">
      <c r="A19" s="234" t="s">
        <v>161</v>
      </c>
      <c r="B19" s="235"/>
      <c r="C19" s="235"/>
      <c r="D19" s="235"/>
      <c r="E19" s="235"/>
      <c r="F19" s="235"/>
      <c r="G19" s="235"/>
      <c r="H19" s="235"/>
      <c r="I19" s="235"/>
      <c r="J19" s="235"/>
      <c r="K19" s="235"/>
      <c r="L19" s="235"/>
      <c r="M19" s="235"/>
      <c r="N19" s="235"/>
    </row>
    <row r="20" spans="1:14" x14ac:dyDescent="0.25">
      <c r="A20" s="234" t="s">
        <v>162</v>
      </c>
      <c r="B20" s="235"/>
      <c r="C20" s="235"/>
      <c r="D20" s="235"/>
      <c r="E20" s="235"/>
      <c r="F20" s="235"/>
      <c r="G20" s="235"/>
      <c r="H20" s="235"/>
      <c r="I20" s="235"/>
      <c r="J20" s="235"/>
      <c r="K20" s="235"/>
      <c r="L20" s="235"/>
      <c r="M20" s="235"/>
      <c r="N20" s="235"/>
    </row>
    <row r="21" spans="1:14" x14ac:dyDescent="0.25">
      <c r="A21" s="223"/>
      <c r="B21" s="224"/>
      <c r="C21" s="224"/>
      <c r="D21" s="224"/>
      <c r="E21" s="224"/>
      <c r="F21" s="224"/>
      <c r="G21" s="224"/>
      <c r="H21" s="224"/>
      <c r="I21" s="224"/>
      <c r="J21" s="224"/>
      <c r="K21" s="224"/>
      <c r="L21" s="224"/>
      <c r="M21" s="224"/>
      <c r="N21" s="224"/>
    </row>
    <row r="22" spans="1:14" x14ac:dyDescent="0.25">
      <c r="A22" s="225" t="s">
        <v>580</v>
      </c>
      <c r="B22" s="226"/>
      <c r="C22" s="226"/>
      <c r="D22" s="226"/>
      <c r="E22" s="226"/>
      <c r="F22" s="226"/>
      <c r="G22" s="226"/>
      <c r="H22" s="226"/>
      <c r="I22" s="226"/>
      <c r="J22" s="227"/>
      <c r="K22" s="227"/>
      <c r="L22" s="87"/>
      <c r="M22" s="228" t="s">
        <v>569</v>
      </c>
      <c r="N22" s="229"/>
    </row>
    <row r="23" spans="1:14" ht="79.2" x14ac:dyDescent="0.25">
      <c r="A23" s="88" t="s">
        <v>66</v>
      </c>
      <c r="B23" s="88" t="s">
        <v>26</v>
      </c>
      <c r="C23" s="89" t="s">
        <v>581</v>
      </c>
      <c r="D23" s="90" t="s">
        <v>582</v>
      </c>
      <c r="E23" s="90" t="s">
        <v>583</v>
      </c>
      <c r="F23" s="90" t="s">
        <v>584</v>
      </c>
      <c r="G23" s="90" t="s">
        <v>585</v>
      </c>
      <c r="H23" s="90" t="s">
        <v>586</v>
      </c>
      <c r="I23" s="91"/>
      <c r="J23" s="92" t="s">
        <v>587</v>
      </c>
      <c r="K23" s="93" t="s">
        <v>588</v>
      </c>
      <c r="L23" s="93"/>
      <c r="M23" s="94" t="s">
        <v>570</v>
      </c>
      <c r="N23" s="94" t="s">
        <v>571</v>
      </c>
    </row>
    <row r="24" spans="1:14" x14ac:dyDescent="0.25">
      <c r="A24" s="95">
        <v>1285687962</v>
      </c>
      <c r="B24" s="96" t="s">
        <v>173</v>
      </c>
      <c r="C24" s="97">
        <v>234.43</v>
      </c>
      <c r="D24" s="98">
        <v>1.1191</v>
      </c>
      <c r="E24" s="99">
        <v>132.66</v>
      </c>
      <c r="F24" s="99">
        <v>36.85</v>
      </c>
      <c r="G24" s="99">
        <v>17.25</v>
      </c>
      <c r="H24" s="99">
        <v>13.68</v>
      </c>
      <c r="I24" s="100"/>
      <c r="J24" s="97">
        <v>231.51</v>
      </c>
      <c r="K24" s="97">
        <v>234.43</v>
      </c>
      <c r="L24" s="101"/>
      <c r="M24" s="102">
        <v>47.5</v>
      </c>
      <c r="N24" s="102">
        <v>281.93</v>
      </c>
    </row>
    <row r="25" spans="1:14" x14ac:dyDescent="0.25">
      <c r="A25" s="95">
        <v>1245227578</v>
      </c>
      <c r="B25" s="96" t="s">
        <v>174</v>
      </c>
      <c r="C25" s="97">
        <v>235.65</v>
      </c>
      <c r="D25" s="98">
        <v>1.0627</v>
      </c>
      <c r="E25" s="99">
        <v>128.53</v>
      </c>
      <c r="F25" s="99">
        <v>36.85</v>
      </c>
      <c r="G25" s="99">
        <v>35.520000000000003</v>
      </c>
      <c r="H25" s="99">
        <v>0</v>
      </c>
      <c r="I25" s="100"/>
      <c r="J25" s="97">
        <v>232.04</v>
      </c>
      <c r="K25" s="97">
        <v>235.65</v>
      </c>
      <c r="L25" s="101"/>
      <c r="M25" s="102">
        <v>47.5</v>
      </c>
      <c r="N25" s="102">
        <v>283.14999999999998</v>
      </c>
    </row>
    <row r="26" spans="1:14" x14ac:dyDescent="0.25">
      <c r="A26" s="95">
        <v>1427608959</v>
      </c>
      <c r="B26" s="96" t="s">
        <v>175</v>
      </c>
      <c r="C26" s="97">
        <v>244.21</v>
      </c>
      <c r="D26" s="98">
        <v>1.2278</v>
      </c>
      <c r="E26" s="99">
        <v>143.30000000000001</v>
      </c>
      <c r="F26" s="99">
        <v>36.85</v>
      </c>
      <c r="G26" s="99">
        <v>15.96</v>
      </c>
      <c r="H26" s="99">
        <v>13.68</v>
      </c>
      <c r="I26" s="100"/>
      <c r="J26" s="97">
        <v>242.31</v>
      </c>
      <c r="K26" s="97">
        <v>244.21</v>
      </c>
      <c r="L26" s="101"/>
      <c r="M26" s="102">
        <v>47.5</v>
      </c>
      <c r="N26" s="102">
        <v>291.71000000000004</v>
      </c>
    </row>
    <row r="27" spans="1:14" x14ac:dyDescent="0.25">
      <c r="A27" s="95">
        <v>1063919652</v>
      </c>
      <c r="B27" s="96" t="s">
        <v>176</v>
      </c>
      <c r="C27" s="97">
        <v>248.94</v>
      </c>
      <c r="D27" s="98">
        <v>1.1934</v>
      </c>
      <c r="E27" s="99">
        <v>138.5</v>
      </c>
      <c r="F27" s="99">
        <v>36.85</v>
      </c>
      <c r="G27" s="99">
        <v>17.239999999999998</v>
      </c>
      <c r="H27" s="99">
        <v>13.68</v>
      </c>
      <c r="I27" s="100"/>
      <c r="J27" s="97">
        <v>238.24</v>
      </c>
      <c r="K27" s="97">
        <v>248.94</v>
      </c>
      <c r="L27" s="101"/>
      <c r="M27" s="102">
        <v>47.5</v>
      </c>
      <c r="N27" s="102">
        <v>296.44</v>
      </c>
    </row>
    <row r="28" spans="1:14" x14ac:dyDescent="0.25">
      <c r="A28" s="95">
        <v>1518435650</v>
      </c>
      <c r="B28" s="96" t="s">
        <v>177</v>
      </c>
      <c r="C28" s="97">
        <v>258.07</v>
      </c>
      <c r="D28" s="98">
        <v>1.1121000000000001</v>
      </c>
      <c r="E28" s="99">
        <v>132.88999999999999</v>
      </c>
      <c r="F28" s="99">
        <v>36.85</v>
      </c>
      <c r="G28" s="99">
        <v>34.200000000000003</v>
      </c>
      <c r="H28" s="99">
        <v>13.68</v>
      </c>
      <c r="I28" s="100"/>
      <c r="J28" s="97">
        <v>251.35</v>
      </c>
      <c r="K28" s="97">
        <v>258.07</v>
      </c>
      <c r="L28" s="101"/>
      <c r="M28" s="102">
        <v>47.5</v>
      </c>
      <c r="N28" s="102">
        <v>305.57</v>
      </c>
    </row>
    <row r="29" spans="1:14" x14ac:dyDescent="0.25">
      <c r="A29" s="95">
        <v>1669991865</v>
      </c>
      <c r="B29" s="96" t="s">
        <v>178</v>
      </c>
      <c r="C29" s="97">
        <v>238.29</v>
      </c>
      <c r="D29" s="98">
        <v>1.0694999999999999</v>
      </c>
      <c r="E29" s="99">
        <v>128.88999999999999</v>
      </c>
      <c r="F29" s="99">
        <v>36.85</v>
      </c>
      <c r="G29" s="99">
        <v>9.85</v>
      </c>
      <c r="H29" s="99">
        <v>13.68</v>
      </c>
      <c r="I29" s="100"/>
      <c r="J29" s="97">
        <v>218.61</v>
      </c>
      <c r="K29" s="97">
        <v>238.29</v>
      </c>
      <c r="L29" s="101"/>
      <c r="M29" s="102">
        <v>47.5</v>
      </c>
      <c r="N29" s="102">
        <v>285.78999999999996</v>
      </c>
    </row>
    <row r="30" spans="1:14" x14ac:dyDescent="0.25">
      <c r="A30" s="95">
        <v>1871143305</v>
      </c>
      <c r="B30" s="96" t="s">
        <v>179</v>
      </c>
      <c r="C30" s="97">
        <v>233.23</v>
      </c>
      <c r="D30" s="98">
        <v>1.1232</v>
      </c>
      <c r="E30" s="99">
        <v>132.55000000000001</v>
      </c>
      <c r="F30" s="99">
        <v>36.85</v>
      </c>
      <c r="G30" s="99">
        <v>7.55</v>
      </c>
      <c r="H30" s="99">
        <v>13.68</v>
      </c>
      <c r="I30" s="100"/>
      <c r="J30" s="97">
        <v>220.18</v>
      </c>
      <c r="K30" s="97">
        <v>233.23</v>
      </c>
      <c r="L30" s="101"/>
      <c r="M30" s="102">
        <v>47.5</v>
      </c>
      <c r="N30" s="102">
        <v>280.73</v>
      </c>
    </row>
    <row r="31" spans="1:14" x14ac:dyDescent="0.25">
      <c r="A31" s="95">
        <v>1992242119</v>
      </c>
      <c r="B31" s="96" t="s">
        <v>180</v>
      </c>
      <c r="C31" s="97">
        <v>233.17</v>
      </c>
      <c r="D31" s="98">
        <v>1.1436999999999999</v>
      </c>
      <c r="E31" s="99">
        <v>134.15</v>
      </c>
      <c r="F31" s="99">
        <v>36.85</v>
      </c>
      <c r="G31" s="99">
        <v>13.55</v>
      </c>
      <c r="H31" s="99">
        <v>7.18</v>
      </c>
      <c r="I31" s="100"/>
      <c r="J31" s="97">
        <v>221.45</v>
      </c>
      <c r="K31" s="97">
        <v>233.17</v>
      </c>
      <c r="L31" s="101"/>
      <c r="M31" s="102">
        <v>47.5</v>
      </c>
      <c r="N31" s="102">
        <v>280.66999999999996</v>
      </c>
    </row>
    <row r="32" spans="1:14" x14ac:dyDescent="0.25">
      <c r="A32" s="101">
        <v>1043703945</v>
      </c>
      <c r="B32" s="96" t="s">
        <v>181</v>
      </c>
      <c r="C32" s="97">
        <v>241.56</v>
      </c>
      <c r="D32" s="98">
        <v>1.0218</v>
      </c>
      <c r="E32" s="99">
        <v>124.95</v>
      </c>
      <c r="F32" s="99">
        <v>36.85</v>
      </c>
      <c r="G32" s="99">
        <v>24.34</v>
      </c>
      <c r="H32" s="99">
        <v>13.68</v>
      </c>
      <c r="I32" s="100"/>
      <c r="J32" s="97">
        <v>230.79</v>
      </c>
      <c r="K32" s="97">
        <v>241.56</v>
      </c>
      <c r="L32" s="101"/>
      <c r="M32" s="102">
        <v>47.5</v>
      </c>
      <c r="N32" s="102">
        <v>289.06</v>
      </c>
    </row>
    <row r="33" spans="1:14" x14ac:dyDescent="0.25">
      <c r="A33" s="95">
        <v>1831649268</v>
      </c>
      <c r="B33" s="96" t="s">
        <v>182</v>
      </c>
      <c r="C33" s="97">
        <v>245.24</v>
      </c>
      <c r="D33" s="98">
        <v>1.1993</v>
      </c>
      <c r="E33" s="99">
        <v>137.77000000000001</v>
      </c>
      <c r="F33" s="99">
        <v>36.85</v>
      </c>
      <c r="G33" s="99">
        <v>17.14</v>
      </c>
      <c r="H33" s="99">
        <v>13.68</v>
      </c>
      <c r="I33" s="100"/>
      <c r="J33" s="97">
        <v>237.28</v>
      </c>
      <c r="K33" s="97">
        <v>245.24</v>
      </c>
      <c r="L33" s="101"/>
      <c r="M33" s="102">
        <v>47.5</v>
      </c>
      <c r="N33" s="102">
        <v>292.74</v>
      </c>
    </row>
    <row r="34" spans="1:14" x14ac:dyDescent="0.25">
      <c r="A34" s="95">
        <v>1689147035</v>
      </c>
      <c r="B34" s="96" t="s">
        <v>183</v>
      </c>
      <c r="C34" s="97">
        <v>235.01</v>
      </c>
      <c r="D34" s="98">
        <v>1.0524</v>
      </c>
      <c r="E34" s="99">
        <v>127.54</v>
      </c>
      <c r="F34" s="99">
        <v>36.85</v>
      </c>
      <c r="G34" s="99">
        <v>10.23</v>
      </c>
      <c r="H34" s="99">
        <v>13.68</v>
      </c>
      <c r="I34" s="100"/>
      <c r="J34" s="97">
        <v>217.49</v>
      </c>
      <c r="K34" s="97">
        <v>235.01</v>
      </c>
      <c r="L34" s="101"/>
      <c r="M34" s="102">
        <v>47.5</v>
      </c>
      <c r="N34" s="102">
        <v>282.51</v>
      </c>
    </row>
    <row r="35" spans="1:14" x14ac:dyDescent="0.25">
      <c r="A35" s="95">
        <v>1295391795</v>
      </c>
      <c r="B35" s="96" t="s">
        <v>184</v>
      </c>
      <c r="C35" s="97">
        <v>225.99</v>
      </c>
      <c r="D35" s="98">
        <v>1.0815999999999999</v>
      </c>
      <c r="E35" s="99">
        <v>129.61000000000001</v>
      </c>
      <c r="F35" s="99">
        <v>36.85</v>
      </c>
      <c r="G35" s="99">
        <v>8.36</v>
      </c>
      <c r="H35" s="99">
        <v>13.68</v>
      </c>
      <c r="I35" s="100"/>
      <c r="J35" s="97">
        <v>217.72</v>
      </c>
      <c r="K35" s="97">
        <v>225.99</v>
      </c>
      <c r="L35" s="101"/>
      <c r="M35" s="102">
        <v>47.5</v>
      </c>
      <c r="N35" s="102">
        <v>273.49</v>
      </c>
    </row>
    <row r="36" spans="1:14" x14ac:dyDescent="0.25">
      <c r="A36" s="95">
        <v>1598262198</v>
      </c>
      <c r="B36" s="96" t="s">
        <v>185</v>
      </c>
      <c r="C36" s="97">
        <v>264.39999999999998</v>
      </c>
      <c r="D36" s="98">
        <v>1.2445999999999999</v>
      </c>
      <c r="E36" s="99">
        <v>144</v>
      </c>
      <c r="F36" s="99">
        <v>36.85</v>
      </c>
      <c r="G36" s="99">
        <v>20.56</v>
      </c>
      <c r="H36" s="99">
        <v>13.68</v>
      </c>
      <c r="I36" s="100"/>
      <c r="J36" s="97">
        <v>248.43</v>
      </c>
      <c r="K36" s="97">
        <v>264.39999999999998</v>
      </c>
      <c r="L36" s="101"/>
      <c r="M36" s="102">
        <v>47.5</v>
      </c>
      <c r="N36" s="102">
        <v>311.89999999999998</v>
      </c>
    </row>
    <row r="37" spans="1:14" x14ac:dyDescent="0.25">
      <c r="A37" s="95">
        <v>1437627593</v>
      </c>
      <c r="B37" s="96" t="s">
        <v>186</v>
      </c>
      <c r="C37" s="97">
        <v>244.77</v>
      </c>
      <c r="D37" s="98">
        <v>1.1189</v>
      </c>
      <c r="E37" s="99">
        <v>132.94</v>
      </c>
      <c r="F37" s="99">
        <v>36.85</v>
      </c>
      <c r="G37" s="99">
        <v>17.79</v>
      </c>
      <c r="H37" s="99">
        <v>13.68</v>
      </c>
      <c r="I37" s="100"/>
      <c r="J37" s="97">
        <v>232.46</v>
      </c>
      <c r="K37" s="97">
        <v>244.77</v>
      </c>
      <c r="L37" s="101"/>
      <c r="M37" s="102">
        <v>47.5</v>
      </c>
      <c r="N37" s="102">
        <v>292.27</v>
      </c>
    </row>
    <row r="38" spans="1:14" x14ac:dyDescent="0.25">
      <c r="A38" s="95">
        <v>1598233645</v>
      </c>
      <c r="B38" s="96" t="s">
        <v>187</v>
      </c>
      <c r="C38" s="97">
        <v>256.48</v>
      </c>
      <c r="D38" s="98">
        <v>1.1124000000000001</v>
      </c>
      <c r="E38" s="99">
        <v>132.30000000000001</v>
      </c>
      <c r="F38" s="99">
        <v>36.85</v>
      </c>
      <c r="G38" s="99">
        <v>25.78</v>
      </c>
      <c r="H38" s="99">
        <v>13.68</v>
      </c>
      <c r="I38" s="100"/>
      <c r="J38" s="97">
        <v>240.94</v>
      </c>
      <c r="K38" s="97">
        <v>256.48</v>
      </c>
      <c r="L38" s="101"/>
      <c r="M38" s="102">
        <v>47.5</v>
      </c>
      <c r="N38" s="102">
        <v>303.98</v>
      </c>
    </row>
    <row r="39" spans="1:14" x14ac:dyDescent="0.25">
      <c r="A39" s="95">
        <v>1659849701</v>
      </c>
      <c r="B39" s="96" t="s">
        <v>188</v>
      </c>
      <c r="C39" s="97">
        <v>249.6</v>
      </c>
      <c r="D39" s="98">
        <v>1.0799000000000001</v>
      </c>
      <c r="E39" s="99">
        <v>130.26</v>
      </c>
      <c r="F39" s="99">
        <v>36.85</v>
      </c>
      <c r="G39" s="99">
        <v>16.03</v>
      </c>
      <c r="H39" s="99">
        <v>13.68</v>
      </c>
      <c r="I39" s="100"/>
      <c r="J39" s="97">
        <v>227.33</v>
      </c>
      <c r="K39" s="97">
        <v>249.6</v>
      </c>
      <c r="L39" s="101"/>
      <c r="M39" s="102">
        <v>47.5</v>
      </c>
      <c r="N39" s="102">
        <v>297.10000000000002</v>
      </c>
    </row>
    <row r="40" spans="1:14" x14ac:dyDescent="0.25">
      <c r="A40" s="95">
        <v>1770149270</v>
      </c>
      <c r="B40" s="96" t="s">
        <v>189</v>
      </c>
      <c r="C40" s="97">
        <v>251.2</v>
      </c>
      <c r="D40" s="98">
        <v>1.1460999999999999</v>
      </c>
      <c r="E40" s="99">
        <v>134.27000000000001</v>
      </c>
      <c r="F40" s="99">
        <v>36.85</v>
      </c>
      <c r="G40" s="99">
        <v>21.74</v>
      </c>
      <c r="H40" s="99">
        <v>13.68</v>
      </c>
      <c r="I40" s="100"/>
      <c r="J40" s="97">
        <v>238.55</v>
      </c>
      <c r="K40" s="97">
        <v>251.2</v>
      </c>
      <c r="L40" s="101"/>
      <c r="M40" s="102">
        <v>47.5</v>
      </c>
      <c r="N40" s="102">
        <v>298.7</v>
      </c>
    </row>
    <row r="41" spans="1:14" x14ac:dyDescent="0.25">
      <c r="A41" s="95">
        <v>1699310839</v>
      </c>
      <c r="B41" s="96" t="s">
        <v>190</v>
      </c>
      <c r="C41" s="97">
        <v>250.68</v>
      </c>
      <c r="D41" s="98">
        <v>1.1812</v>
      </c>
      <c r="E41" s="99">
        <v>138.51</v>
      </c>
      <c r="F41" s="99">
        <v>36.85</v>
      </c>
      <c r="G41" s="99">
        <v>18.32</v>
      </c>
      <c r="H41" s="99">
        <v>13.68</v>
      </c>
      <c r="I41" s="100"/>
      <c r="J41" s="97">
        <v>239.5</v>
      </c>
      <c r="K41" s="97">
        <v>250.68</v>
      </c>
      <c r="L41" s="101"/>
      <c r="M41" s="102">
        <v>47.5</v>
      </c>
      <c r="N41" s="102">
        <v>298.18</v>
      </c>
    </row>
    <row r="42" spans="1:14" x14ac:dyDescent="0.25">
      <c r="A42" s="95">
        <v>1932606530</v>
      </c>
      <c r="B42" s="96" t="s">
        <v>191</v>
      </c>
      <c r="C42" s="97">
        <v>221.27</v>
      </c>
      <c r="D42" s="98">
        <v>1.1041000000000001</v>
      </c>
      <c r="E42" s="99">
        <v>131.88999999999999</v>
      </c>
      <c r="F42" s="99">
        <v>36.85</v>
      </c>
      <c r="G42" s="99">
        <v>9.33</v>
      </c>
      <c r="H42" s="99">
        <v>7.18</v>
      </c>
      <c r="I42" s="100"/>
      <c r="J42" s="97">
        <v>213.96</v>
      </c>
      <c r="K42" s="97">
        <v>221.27</v>
      </c>
      <c r="L42" s="101"/>
      <c r="M42" s="102">
        <v>47.5</v>
      </c>
      <c r="N42" s="102">
        <v>268.77</v>
      </c>
    </row>
    <row r="43" spans="1:14" x14ac:dyDescent="0.25">
      <c r="A43" s="95">
        <v>1528505757</v>
      </c>
      <c r="B43" s="96" t="s">
        <v>192</v>
      </c>
      <c r="C43" s="97">
        <v>242.09</v>
      </c>
      <c r="D43" s="98">
        <v>1.1616</v>
      </c>
      <c r="E43" s="99">
        <v>135.30000000000001</v>
      </c>
      <c r="F43" s="99">
        <v>36.85</v>
      </c>
      <c r="G43" s="99">
        <v>16.45</v>
      </c>
      <c r="H43" s="99">
        <v>13.68</v>
      </c>
      <c r="I43" s="100"/>
      <c r="J43" s="97">
        <v>233.63</v>
      </c>
      <c r="K43" s="97">
        <v>242.09</v>
      </c>
      <c r="L43" s="101"/>
      <c r="M43" s="102">
        <v>47.5</v>
      </c>
      <c r="N43" s="102">
        <v>289.59000000000003</v>
      </c>
    </row>
    <row r="44" spans="1:14" x14ac:dyDescent="0.25">
      <c r="A44" s="95">
        <v>1972071033</v>
      </c>
      <c r="B44" s="96" t="s">
        <v>193</v>
      </c>
      <c r="C44" s="97">
        <v>239.2</v>
      </c>
      <c r="D44" s="98">
        <v>1.1302000000000001</v>
      </c>
      <c r="E44" s="99">
        <v>133.96</v>
      </c>
      <c r="F44" s="99">
        <v>36.85</v>
      </c>
      <c r="G44" s="99">
        <v>11.47</v>
      </c>
      <c r="H44" s="99">
        <v>13.68</v>
      </c>
      <c r="I44" s="100"/>
      <c r="J44" s="97">
        <v>226.33</v>
      </c>
      <c r="K44" s="97">
        <v>239.2</v>
      </c>
      <c r="L44" s="101"/>
      <c r="M44" s="102">
        <v>47.5</v>
      </c>
      <c r="N44" s="102">
        <v>286.7</v>
      </c>
    </row>
    <row r="45" spans="1:14" x14ac:dyDescent="0.25">
      <c r="A45" s="95">
        <v>1841840378</v>
      </c>
      <c r="B45" s="96" t="s">
        <v>194</v>
      </c>
      <c r="C45" s="97">
        <v>228.9</v>
      </c>
      <c r="D45" s="98">
        <v>1.0761000000000001</v>
      </c>
      <c r="E45" s="99">
        <v>128.9</v>
      </c>
      <c r="F45" s="99">
        <v>36.85</v>
      </c>
      <c r="G45" s="99">
        <v>8.0399999999999991</v>
      </c>
      <c r="H45" s="99">
        <v>13.68</v>
      </c>
      <c r="I45" s="100"/>
      <c r="J45" s="97">
        <v>216.53</v>
      </c>
      <c r="K45" s="97">
        <v>228.9</v>
      </c>
      <c r="L45" s="101"/>
      <c r="M45" s="102">
        <v>47.5</v>
      </c>
      <c r="N45" s="102">
        <v>276.39999999999998</v>
      </c>
    </row>
    <row r="46" spans="1:14" x14ac:dyDescent="0.25">
      <c r="A46" s="95">
        <v>1245737840</v>
      </c>
      <c r="B46" s="96" t="s">
        <v>195</v>
      </c>
      <c r="C46" s="97">
        <v>254.75</v>
      </c>
      <c r="D46" s="98">
        <v>1.2303999999999999</v>
      </c>
      <c r="E46" s="99">
        <v>140.9</v>
      </c>
      <c r="F46" s="99">
        <v>36.85</v>
      </c>
      <c r="G46" s="99">
        <v>24.33</v>
      </c>
      <c r="H46" s="99">
        <v>13.68</v>
      </c>
      <c r="I46" s="100"/>
      <c r="J46" s="97">
        <v>249.2</v>
      </c>
      <c r="K46" s="97">
        <v>254.75</v>
      </c>
      <c r="L46" s="101"/>
      <c r="M46" s="102">
        <v>47.5</v>
      </c>
      <c r="N46" s="102">
        <v>302.25</v>
      </c>
    </row>
    <row r="47" spans="1:14" x14ac:dyDescent="0.25">
      <c r="A47" s="95">
        <v>1760032296</v>
      </c>
      <c r="B47" s="96" t="s">
        <v>196</v>
      </c>
      <c r="C47" s="97">
        <v>236.35</v>
      </c>
      <c r="D47" s="98">
        <v>1.2266999999999999</v>
      </c>
      <c r="E47" s="99">
        <v>138.52000000000001</v>
      </c>
      <c r="F47" s="99">
        <v>36.85</v>
      </c>
      <c r="G47" s="99">
        <v>7.31</v>
      </c>
      <c r="H47" s="99">
        <v>13.68</v>
      </c>
      <c r="I47" s="100"/>
      <c r="J47" s="97">
        <v>226.8</v>
      </c>
      <c r="K47" s="97">
        <v>236.35</v>
      </c>
      <c r="L47" s="101"/>
      <c r="M47" s="102">
        <v>47.5</v>
      </c>
      <c r="N47" s="102">
        <v>283.85000000000002</v>
      </c>
    </row>
    <row r="48" spans="1:14" x14ac:dyDescent="0.25">
      <c r="A48" s="95">
        <v>1205357878</v>
      </c>
      <c r="B48" s="96" t="s">
        <v>197</v>
      </c>
      <c r="C48" s="97">
        <v>253.61</v>
      </c>
      <c r="D48" s="98">
        <v>1.3008999999999999</v>
      </c>
      <c r="E48" s="99">
        <v>142.63</v>
      </c>
      <c r="F48" s="99">
        <v>36.85</v>
      </c>
      <c r="G48" s="99">
        <v>23.8</v>
      </c>
      <c r="H48" s="99">
        <v>13.68</v>
      </c>
      <c r="I48" s="100"/>
      <c r="J48" s="97">
        <v>250.59</v>
      </c>
      <c r="K48" s="97">
        <v>253.61</v>
      </c>
      <c r="L48" s="101"/>
      <c r="M48" s="102">
        <v>47.5</v>
      </c>
      <c r="N48" s="102">
        <v>301.11</v>
      </c>
    </row>
    <row r="49" spans="1:14" x14ac:dyDescent="0.25">
      <c r="A49" s="95">
        <v>1578059085</v>
      </c>
      <c r="B49" s="96" t="s">
        <v>198</v>
      </c>
      <c r="C49" s="97">
        <v>230.27</v>
      </c>
      <c r="D49" s="98">
        <v>1.0069999999999999</v>
      </c>
      <c r="E49" s="99">
        <v>123.82</v>
      </c>
      <c r="F49" s="99">
        <v>36.85</v>
      </c>
      <c r="G49" s="99">
        <v>12.45</v>
      </c>
      <c r="H49" s="99">
        <v>13.68</v>
      </c>
      <c r="I49" s="100"/>
      <c r="J49" s="97">
        <v>215.75</v>
      </c>
      <c r="K49" s="97">
        <v>230.27</v>
      </c>
      <c r="L49" s="101"/>
      <c r="M49" s="102">
        <v>47.5</v>
      </c>
      <c r="N49" s="102">
        <v>277.77</v>
      </c>
    </row>
    <row r="50" spans="1:14" x14ac:dyDescent="0.25">
      <c r="A50" s="95">
        <v>1366552739</v>
      </c>
      <c r="B50" s="101" t="s">
        <v>199</v>
      </c>
      <c r="C50" s="97">
        <v>241.86</v>
      </c>
      <c r="D50" s="98">
        <v>1.2574000000000001</v>
      </c>
      <c r="E50" s="99">
        <v>143.37</v>
      </c>
      <c r="F50" s="99">
        <v>36.85</v>
      </c>
      <c r="G50" s="99">
        <v>13.65</v>
      </c>
      <c r="H50" s="99">
        <v>13.68</v>
      </c>
      <c r="I50" s="100"/>
      <c r="J50" s="97">
        <v>239.72</v>
      </c>
      <c r="K50" s="97">
        <v>241.86</v>
      </c>
      <c r="L50" s="101"/>
      <c r="M50" s="102">
        <v>47.5</v>
      </c>
      <c r="N50" s="102">
        <v>289.36</v>
      </c>
    </row>
    <row r="51" spans="1:14" x14ac:dyDescent="0.25">
      <c r="A51" s="95">
        <v>1114501442</v>
      </c>
      <c r="B51" s="96" t="s">
        <v>200</v>
      </c>
      <c r="C51" s="97">
        <v>219.02</v>
      </c>
      <c r="D51" s="98">
        <v>1.1047</v>
      </c>
      <c r="E51" s="99">
        <v>132.13</v>
      </c>
      <c r="F51" s="99">
        <v>36.85</v>
      </c>
      <c r="G51" s="99">
        <v>16.079999999999998</v>
      </c>
      <c r="H51" s="99">
        <v>7.18</v>
      </c>
      <c r="I51" s="100"/>
      <c r="J51" s="97">
        <v>222.04</v>
      </c>
      <c r="K51" s="97">
        <v>222.04</v>
      </c>
      <c r="L51" s="101"/>
      <c r="M51" s="102">
        <v>47.5</v>
      </c>
      <c r="N51" s="102">
        <v>269.53999999999996</v>
      </c>
    </row>
    <row r="52" spans="1:14" x14ac:dyDescent="0.25">
      <c r="A52" s="95">
        <v>1245337880</v>
      </c>
      <c r="B52" s="96" t="s">
        <v>201</v>
      </c>
      <c r="C52" s="97">
        <v>246.36</v>
      </c>
      <c r="D52" s="98">
        <v>1.3142</v>
      </c>
      <c r="E52" s="99">
        <v>148.83000000000001</v>
      </c>
      <c r="F52" s="99">
        <v>36.85</v>
      </c>
      <c r="G52" s="99">
        <v>12.4</v>
      </c>
      <c r="H52" s="99">
        <v>13.68</v>
      </c>
      <c r="I52" s="100"/>
      <c r="J52" s="97">
        <v>244.58</v>
      </c>
      <c r="K52" s="97">
        <v>246.36</v>
      </c>
      <c r="L52" s="101"/>
      <c r="M52" s="102">
        <v>47.5</v>
      </c>
      <c r="N52" s="102">
        <v>293.86</v>
      </c>
    </row>
    <row r="53" spans="1:14" x14ac:dyDescent="0.25">
      <c r="A53" s="95">
        <v>1639122328</v>
      </c>
      <c r="B53" s="96" t="s">
        <v>202</v>
      </c>
      <c r="C53" s="97">
        <v>211.01</v>
      </c>
      <c r="D53" s="98">
        <v>0.98409999999999997</v>
      </c>
      <c r="E53" s="99">
        <v>122.19</v>
      </c>
      <c r="F53" s="99">
        <v>36.85</v>
      </c>
      <c r="G53" s="99">
        <v>8.59</v>
      </c>
      <c r="H53" s="99">
        <v>13.68</v>
      </c>
      <c r="I53" s="100"/>
      <c r="J53" s="97">
        <v>209.41</v>
      </c>
      <c r="K53" s="97">
        <v>211.01</v>
      </c>
      <c r="L53" s="101"/>
      <c r="M53" s="102">
        <v>47.5</v>
      </c>
      <c r="N53" s="102">
        <v>258.51</v>
      </c>
    </row>
    <row r="54" spans="1:14" x14ac:dyDescent="0.25">
      <c r="A54" s="95">
        <v>1023671765</v>
      </c>
      <c r="B54" s="96" t="s">
        <v>203</v>
      </c>
      <c r="C54" s="97">
        <v>240.21</v>
      </c>
      <c r="D54" s="98">
        <v>1.3152999999999999</v>
      </c>
      <c r="E54" s="99">
        <v>148.49</v>
      </c>
      <c r="F54" s="99">
        <v>36.85</v>
      </c>
      <c r="G54" s="99">
        <v>8.1300000000000008</v>
      </c>
      <c r="H54" s="99">
        <v>13.68</v>
      </c>
      <c r="I54" s="100"/>
      <c r="J54" s="97">
        <v>239.26</v>
      </c>
      <c r="K54" s="97">
        <v>240.21</v>
      </c>
      <c r="L54" s="101"/>
      <c r="M54" s="102">
        <v>47.5</v>
      </c>
      <c r="N54" s="102">
        <v>287.71000000000004</v>
      </c>
    </row>
    <row r="55" spans="1:14" x14ac:dyDescent="0.25">
      <c r="A55" s="95">
        <v>1962509505</v>
      </c>
      <c r="B55" s="96" t="s">
        <v>204</v>
      </c>
      <c r="C55" s="97">
        <v>251.36</v>
      </c>
      <c r="D55" s="98">
        <v>1.2968</v>
      </c>
      <c r="E55" s="99">
        <v>146.1</v>
      </c>
      <c r="F55" s="99">
        <v>36.85</v>
      </c>
      <c r="G55" s="99">
        <v>20.96</v>
      </c>
      <c r="H55" s="99">
        <v>13.68</v>
      </c>
      <c r="I55" s="100"/>
      <c r="J55" s="97">
        <v>251.32</v>
      </c>
      <c r="K55" s="97">
        <v>251.36</v>
      </c>
      <c r="L55" s="101"/>
      <c r="M55" s="102">
        <v>47.5</v>
      </c>
      <c r="N55" s="102">
        <v>298.86</v>
      </c>
    </row>
    <row r="56" spans="1:14" x14ac:dyDescent="0.25">
      <c r="A56" s="95">
        <v>1487060893</v>
      </c>
      <c r="B56" s="96" t="s">
        <v>205</v>
      </c>
      <c r="C56" s="97">
        <v>260.41000000000003</v>
      </c>
      <c r="D56" s="98">
        <v>1.3095000000000001</v>
      </c>
      <c r="E56" s="99">
        <v>154.11000000000001</v>
      </c>
      <c r="F56" s="99">
        <v>36.85</v>
      </c>
      <c r="G56" s="99">
        <v>14.46</v>
      </c>
      <c r="H56" s="99">
        <v>13.68</v>
      </c>
      <c r="I56" s="100"/>
      <c r="J56" s="97">
        <v>253.06</v>
      </c>
      <c r="K56" s="97">
        <v>260.41000000000003</v>
      </c>
      <c r="L56" s="101"/>
      <c r="M56" s="102">
        <v>47.5</v>
      </c>
      <c r="N56" s="102">
        <v>307.91000000000003</v>
      </c>
    </row>
    <row r="57" spans="1:14" x14ac:dyDescent="0.25">
      <c r="A57" s="95">
        <v>1992998504</v>
      </c>
      <c r="B57" s="101" t="s">
        <v>206</v>
      </c>
      <c r="C57" s="97">
        <v>212.45</v>
      </c>
      <c r="D57" s="98">
        <v>0.95250000000000001</v>
      </c>
      <c r="E57" s="99">
        <v>120.3</v>
      </c>
      <c r="F57" s="99">
        <v>36.85</v>
      </c>
      <c r="G57" s="99">
        <v>20.76</v>
      </c>
      <c r="H57" s="99">
        <v>0</v>
      </c>
      <c r="I57" s="100"/>
      <c r="J57" s="97">
        <v>205.5</v>
      </c>
      <c r="K57" s="97">
        <v>212.45</v>
      </c>
      <c r="L57" s="101"/>
      <c r="M57" s="102">
        <v>47.5</v>
      </c>
      <c r="N57" s="102">
        <v>259.95</v>
      </c>
    </row>
    <row r="58" spans="1:14" x14ac:dyDescent="0.25">
      <c r="A58" s="95">
        <v>1982130811</v>
      </c>
      <c r="B58" s="101" t="s">
        <v>207</v>
      </c>
      <c r="C58" s="97">
        <v>263.89</v>
      </c>
      <c r="D58" s="98">
        <v>1.2998000000000001</v>
      </c>
      <c r="E58" s="99">
        <v>146.58000000000001</v>
      </c>
      <c r="F58" s="99">
        <v>36.85</v>
      </c>
      <c r="G58" s="99">
        <v>20.67</v>
      </c>
      <c r="H58" s="99">
        <v>13.68</v>
      </c>
      <c r="I58" s="100"/>
      <c r="J58" s="97">
        <v>251.54</v>
      </c>
      <c r="K58" s="97">
        <v>263.89</v>
      </c>
      <c r="L58" s="101"/>
      <c r="M58" s="102">
        <v>47.5</v>
      </c>
      <c r="N58" s="102">
        <v>311.39</v>
      </c>
    </row>
    <row r="59" spans="1:14" x14ac:dyDescent="0.25">
      <c r="A59" s="95">
        <v>1194722629</v>
      </c>
      <c r="B59" s="96" t="s">
        <v>208</v>
      </c>
      <c r="C59" s="97">
        <v>257.89</v>
      </c>
      <c r="D59" s="98">
        <v>1.2655000000000001</v>
      </c>
      <c r="E59" s="99">
        <v>146.52000000000001</v>
      </c>
      <c r="F59" s="99">
        <v>36.85</v>
      </c>
      <c r="G59" s="99">
        <v>29.81</v>
      </c>
      <c r="H59" s="99">
        <v>13.68</v>
      </c>
      <c r="I59" s="100"/>
      <c r="J59" s="97">
        <v>262.02</v>
      </c>
      <c r="K59" s="97">
        <v>262.02</v>
      </c>
      <c r="L59" s="101"/>
      <c r="M59" s="102">
        <v>47.5</v>
      </c>
      <c r="N59" s="102">
        <v>309.52</v>
      </c>
    </row>
    <row r="60" spans="1:14" x14ac:dyDescent="0.25">
      <c r="A60" s="95">
        <v>1255878245</v>
      </c>
      <c r="B60" s="96" t="s">
        <v>209</v>
      </c>
      <c r="C60" s="97">
        <v>234.33</v>
      </c>
      <c r="D60" s="98">
        <v>1.1605000000000001</v>
      </c>
      <c r="E60" s="99">
        <v>135.99</v>
      </c>
      <c r="F60" s="99">
        <v>36.85</v>
      </c>
      <c r="G60" s="99">
        <v>10.98</v>
      </c>
      <c r="H60" s="99">
        <v>13.68</v>
      </c>
      <c r="I60" s="100"/>
      <c r="J60" s="97">
        <v>228.11</v>
      </c>
      <c r="K60" s="97">
        <v>234.33</v>
      </c>
      <c r="L60" s="101"/>
      <c r="M60" s="102">
        <v>47.5</v>
      </c>
      <c r="N60" s="102">
        <v>281.83000000000004</v>
      </c>
    </row>
    <row r="61" spans="1:14" x14ac:dyDescent="0.25">
      <c r="A61" s="95">
        <v>1376932889</v>
      </c>
      <c r="B61" s="101" t="s">
        <v>210</v>
      </c>
      <c r="C61" s="97">
        <v>250</v>
      </c>
      <c r="D61" s="98">
        <v>1.0964</v>
      </c>
      <c r="E61" s="99">
        <v>131.19</v>
      </c>
      <c r="F61" s="99">
        <v>36.85</v>
      </c>
      <c r="G61" s="99">
        <v>34.25</v>
      </c>
      <c r="H61" s="99">
        <v>13.68</v>
      </c>
      <c r="I61" s="100"/>
      <c r="J61" s="97">
        <v>249.45</v>
      </c>
      <c r="K61" s="97">
        <v>250</v>
      </c>
      <c r="L61" s="101"/>
      <c r="M61" s="102">
        <v>47.5</v>
      </c>
      <c r="N61" s="102">
        <v>297.5</v>
      </c>
    </row>
    <row r="62" spans="1:14" x14ac:dyDescent="0.25">
      <c r="A62" s="95">
        <v>1275519506</v>
      </c>
      <c r="B62" s="96" t="s">
        <v>211</v>
      </c>
      <c r="C62" s="97">
        <v>238.31</v>
      </c>
      <c r="D62" s="98">
        <v>1.2549999999999999</v>
      </c>
      <c r="E62" s="99">
        <v>142.84</v>
      </c>
      <c r="F62" s="99">
        <v>36.85</v>
      </c>
      <c r="G62" s="99">
        <v>9.76</v>
      </c>
      <c r="H62" s="99">
        <v>13.68</v>
      </c>
      <c r="I62" s="100"/>
      <c r="J62" s="97">
        <v>234.62</v>
      </c>
      <c r="K62" s="97">
        <v>238.31</v>
      </c>
      <c r="L62" s="101"/>
      <c r="M62" s="102">
        <v>47.5</v>
      </c>
      <c r="N62" s="102">
        <v>285.81</v>
      </c>
    </row>
    <row r="63" spans="1:14" x14ac:dyDescent="0.25">
      <c r="A63" s="95">
        <v>1114463932</v>
      </c>
      <c r="B63" s="101" t="s">
        <v>212</v>
      </c>
      <c r="C63" s="97">
        <v>251.54</v>
      </c>
      <c r="D63" s="98">
        <v>1.2332000000000001</v>
      </c>
      <c r="E63" s="99">
        <v>141.54</v>
      </c>
      <c r="F63" s="99">
        <v>36.85</v>
      </c>
      <c r="G63" s="99">
        <v>31.03</v>
      </c>
      <c r="H63" s="99">
        <v>13.68</v>
      </c>
      <c r="I63" s="100"/>
      <c r="J63" s="97">
        <v>257.68</v>
      </c>
      <c r="K63" s="97">
        <v>257.68</v>
      </c>
      <c r="L63" s="101"/>
      <c r="M63" s="102">
        <v>47.5</v>
      </c>
      <c r="N63" s="102">
        <v>305.18</v>
      </c>
    </row>
    <row r="64" spans="1:14" x14ac:dyDescent="0.25">
      <c r="A64" s="95">
        <v>1609852375</v>
      </c>
      <c r="B64" s="96" t="s">
        <v>213</v>
      </c>
      <c r="C64" s="97">
        <v>233.63</v>
      </c>
      <c r="D64" s="98">
        <v>1.1242000000000001</v>
      </c>
      <c r="E64" s="99">
        <v>132.82</v>
      </c>
      <c r="F64" s="99">
        <v>36.85</v>
      </c>
      <c r="G64" s="99">
        <v>8.1199999999999992</v>
      </c>
      <c r="H64" s="99">
        <v>13.68</v>
      </c>
      <c r="I64" s="100"/>
      <c r="J64" s="97">
        <v>221.15</v>
      </c>
      <c r="K64" s="97">
        <v>233.63</v>
      </c>
      <c r="L64" s="101"/>
      <c r="M64" s="102">
        <v>47.5</v>
      </c>
      <c r="N64" s="102">
        <v>281.13</v>
      </c>
    </row>
    <row r="65" spans="1:14" x14ac:dyDescent="0.25">
      <c r="A65" s="95">
        <v>1093791337</v>
      </c>
      <c r="B65" s="96" t="s">
        <v>214</v>
      </c>
      <c r="C65" s="97">
        <v>237.66</v>
      </c>
      <c r="D65" s="98">
        <v>1.0919000000000001</v>
      </c>
      <c r="E65" s="99">
        <v>130.68</v>
      </c>
      <c r="F65" s="99">
        <v>36.85</v>
      </c>
      <c r="G65" s="99">
        <v>21.85</v>
      </c>
      <c r="H65" s="99">
        <v>13.68</v>
      </c>
      <c r="I65" s="100"/>
      <c r="J65" s="97">
        <v>234.53</v>
      </c>
      <c r="K65" s="97">
        <v>237.66</v>
      </c>
      <c r="L65" s="101"/>
      <c r="M65" s="102">
        <v>47.5</v>
      </c>
      <c r="N65" s="102">
        <v>285.15999999999997</v>
      </c>
    </row>
    <row r="66" spans="1:14" x14ac:dyDescent="0.25">
      <c r="A66" s="95">
        <v>1073599635</v>
      </c>
      <c r="B66" s="96" t="s">
        <v>215</v>
      </c>
      <c r="C66" s="97">
        <v>242.19</v>
      </c>
      <c r="D66" s="98">
        <v>1.1211</v>
      </c>
      <c r="E66" s="99">
        <v>132.62</v>
      </c>
      <c r="F66" s="99">
        <v>36.85</v>
      </c>
      <c r="G66" s="99">
        <v>24.66</v>
      </c>
      <c r="H66" s="99">
        <v>13.68</v>
      </c>
      <c r="I66" s="100"/>
      <c r="J66" s="97">
        <v>240.02</v>
      </c>
      <c r="K66" s="97">
        <v>242.19</v>
      </c>
      <c r="L66" s="101"/>
      <c r="M66" s="102">
        <v>47.5</v>
      </c>
      <c r="N66" s="102">
        <v>289.69</v>
      </c>
    </row>
    <row r="67" spans="1:14" x14ac:dyDescent="0.25">
      <c r="A67" s="95">
        <v>1053396788</v>
      </c>
      <c r="B67" s="96" t="s">
        <v>216</v>
      </c>
      <c r="C67" s="97">
        <v>254.9</v>
      </c>
      <c r="D67" s="98">
        <v>1.1332</v>
      </c>
      <c r="E67" s="99">
        <v>134.12</v>
      </c>
      <c r="F67" s="99">
        <v>36.85</v>
      </c>
      <c r="G67" s="99">
        <v>28.98</v>
      </c>
      <c r="H67" s="99">
        <v>13.68</v>
      </c>
      <c r="I67" s="100"/>
      <c r="J67" s="97">
        <v>246.74</v>
      </c>
      <c r="K67" s="97">
        <v>254.9</v>
      </c>
      <c r="L67" s="101"/>
      <c r="M67" s="102">
        <v>47.5</v>
      </c>
      <c r="N67" s="102">
        <v>302.39999999999998</v>
      </c>
    </row>
    <row r="68" spans="1:14" x14ac:dyDescent="0.25">
      <c r="A68" s="95">
        <v>1851377543</v>
      </c>
      <c r="B68" s="96" t="s">
        <v>217</v>
      </c>
      <c r="C68" s="97">
        <v>237.94</v>
      </c>
      <c r="D68" s="98">
        <v>1.1868000000000001</v>
      </c>
      <c r="E68" s="99">
        <v>137.97999999999999</v>
      </c>
      <c r="F68" s="99">
        <v>36.85</v>
      </c>
      <c r="G68" s="99">
        <v>15.61</v>
      </c>
      <c r="H68" s="99">
        <v>13.68</v>
      </c>
      <c r="I68" s="100"/>
      <c r="J68" s="97">
        <v>235.76</v>
      </c>
      <c r="K68" s="97">
        <v>237.94</v>
      </c>
      <c r="L68" s="101"/>
      <c r="M68" s="102">
        <v>47.5</v>
      </c>
      <c r="N68" s="102">
        <v>285.44</v>
      </c>
    </row>
    <row r="69" spans="1:14" x14ac:dyDescent="0.25">
      <c r="A69" s="95">
        <v>1508842295</v>
      </c>
      <c r="B69" s="96" t="s">
        <v>218</v>
      </c>
      <c r="C69" s="97">
        <v>241.41</v>
      </c>
      <c r="D69" s="98">
        <v>1.1833</v>
      </c>
      <c r="E69" s="99">
        <v>137.28</v>
      </c>
      <c r="F69" s="99">
        <v>36.85</v>
      </c>
      <c r="G69" s="99">
        <v>25.67</v>
      </c>
      <c r="H69" s="99">
        <v>13.68</v>
      </c>
      <c r="I69" s="100"/>
      <c r="J69" s="97">
        <v>246.57</v>
      </c>
      <c r="K69" s="97">
        <v>246.57</v>
      </c>
      <c r="L69" s="101"/>
      <c r="M69" s="102">
        <v>47.5</v>
      </c>
      <c r="N69" s="102">
        <v>294.07</v>
      </c>
    </row>
    <row r="70" spans="1:14" x14ac:dyDescent="0.25">
      <c r="A70" s="95">
        <v>1639155302</v>
      </c>
      <c r="B70" s="96" t="s">
        <v>219</v>
      </c>
      <c r="C70" s="97">
        <v>253.55</v>
      </c>
      <c r="D70" s="98">
        <v>1.3771</v>
      </c>
      <c r="E70" s="99">
        <v>153.07</v>
      </c>
      <c r="F70" s="99">
        <v>36.85</v>
      </c>
      <c r="G70" s="99">
        <v>9.4600000000000009</v>
      </c>
      <c r="H70" s="99">
        <v>13.68</v>
      </c>
      <c r="I70" s="100"/>
      <c r="J70" s="97">
        <v>246.08</v>
      </c>
      <c r="K70" s="97">
        <v>253.55</v>
      </c>
      <c r="L70" s="101"/>
      <c r="M70" s="102">
        <v>47.5</v>
      </c>
      <c r="N70" s="102">
        <v>301.05</v>
      </c>
    </row>
    <row r="71" spans="1:14" x14ac:dyDescent="0.25">
      <c r="A71" s="95">
        <v>1346226040</v>
      </c>
      <c r="B71" s="96" t="s">
        <v>220</v>
      </c>
      <c r="C71" s="97">
        <v>238.36</v>
      </c>
      <c r="D71" s="98">
        <v>1.1616</v>
      </c>
      <c r="E71" s="99">
        <v>136.28</v>
      </c>
      <c r="F71" s="99">
        <v>36.85</v>
      </c>
      <c r="G71" s="99">
        <v>11.64</v>
      </c>
      <c r="H71" s="99">
        <v>13.68</v>
      </c>
      <c r="I71" s="100"/>
      <c r="J71" s="97">
        <v>229.21</v>
      </c>
      <c r="K71" s="97">
        <v>238.36</v>
      </c>
      <c r="L71" s="101"/>
      <c r="M71" s="102">
        <v>47.5</v>
      </c>
      <c r="N71" s="102">
        <v>285.86</v>
      </c>
    </row>
    <row r="72" spans="1:14" x14ac:dyDescent="0.25">
      <c r="A72" s="95">
        <v>1730722240</v>
      </c>
      <c r="B72" s="96" t="s">
        <v>221</v>
      </c>
      <c r="C72" s="97">
        <v>254.26</v>
      </c>
      <c r="D72" s="98">
        <v>1.2511000000000001</v>
      </c>
      <c r="E72" s="99">
        <v>142.58000000000001</v>
      </c>
      <c r="F72" s="99">
        <v>36.85</v>
      </c>
      <c r="G72" s="99">
        <v>26.6</v>
      </c>
      <c r="H72" s="99">
        <v>13.68</v>
      </c>
      <c r="I72" s="100"/>
      <c r="J72" s="97">
        <v>253.77</v>
      </c>
      <c r="K72" s="97">
        <v>254.26</v>
      </c>
      <c r="L72" s="101"/>
      <c r="M72" s="102">
        <v>47.5</v>
      </c>
      <c r="N72" s="102">
        <v>301.76</v>
      </c>
    </row>
    <row r="73" spans="1:14" x14ac:dyDescent="0.25">
      <c r="A73" s="95">
        <v>1528044294</v>
      </c>
      <c r="B73" s="96" t="s">
        <v>222</v>
      </c>
      <c r="C73" s="97">
        <v>249.24</v>
      </c>
      <c r="D73" s="98">
        <v>1.2141</v>
      </c>
      <c r="E73" s="99">
        <v>141</v>
      </c>
      <c r="F73" s="99">
        <v>36.85</v>
      </c>
      <c r="G73" s="99">
        <v>17.27</v>
      </c>
      <c r="H73" s="99">
        <v>13.68</v>
      </c>
      <c r="I73" s="100"/>
      <c r="J73" s="97">
        <v>241.16</v>
      </c>
      <c r="K73" s="97">
        <v>249.24</v>
      </c>
      <c r="L73" s="101"/>
      <c r="M73" s="102">
        <v>47.5</v>
      </c>
      <c r="N73" s="102">
        <v>296.74</v>
      </c>
    </row>
    <row r="74" spans="1:14" x14ac:dyDescent="0.25">
      <c r="A74" s="95">
        <v>1356372650</v>
      </c>
      <c r="B74" s="96" t="s">
        <v>223</v>
      </c>
      <c r="C74" s="97">
        <v>247.7</v>
      </c>
      <c r="D74" s="98">
        <v>1.3168</v>
      </c>
      <c r="E74" s="99">
        <v>145.16999999999999</v>
      </c>
      <c r="F74" s="99">
        <v>36.85</v>
      </c>
      <c r="G74" s="99">
        <v>17.29</v>
      </c>
      <c r="H74" s="99">
        <v>13.68</v>
      </c>
      <c r="I74" s="100"/>
      <c r="J74" s="97">
        <v>246</v>
      </c>
      <c r="K74" s="97">
        <v>247.7</v>
      </c>
      <c r="L74" s="101"/>
      <c r="M74" s="102">
        <v>47.5</v>
      </c>
      <c r="N74" s="102">
        <v>295.2</v>
      </c>
    </row>
    <row r="75" spans="1:14" x14ac:dyDescent="0.25">
      <c r="A75" s="95">
        <v>1255682522</v>
      </c>
      <c r="B75" s="101" t="s">
        <v>224</v>
      </c>
      <c r="C75" s="97">
        <v>250.51</v>
      </c>
      <c r="D75" s="98">
        <v>1.1566000000000001</v>
      </c>
      <c r="E75" s="99">
        <v>135.74</v>
      </c>
      <c r="F75" s="99">
        <v>36.85</v>
      </c>
      <c r="G75" s="99">
        <v>24.28</v>
      </c>
      <c r="H75" s="99">
        <v>13.68</v>
      </c>
      <c r="I75" s="100"/>
      <c r="J75" s="97">
        <v>243.2</v>
      </c>
      <c r="K75" s="97">
        <v>250.51</v>
      </c>
      <c r="L75" s="101"/>
      <c r="M75" s="102">
        <v>47.5</v>
      </c>
      <c r="N75" s="102">
        <v>298.01</v>
      </c>
    </row>
    <row r="76" spans="1:14" x14ac:dyDescent="0.25">
      <c r="A76" s="95">
        <v>1225064777</v>
      </c>
      <c r="B76" s="96" t="s">
        <v>225</v>
      </c>
      <c r="C76" s="97">
        <v>223.08</v>
      </c>
      <c r="D76" s="98">
        <v>1.1815</v>
      </c>
      <c r="E76" s="99">
        <v>137.15</v>
      </c>
      <c r="F76" s="99">
        <v>36.85</v>
      </c>
      <c r="G76" s="99">
        <v>9.73</v>
      </c>
      <c r="H76" s="99">
        <v>7.18</v>
      </c>
      <c r="I76" s="100"/>
      <c r="J76" s="97">
        <v>220.5</v>
      </c>
      <c r="K76" s="97">
        <v>223.08</v>
      </c>
      <c r="L76" s="101"/>
      <c r="M76" s="102">
        <v>47.5</v>
      </c>
      <c r="N76" s="102">
        <v>270.58000000000004</v>
      </c>
    </row>
    <row r="77" spans="1:14" x14ac:dyDescent="0.25">
      <c r="A77" s="95">
        <v>1649254582</v>
      </c>
      <c r="B77" s="96" t="s">
        <v>226</v>
      </c>
      <c r="C77" s="97">
        <v>265.57</v>
      </c>
      <c r="D77" s="98">
        <v>1.1648000000000001</v>
      </c>
      <c r="E77" s="99">
        <v>137.04</v>
      </c>
      <c r="F77" s="99">
        <v>36.85</v>
      </c>
      <c r="G77" s="99">
        <v>32.119999999999997</v>
      </c>
      <c r="H77" s="99">
        <v>13.68</v>
      </c>
      <c r="I77" s="100"/>
      <c r="J77" s="97">
        <v>253.74</v>
      </c>
      <c r="K77" s="97">
        <v>265.57</v>
      </c>
      <c r="L77" s="101"/>
      <c r="M77" s="102">
        <v>47.5</v>
      </c>
      <c r="N77" s="102">
        <v>313.07</v>
      </c>
    </row>
    <row r="78" spans="1:14" x14ac:dyDescent="0.25">
      <c r="A78" s="95">
        <v>1316512346</v>
      </c>
      <c r="B78" s="96" t="s">
        <v>227</v>
      </c>
      <c r="C78" s="97">
        <v>242.49</v>
      </c>
      <c r="D78" s="98">
        <v>1.1509</v>
      </c>
      <c r="E78" s="99">
        <v>134.93</v>
      </c>
      <c r="F78" s="99">
        <v>36.85</v>
      </c>
      <c r="G78" s="99">
        <v>20.83</v>
      </c>
      <c r="H78" s="99">
        <v>13.68</v>
      </c>
      <c r="I78" s="100"/>
      <c r="J78" s="97">
        <v>238.26</v>
      </c>
      <c r="K78" s="97">
        <v>242.49</v>
      </c>
      <c r="L78" s="101"/>
      <c r="M78" s="102">
        <v>47.5</v>
      </c>
      <c r="N78" s="102">
        <v>289.99</v>
      </c>
    </row>
    <row r="79" spans="1:14" x14ac:dyDescent="0.25">
      <c r="A79" s="95">
        <v>1093228397</v>
      </c>
      <c r="B79" s="101" t="s">
        <v>228</v>
      </c>
      <c r="C79" s="97">
        <v>250.59</v>
      </c>
      <c r="D79" s="98">
        <v>1.1013999999999999</v>
      </c>
      <c r="E79" s="99">
        <v>131.57</v>
      </c>
      <c r="F79" s="99">
        <v>36.85</v>
      </c>
      <c r="G79" s="99">
        <v>22.9</v>
      </c>
      <c r="H79" s="99">
        <v>13.68</v>
      </c>
      <c r="I79" s="100"/>
      <c r="J79" s="97">
        <v>236.78</v>
      </c>
      <c r="K79" s="97">
        <v>250.59</v>
      </c>
      <c r="L79" s="101"/>
      <c r="M79" s="102">
        <v>47.5</v>
      </c>
      <c r="N79" s="102">
        <v>298.09000000000003</v>
      </c>
    </row>
    <row r="80" spans="1:14" x14ac:dyDescent="0.25">
      <c r="A80" s="95">
        <v>1891908687</v>
      </c>
      <c r="B80" s="101" t="s">
        <v>229</v>
      </c>
      <c r="C80" s="97">
        <v>242.93</v>
      </c>
      <c r="D80" s="98">
        <v>1.2744</v>
      </c>
      <c r="E80" s="99">
        <v>144.66</v>
      </c>
      <c r="F80" s="99">
        <v>36.85</v>
      </c>
      <c r="G80" s="99">
        <v>15.73</v>
      </c>
      <c r="H80" s="99">
        <v>13.68</v>
      </c>
      <c r="I80" s="100"/>
      <c r="J80" s="97">
        <v>243.61</v>
      </c>
      <c r="K80" s="97">
        <v>243.61</v>
      </c>
      <c r="L80" s="101"/>
      <c r="M80" s="102">
        <v>47.5</v>
      </c>
      <c r="N80" s="102">
        <v>291.11</v>
      </c>
    </row>
    <row r="81" spans="1:14" x14ac:dyDescent="0.25">
      <c r="A81" s="95">
        <v>1235175175</v>
      </c>
      <c r="B81" s="96" t="s">
        <v>230</v>
      </c>
      <c r="C81" s="97">
        <v>220.28</v>
      </c>
      <c r="D81" s="98">
        <v>1.1359999999999999</v>
      </c>
      <c r="E81" s="99">
        <v>133.37</v>
      </c>
      <c r="F81" s="99">
        <v>36.85</v>
      </c>
      <c r="G81" s="99">
        <v>8.1300000000000008</v>
      </c>
      <c r="H81" s="99">
        <v>7.18</v>
      </c>
      <c r="I81" s="100"/>
      <c r="J81" s="97">
        <v>214.29</v>
      </c>
      <c r="K81" s="97">
        <v>220.28</v>
      </c>
      <c r="L81" s="101"/>
      <c r="M81" s="102">
        <v>47.5</v>
      </c>
      <c r="N81" s="102">
        <v>267.77999999999997</v>
      </c>
    </row>
    <row r="82" spans="1:14" x14ac:dyDescent="0.25">
      <c r="A82" s="95">
        <v>1992724157</v>
      </c>
      <c r="B82" s="96" t="s">
        <v>231</v>
      </c>
      <c r="C82" s="97">
        <v>242.46</v>
      </c>
      <c r="D82" s="98">
        <v>1.1419999999999999</v>
      </c>
      <c r="E82" s="99">
        <v>135</v>
      </c>
      <c r="F82" s="99">
        <v>36.85</v>
      </c>
      <c r="G82" s="99">
        <v>10.1</v>
      </c>
      <c r="H82" s="99">
        <v>13.68</v>
      </c>
      <c r="I82" s="100"/>
      <c r="J82" s="97">
        <v>225.95</v>
      </c>
      <c r="K82" s="97">
        <v>242.46</v>
      </c>
      <c r="L82" s="101"/>
      <c r="M82" s="102">
        <v>47.5</v>
      </c>
      <c r="N82" s="102">
        <v>289.96000000000004</v>
      </c>
    </row>
    <row r="83" spans="1:14" x14ac:dyDescent="0.25">
      <c r="A83" s="95">
        <v>1174608350</v>
      </c>
      <c r="B83" s="96" t="s">
        <v>232</v>
      </c>
      <c r="C83" s="97">
        <v>239.7</v>
      </c>
      <c r="D83" s="98">
        <v>1.1788000000000001</v>
      </c>
      <c r="E83" s="99">
        <v>137.19</v>
      </c>
      <c r="F83" s="99">
        <v>36.85</v>
      </c>
      <c r="G83" s="99">
        <v>12.23</v>
      </c>
      <c r="H83" s="99">
        <v>13.68</v>
      </c>
      <c r="I83" s="100"/>
      <c r="J83" s="97">
        <v>230.94</v>
      </c>
      <c r="K83" s="97">
        <v>239.7</v>
      </c>
      <c r="L83" s="101"/>
      <c r="M83" s="102">
        <v>47.5</v>
      </c>
      <c r="N83" s="102">
        <v>287.2</v>
      </c>
    </row>
    <row r="84" spans="1:14" x14ac:dyDescent="0.25">
      <c r="A84" s="95">
        <v>1497283899</v>
      </c>
      <c r="B84" s="96" t="s">
        <v>233</v>
      </c>
      <c r="C84" s="97">
        <v>226.31</v>
      </c>
      <c r="D84" s="98">
        <v>1.0347</v>
      </c>
      <c r="E84" s="99">
        <v>126.07</v>
      </c>
      <c r="F84" s="99">
        <v>36.85</v>
      </c>
      <c r="G84" s="99">
        <v>10.15</v>
      </c>
      <c r="H84" s="99">
        <v>13.68</v>
      </c>
      <c r="I84" s="100"/>
      <c r="J84" s="97">
        <v>215.7</v>
      </c>
      <c r="K84" s="97">
        <v>226.31</v>
      </c>
      <c r="L84" s="101"/>
      <c r="M84" s="102">
        <v>47.5</v>
      </c>
      <c r="N84" s="102">
        <v>273.81</v>
      </c>
    </row>
    <row r="85" spans="1:14" x14ac:dyDescent="0.25">
      <c r="A85" s="95">
        <v>1578013876</v>
      </c>
      <c r="B85" s="96" t="s">
        <v>234</v>
      </c>
      <c r="C85" s="97">
        <v>232.56</v>
      </c>
      <c r="D85" s="98">
        <v>1.1637</v>
      </c>
      <c r="E85" s="99">
        <v>135.86000000000001</v>
      </c>
      <c r="F85" s="99">
        <v>36.85</v>
      </c>
      <c r="G85" s="99">
        <v>7.95</v>
      </c>
      <c r="H85" s="99">
        <v>13.68</v>
      </c>
      <c r="I85" s="100"/>
      <c r="J85" s="97">
        <v>224.46</v>
      </c>
      <c r="K85" s="97">
        <v>232.56</v>
      </c>
      <c r="L85" s="101"/>
      <c r="M85" s="102">
        <v>47.5</v>
      </c>
      <c r="N85" s="102">
        <v>280.06</v>
      </c>
    </row>
    <row r="86" spans="1:14" x14ac:dyDescent="0.25">
      <c r="A86" s="95">
        <v>1265441208</v>
      </c>
      <c r="B86" s="96" t="s">
        <v>235</v>
      </c>
      <c r="C86" s="97">
        <v>232.99</v>
      </c>
      <c r="D86" s="98">
        <v>1.07</v>
      </c>
      <c r="E86" s="99">
        <v>128.55000000000001</v>
      </c>
      <c r="F86" s="99">
        <v>36.85</v>
      </c>
      <c r="G86" s="99">
        <v>13.39</v>
      </c>
      <c r="H86" s="99">
        <v>13.68</v>
      </c>
      <c r="I86" s="100"/>
      <c r="J86" s="97">
        <v>222.3</v>
      </c>
      <c r="K86" s="97">
        <v>232.99</v>
      </c>
      <c r="L86" s="101"/>
      <c r="M86" s="102">
        <v>47.5</v>
      </c>
      <c r="N86" s="102">
        <v>280.49</v>
      </c>
    </row>
    <row r="87" spans="1:14" x14ac:dyDescent="0.25">
      <c r="A87" s="95">
        <v>1619099520</v>
      </c>
      <c r="B87" s="96" t="s">
        <v>236</v>
      </c>
      <c r="C87" s="97">
        <v>248.29</v>
      </c>
      <c r="D87" s="98">
        <v>1.2241</v>
      </c>
      <c r="E87" s="99">
        <v>141.11000000000001</v>
      </c>
      <c r="F87" s="99">
        <v>36.85</v>
      </c>
      <c r="G87" s="99">
        <v>17.32</v>
      </c>
      <c r="H87" s="99">
        <v>13.68</v>
      </c>
      <c r="I87" s="100"/>
      <c r="J87" s="97">
        <v>241.35</v>
      </c>
      <c r="K87" s="97">
        <v>248.29</v>
      </c>
      <c r="L87" s="101"/>
      <c r="M87" s="102">
        <v>47.5</v>
      </c>
      <c r="N87" s="102">
        <v>295.78999999999996</v>
      </c>
    </row>
    <row r="88" spans="1:14" x14ac:dyDescent="0.25">
      <c r="A88" s="95">
        <v>1245350289</v>
      </c>
      <c r="B88" s="96" t="s">
        <v>237</v>
      </c>
      <c r="C88" s="97">
        <v>236.35</v>
      </c>
      <c r="D88" s="98">
        <v>1.1943999999999999</v>
      </c>
      <c r="E88" s="99">
        <v>137.94</v>
      </c>
      <c r="F88" s="99">
        <v>36.85</v>
      </c>
      <c r="G88" s="99">
        <v>14.98</v>
      </c>
      <c r="H88" s="99">
        <v>13.68</v>
      </c>
      <c r="I88" s="100"/>
      <c r="J88" s="97">
        <v>234.98</v>
      </c>
      <c r="K88" s="97">
        <v>236.35</v>
      </c>
      <c r="L88" s="101"/>
      <c r="M88" s="102">
        <v>47.5</v>
      </c>
      <c r="N88" s="102">
        <v>283.85000000000002</v>
      </c>
    </row>
    <row r="89" spans="1:14" x14ac:dyDescent="0.25">
      <c r="A89" s="95">
        <v>1346360328</v>
      </c>
      <c r="B89" s="96" t="s">
        <v>238</v>
      </c>
      <c r="C89" s="97">
        <v>234.89</v>
      </c>
      <c r="D89" s="98">
        <v>1.2591000000000001</v>
      </c>
      <c r="E89" s="99">
        <v>145.01</v>
      </c>
      <c r="F89" s="99">
        <v>36.85</v>
      </c>
      <c r="G89" s="99">
        <v>12.8</v>
      </c>
      <c r="H89" s="99">
        <v>7.18</v>
      </c>
      <c r="I89" s="100"/>
      <c r="J89" s="97">
        <v>233.13</v>
      </c>
      <c r="K89" s="97">
        <v>234.89</v>
      </c>
      <c r="L89" s="101"/>
      <c r="M89" s="102">
        <v>47.5</v>
      </c>
      <c r="N89" s="102">
        <v>282.39</v>
      </c>
    </row>
    <row r="90" spans="1:14" x14ac:dyDescent="0.25">
      <c r="A90" s="95">
        <v>1104946060</v>
      </c>
      <c r="B90" s="96" t="s">
        <v>239</v>
      </c>
      <c r="C90" s="97">
        <v>260.06</v>
      </c>
      <c r="D90" s="98">
        <v>1.2673000000000001</v>
      </c>
      <c r="E90" s="99">
        <v>147</v>
      </c>
      <c r="F90" s="99">
        <v>36.85</v>
      </c>
      <c r="G90" s="99">
        <v>18.77</v>
      </c>
      <c r="H90" s="99">
        <v>13.68</v>
      </c>
      <c r="I90" s="100"/>
      <c r="J90" s="97">
        <v>249.83</v>
      </c>
      <c r="K90" s="97">
        <v>260.06</v>
      </c>
      <c r="L90" s="101"/>
      <c r="M90" s="102">
        <v>47.5</v>
      </c>
      <c r="N90" s="102">
        <v>307.56</v>
      </c>
    </row>
    <row r="91" spans="1:14" x14ac:dyDescent="0.25">
      <c r="A91" s="95">
        <v>1861513715</v>
      </c>
      <c r="B91" s="96" t="s">
        <v>240</v>
      </c>
      <c r="C91" s="97">
        <v>242.68</v>
      </c>
      <c r="D91" s="98">
        <v>1.1862999999999999</v>
      </c>
      <c r="E91" s="99">
        <v>135.97</v>
      </c>
      <c r="F91" s="99">
        <v>36.85</v>
      </c>
      <c r="G91" s="99">
        <v>17.670000000000002</v>
      </c>
      <c r="H91" s="99">
        <v>13.68</v>
      </c>
      <c r="I91" s="100"/>
      <c r="J91" s="97">
        <v>235.82</v>
      </c>
      <c r="K91" s="97">
        <v>242.68</v>
      </c>
      <c r="L91" s="101"/>
      <c r="M91" s="102">
        <v>47.5</v>
      </c>
      <c r="N91" s="102">
        <v>290.18</v>
      </c>
    </row>
    <row r="92" spans="1:14" x14ac:dyDescent="0.25">
      <c r="A92" s="95">
        <v>1730209677</v>
      </c>
      <c r="B92" s="96" t="s">
        <v>241</v>
      </c>
      <c r="C92" s="97">
        <v>249.27</v>
      </c>
      <c r="D92" s="98">
        <v>1.2516</v>
      </c>
      <c r="E92" s="99">
        <v>143.79</v>
      </c>
      <c r="F92" s="99">
        <v>36.85</v>
      </c>
      <c r="G92" s="99">
        <v>12.82</v>
      </c>
      <c r="H92" s="99">
        <v>13.68</v>
      </c>
      <c r="I92" s="100"/>
      <c r="J92" s="97">
        <v>239.25</v>
      </c>
      <c r="K92" s="97">
        <v>249.27</v>
      </c>
      <c r="L92" s="101"/>
      <c r="M92" s="102">
        <v>47.5</v>
      </c>
      <c r="N92" s="102">
        <v>296.77</v>
      </c>
    </row>
    <row r="93" spans="1:14" x14ac:dyDescent="0.25">
      <c r="A93" s="95">
        <v>1710008669</v>
      </c>
      <c r="B93" s="96" t="s">
        <v>242</v>
      </c>
      <c r="C93" s="97">
        <v>232.98</v>
      </c>
      <c r="D93" s="98">
        <v>1.0845</v>
      </c>
      <c r="E93" s="99">
        <v>130.13</v>
      </c>
      <c r="F93" s="99">
        <v>36.85</v>
      </c>
      <c r="G93" s="99">
        <v>8.83</v>
      </c>
      <c r="H93" s="99">
        <v>13.68</v>
      </c>
      <c r="I93" s="100"/>
      <c r="J93" s="97">
        <v>218.86</v>
      </c>
      <c r="K93" s="97">
        <v>232.98</v>
      </c>
      <c r="L93" s="101"/>
      <c r="M93" s="102">
        <v>47.5</v>
      </c>
      <c r="N93" s="102">
        <v>280.48</v>
      </c>
    </row>
    <row r="94" spans="1:14" x14ac:dyDescent="0.25">
      <c r="A94" s="95">
        <v>1609996552</v>
      </c>
      <c r="B94" s="96" t="s">
        <v>243</v>
      </c>
      <c r="C94" s="97">
        <v>263.39</v>
      </c>
      <c r="D94" s="98">
        <v>1.2314000000000001</v>
      </c>
      <c r="E94" s="99">
        <v>138.65</v>
      </c>
      <c r="F94" s="99">
        <v>36.85</v>
      </c>
      <c r="G94" s="99">
        <v>23.7</v>
      </c>
      <c r="H94" s="99">
        <v>13.68</v>
      </c>
      <c r="I94" s="100"/>
      <c r="J94" s="97">
        <v>245.88</v>
      </c>
      <c r="K94" s="97">
        <v>263.39</v>
      </c>
      <c r="L94" s="101"/>
      <c r="M94" s="102">
        <v>47.5</v>
      </c>
      <c r="N94" s="102">
        <v>310.89</v>
      </c>
    </row>
    <row r="95" spans="1:14" x14ac:dyDescent="0.25">
      <c r="A95" s="95">
        <v>1629198577</v>
      </c>
      <c r="B95" s="96" t="s">
        <v>244</v>
      </c>
      <c r="C95" s="97">
        <v>248.41</v>
      </c>
      <c r="D95" s="98">
        <v>1.2562</v>
      </c>
      <c r="E95" s="99">
        <v>144.83000000000001</v>
      </c>
      <c r="F95" s="99">
        <v>36.85</v>
      </c>
      <c r="G95" s="99">
        <v>14.88</v>
      </c>
      <c r="H95" s="99">
        <v>13.68</v>
      </c>
      <c r="I95" s="100"/>
      <c r="J95" s="97">
        <v>242.83</v>
      </c>
      <c r="K95" s="97">
        <v>248.41</v>
      </c>
      <c r="L95" s="101"/>
      <c r="M95" s="102">
        <v>47.5</v>
      </c>
      <c r="N95" s="102">
        <v>295.90999999999997</v>
      </c>
    </row>
    <row r="96" spans="1:14" x14ac:dyDescent="0.25">
      <c r="A96" s="95">
        <v>1639299571</v>
      </c>
      <c r="B96" s="96" t="s">
        <v>245</v>
      </c>
      <c r="C96" s="97">
        <v>236.04</v>
      </c>
      <c r="D96" s="98">
        <v>1.1329</v>
      </c>
      <c r="E96" s="99">
        <v>133.72999999999999</v>
      </c>
      <c r="F96" s="99">
        <v>36.85</v>
      </c>
      <c r="G96" s="99">
        <v>14.54</v>
      </c>
      <c r="H96" s="99">
        <v>13.68</v>
      </c>
      <c r="I96" s="100"/>
      <c r="J96" s="97">
        <v>229.61</v>
      </c>
      <c r="K96" s="97">
        <v>236.04</v>
      </c>
      <c r="L96" s="101"/>
      <c r="M96" s="102">
        <v>47.5</v>
      </c>
      <c r="N96" s="102">
        <v>283.53999999999996</v>
      </c>
    </row>
    <row r="97" spans="1:14" x14ac:dyDescent="0.25">
      <c r="A97" s="95">
        <v>1831219781</v>
      </c>
      <c r="B97" s="96" t="s">
        <v>246</v>
      </c>
      <c r="C97" s="97">
        <v>237.4</v>
      </c>
      <c r="D97" s="98">
        <v>1.2374000000000001</v>
      </c>
      <c r="E97" s="99">
        <v>141.12</v>
      </c>
      <c r="F97" s="99">
        <v>36.85</v>
      </c>
      <c r="G97" s="99">
        <v>13.76</v>
      </c>
      <c r="H97" s="99">
        <v>13.68</v>
      </c>
      <c r="I97" s="100"/>
      <c r="J97" s="97">
        <v>237.25</v>
      </c>
      <c r="K97" s="97">
        <v>237.4</v>
      </c>
      <c r="L97" s="101"/>
      <c r="M97" s="102">
        <v>47.5</v>
      </c>
      <c r="N97" s="102">
        <v>284.89999999999998</v>
      </c>
    </row>
    <row r="98" spans="1:14" x14ac:dyDescent="0.25">
      <c r="A98" s="95">
        <v>1518088830</v>
      </c>
      <c r="B98" s="96" t="s">
        <v>247</v>
      </c>
      <c r="C98" s="97">
        <v>239.49</v>
      </c>
      <c r="D98" s="98">
        <v>1.1514</v>
      </c>
      <c r="E98" s="99">
        <v>136.13</v>
      </c>
      <c r="F98" s="99">
        <v>36.85</v>
      </c>
      <c r="G98" s="99">
        <v>13.57</v>
      </c>
      <c r="H98" s="99">
        <v>13.68</v>
      </c>
      <c r="I98" s="100"/>
      <c r="J98" s="97">
        <v>231.27</v>
      </c>
      <c r="K98" s="97">
        <v>239.49</v>
      </c>
      <c r="L98" s="101"/>
      <c r="M98" s="102">
        <v>47.5</v>
      </c>
      <c r="N98" s="102">
        <v>286.99</v>
      </c>
    </row>
    <row r="99" spans="1:14" x14ac:dyDescent="0.25">
      <c r="A99" s="95">
        <v>1740300607</v>
      </c>
      <c r="B99" s="96" t="s">
        <v>248</v>
      </c>
      <c r="C99" s="97">
        <v>258.64999999999998</v>
      </c>
      <c r="D99" s="98">
        <v>1.3207</v>
      </c>
      <c r="E99" s="99">
        <v>149.47999999999999</v>
      </c>
      <c r="F99" s="99">
        <v>36.85</v>
      </c>
      <c r="G99" s="99">
        <v>14.65</v>
      </c>
      <c r="H99" s="99">
        <v>13.68</v>
      </c>
      <c r="I99" s="100"/>
      <c r="J99" s="97">
        <v>247.93</v>
      </c>
      <c r="K99" s="97">
        <v>258.64999999999998</v>
      </c>
      <c r="L99" s="101"/>
      <c r="M99" s="102">
        <v>47.5</v>
      </c>
      <c r="N99" s="102">
        <v>306.14999999999998</v>
      </c>
    </row>
    <row r="100" spans="1:14" x14ac:dyDescent="0.25">
      <c r="A100" s="95">
        <v>1134249006</v>
      </c>
      <c r="B100" s="96" t="s">
        <v>249</v>
      </c>
      <c r="C100" s="97">
        <v>249.87</v>
      </c>
      <c r="D100" s="98">
        <v>1.2263999999999999</v>
      </c>
      <c r="E100" s="99">
        <v>141.38999999999999</v>
      </c>
      <c r="F100" s="99">
        <v>36.85</v>
      </c>
      <c r="G100" s="99">
        <v>15.28</v>
      </c>
      <c r="H100" s="99">
        <v>13.68</v>
      </c>
      <c r="I100" s="100"/>
      <c r="J100" s="97">
        <v>239.32</v>
      </c>
      <c r="K100" s="97">
        <v>249.87</v>
      </c>
      <c r="L100" s="101"/>
      <c r="M100" s="102">
        <v>47.5</v>
      </c>
      <c r="N100" s="102">
        <v>297.37</v>
      </c>
    </row>
    <row r="101" spans="1:14" x14ac:dyDescent="0.25">
      <c r="A101" s="95">
        <v>1740301050</v>
      </c>
      <c r="B101" s="96" t="s">
        <v>250</v>
      </c>
      <c r="C101" s="97">
        <v>251.56</v>
      </c>
      <c r="D101" s="98">
        <v>1.2598</v>
      </c>
      <c r="E101" s="99">
        <v>144.84</v>
      </c>
      <c r="F101" s="99">
        <v>36.85</v>
      </c>
      <c r="G101" s="99">
        <v>15.44</v>
      </c>
      <c r="H101" s="99">
        <v>13.68</v>
      </c>
      <c r="I101" s="100"/>
      <c r="J101" s="97">
        <v>243.49</v>
      </c>
      <c r="K101" s="97">
        <v>251.56</v>
      </c>
      <c r="L101" s="101"/>
      <c r="M101" s="102">
        <v>47.5</v>
      </c>
      <c r="N101" s="102">
        <v>299.06</v>
      </c>
    </row>
    <row r="102" spans="1:14" x14ac:dyDescent="0.25">
      <c r="A102" s="95">
        <v>1326169285</v>
      </c>
      <c r="B102" s="96" t="s">
        <v>251</v>
      </c>
      <c r="C102" s="97">
        <v>254.45</v>
      </c>
      <c r="D102" s="98">
        <v>1.2251000000000001</v>
      </c>
      <c r="E102" s="99">
        <v>142.59</v>
      </c>
      <c r="F102" s="99">
        <v>36.85</v>
      </c>
      <c r="G102" s="99">
        <v>12.49</v>
      </c>
      <c r="H102" s="99">
        <v>13.68</v>
      </c>
      <c r="I102" s="100"/>
      <c r="J102" s="97">
        <v>237.48</v>
      </c>
      <c r="K102" s="97">
        <v>254.45</v>
      </c>
      <c r="L102" s="101"/>
      <c r="M102" s="102">
        <v>47.5</v>
      </c>
      <c r="N102" s="102">
        <v>301.95</v>
      </c>
    </row>
    <row r="103" spans="1:14" x14ac:dyDescent="0.25">
      <c r="A103" s="95">
        <v>1578683439</v>
      </c>
      <c r="B103" s="96" t="s">
        <v>252</v>
      </c>
      <c r="C103" s="97">
        <v>256.36</v>
      </c>
      <c r="D103" s="98">
        <v>1.2688999999999999</v>
      </c>
      <c r="E103" s="99">
        <v>145.35</v>
      </c>
      <c r="F103" s="99">
        <v>36.85</v>
      </c>
      <c r="G103" s="99">
        <v>22.68</v>
      </c>
      <c r="H103" s="99">
        <v>13.68</v>
      </c>
      <c r="I103" s="100"/>
      <c r="J103" s="97">
        <v>252.44</v>
      </c>
      <c r="K103" s="97">
        <v>256.36</v>
      </c>
      <c r="L103" s="101"/>
      <c r="M103" s="102">
        <v>47.5</v>
      </c>
      <c r="N103" s="102">
        <v>303.86</v>
      </c>
    </row>
    <row r="104" spans="1:14" x14ac:dyDescent="0.25">
      <c r="A104" s="95">
        <v>1235236878</v>
      </c>
      <c r="B104" s="96" t="s">
        <v>253</v>
      </c>
      <c r="C104" s="97">
        <v>243.62</v>
      </c>
      <c r="D104" s="98">
        <v>1.2318</v>
      </c>
      <c r="E104" s="99">
        <v>141.9</v>
      </c>
      <c r="F104" s="99">
        <v>36.85</v>
      </c>
      <c r="G104" s="99">
        <v>9.81</v>
      </c>
      <c r="H104" s="99">
        <v>13.68</v>
      </c>
      <c r="I104" s="100"/>
      <c r="J104" s="97">
        <v>233.59</v>
      </c>
      <c r="K104" s="97">
        <v>243.62</v>
      </c>
      <c r="L104" s="101"/>
      <c r="M104" s="102">
        <v>47.5</v>
      </c>
      <c r="N104" s="102">
        <v>291.12</v>
      </c>
    </row>
    <row r="105" spans="1:14" x14ac:dyDescent="0.25">
      <c r="A105" s="95">
        <v>1295723377</v>
      </c>
      <c r="B105" s="96" t="s">
        <v>254</v>
      </c>
      <c r="C105" s="97">
        <v>219.4</v>
      </c>
      <c r="D105" s="98">
        <v>1.3149999999999999</v>
      </c>
      <c r="E105" s="99">
        <v>143.82</v>
      </c>
      <c r="F105" s="99">
        <v>36.85</v>
      </c>
      <c r="G105" s="99">
        <v>21.81</v>
      </c>
      <c r="H105" s="99">
        <v>0</v>
      </c>
      <c r="I105" s="100"/>
      <c r="J105" s="97">
        <v>233.86</v>
      </c>
      <c r="K105" s="97">
        <v>233.86</v>
      </c>
      <c r="L105" s="101"/>
      <c r="M105" s="102">
        <v>47.5</v>
      </c>
      <c r="N105" s="102">
        <v>281.36</v>
      </c>
    </row>
    <row r="106" spans="1:14" x14ac:dyDescent="0.25">
      <c r="A106" s="95">
        <v>1952446510</v>
      </c>
      <c r="B106" s="96" t="s">
        <v>255</v>
      </c>
      <c r="C106" s="97">
        <v>222.85</v>
      </c>
      <c r="D106" s="98">
        <v>1.0045999999999999</v>
      </c>
      <c r="E106" s="99">
        <v>123.67</v>
      </c>
      <c r="F106" s="99">
        <v>36.85</v>
      </c>
      <c r="G106" s="99">
        <v>13.03</v>
      </c>
      <c r="H106" s="99">
        <v>13.68</v>
      </c>
      <c r="I106" s="100"/>
      <c r="J106" s="97">
        <v>216.25</v>
      </c>
      <c r="K106" s="97">
        <v>222.85</v>
      </c>
      <c r="L106" s="101"/>
      <c r="M106" s="102">
        <v>47.5</v>
      </c>
      <c r="N106" s="102">
        <v>270.35000000000002</v>
      </c>
    </row>
    <row r="107" spans="1:14" x14ac:dyDescent="0.25">
      <c r="A107" s="95">
        <v>1558872333</v>
      </c>
      <c r="B107" s="101" t="s">
        <v>256</v>
      </c>
      <c r="C107" s="97">
        <v>250.97</v>
      </c>
      <c r="D107" s="98">
        <v>1.0947</v>
      </c>
      <c r="E107" s="99">
        <v>131.06</v>
      </c>
      <c r="F107" s="99">
        <v>36.85</v>
      </c>
      <c r="G107" s="99">
        <v>34.36</v>
      </c>
      <c r="H107" s="99">
        <v>13.68</v>
      </c>
      <c r="I107" s="100"/>
      <c r="J107" s="97">
        <v>249.42</v>
      </c>
      <c r="K107" s="97">
        <v>250.97</v>
      </c>
      <c r="L107" s="101"/>
      <c r="M107" s="102">
        <v>47.5</v>
      </c>
      <c r="N107" s="102">
        <v>298.47000000000003</v>
      </c>
    </row>
    <row r="108" spans="1:14" x14ac:dyDescent="0.25">
      <c r="A108" s="95">
        <v>1306372230</v>
      </c>
      <c r="B108" s="101" t="s">
        <v>257</v>
      </c>
      <c r="C108" s="97">
        <v>254.23</v>
      </c>
      <c r="D108" s="98">
        <v>1.2763</v>
      </c>
      <c r="E108" s="99">
        <v>144.80000000000001</v>
      </c>
      <c r="F108" s="99">
        <v>36.85</v>
      </c>
      <c r="G108" s="99">
        <v>20.16</v>
      </c>
      <c r="H108" s="99">
        <v>13.68</v>
      </c>
      <c r="I108" s="100"/>
      <c r="J108" s="97">
        <v>248.89</v>
      </c>
      <c r="K108" s="97">
        <v>254.23</v>
      </c>
      <c r="L108" s="101"/>
      <c r="M108" s="102">
        <v>47.5</v>
      </c>
      <c r="N108" s="102">
        <v>301.73</v>
      </c>
    </row>
    <row r="109" spans="1:14" x14ac:dyDescent="0.25">
      <c r="A109" s="95">
        <v>1255385720</v>
      </c>
      <c r="B109" s="96" t="s">
        <v>258</v>
      </c>
      <c r="C109" s="97">
        <v>232.17</v>
      </c>
      <c r="D109" s="98">
        <v>1.1034999999999999</v>
      </c>
      <c r="E109" s="99">
        <v>131.66999999999999</v>
      </c>
      <c r="F109" s="99">
        <v>36.85</v>
      </c>
      <c r="G109" s="99">
        <v>16.489999999999998</v>
      </c>
      <c r="H109" s="99">
        <v>13.68</v>
      </c>
      <c r="I109" s="100"/>
      <c r="J109" s="97">
        <v>229.49</v>
      </c>
      <c r="K109" s="97">
        <v>232.17</v>
      </c>
      <c r="L109" s="101"/>
      <c r="M109" s="102">
        <v>47.5</v>
      </c>
      <c r="N109" s="102">
        <v>279.66999999999996</v>
      </c>
    </row>
    <row r="110" spans="1:14" x14ac:dyDescent="0.25">
      <c r="A110" s="95">
        <v>1336196526</v>
      </c>
      <c r="B110" s="96" t="s">
        <v>259</v>
      </c>
      <c r="C110" s="97">
        <v>233.26</v>
      </c>
      <c r="D110" s="98">
        <v>1.2281</v>
      </c>
      <c r="E110" s="99">
        <v>140.36000000000001</v>
      </c>
      <c r="F110" s="99">
        <v>36.85</v>
      </c>
      <c r="G110" s="99">
        <v>13.37</v>
      </c>
      <c r="H110" s="99">
        <v>13.68</v>
      </c>
      <c r="I110" s="100"/>
      <c r="J110" s="97">
        <v>235.92</v>
      </c>
      <c r="K110" s="97">
        <v>235.92</v>
      </c>
      <c r="L110" s="101"/>
      <c r="M110" s="102">
        <v>47.5</v>
      </c>
      <c r="N110" s="102">
        <v>283.41999999999996</v>
      </c>
    </row>
    <row r="111" spans="1:14" x14ac:dyDescent="0.25">
      <c r="A111" s="95">
        <v>1295279594</v>
      </c>
      <c r="B111" s="96" t="s">
        <v>260</v>
      </c>
      <c r="C111" s="97">
        <v>279.95</v>
      </c>
      <c r="D111" s="98">
        <v>1.5014000000000001</v>
      </c>
      <c r="E111" s="99">
        <v>166.39</v>
      </c>
      <c r="F111" s="99">
        <v>36.85</v>
      </c>
      <c r="G111" s="99">
        <v>26.73</v>
      </c>
      <c r="H111" s="99">
        <v>13.68</v>
      </c>
      <c r="I111" s="100"/>
      <c r="J111" s="97">
        <v>281.42</v>
      </c>
      <c r="K111" s="97">
        <v>281.42</v>
      </c>
      <c r="L111" s="101"/>
      <c r="M111" s="102">
        <v>47.5</v>
      </c>
      <c r="N111" s="102">
        <v>328.92</v>
      </c>
    </row>
    <row r="112" spans="1:14" x14ac:dyDescent="0.25">
      <c r="A112" s="95">
        <v>1114501459</v>
      </c>
      <c r="B112" s="96" t="s">
        <v>261</v>
      </c>
      <c r="C112" s="97">
        <v>243.94</v>
      </c>
      <c r="D112" s="98">
        <v>1.1805000000000001</v>
      </c>
      <c r="E112" s="99">
        <v>138.35</v>
      </c>
      <c r="F112" s="99">
        <v>36.85</v>
      </c>
      <c r="G112" s="99">
        <v>22.51</v>
      </c>
      <c r="H112" s="99">
        <v>13.68</v>
      </c>
      <c r="I112" s="100"/>
      <c r="J112" s="97">
        <v>244.16</v>
      </c>
      <c r="K112" s="97">
        <v>244.16</v>
      </c>
      <c r="L112" s="101"/>
      <c r="M112" s="102">
        <v>47.5</v>
      </c>
      <c r="N112" s="102">
        <v>291.65999999999997</v>
      </c>
    </row>
    <row r="113" spans="1:14" x14ac:dyDescent="0.25">
      <c r="A113" s="95">
        <v>1225524747</v>
      </c>
      <c r="B113" s="96" t="s">
        <v>262</v>
      </c>
      <c r="C113" s="97">
        <v>245.22</v>
      </c>
      <c r="D113" s="98">
        <v>1.1716</v>
      </c>
      <c r="E113" s="99">
        <v>135.81</v>
      </c>
      <c r="F113" s="99">
        <v>36.85</v>
      </c>
      <c r="G113" s="99">
        <v>20.62</v>
      </c>
      <c r="H113" s="99">
        <v>13.68</v>
      </c>
      <c r="I113" s="100"/>
      <c r="J113" s="97">
        <v>239.04</v>
      </c>
      <c r="K113" s="97">
        <v>245.22</v>
      </c>
      <c r="L113" s="101"/>
      <c r="M113" s="102">
        <v>47.5</v>
      </c>
      <c r="N113" s="102">
        <v>292.72000000000003</v>
      </c>
    </row>
    <row r="114" spans="1:14" x14ac:dyDescent="0.25">
      <c r="A114" s="95">
        <v>1215400668</v>
      </c>
      <c r="B114" s="96" t="s">
        <v>263</v>
      </c>
      <c r="C114" s="97">
        <v>242.4</v>
      </c>
      <c r="D114" s="98">
        <v>1.1039000000000001</v>
      </c>
      <c r="E114" s="99">
        <v>131.46</v>
      </c>
      <c r="F114" s="99">
        <v>36.85</v>
      </c>
      <c r="G114" s="99">
        <v>13.62</v>
      </c>
      <c r="H114" s="99">
        <v>13.68</v>
      </c>
      <c r="I114" s="100"/>
      <c r="J114" s="97">
        <v>225.93</v>
      </c>
      <c r="K114" s="97">
        <v>242.4</v>
      </c>
      <c r="L114" s="101"/>
      <c r="M114" s="102">
        <v>47.5</v>
      </c>
      <c r="N114" s="102">
        <v>289.89999999999998</v>
      </c>
    </row>
    <row r="115" spans="1:14" x14ac:dyDescent="0.25">
      <c r="A115" s="95">
        <v>1144804485</v>
      </c>
      <c r="B115" s="96" t="s">
        <v>264</v>
      </c>
      <c r="C115" s="97">
        <v>244.02</v>
      </c>
      <c r="D115" s="98">
        <v>1.1153999999999999</v>
      </c>
      <c r="E115" s="99">
        <v>132.34</v>
      </c>
      <c r="F115" s="99">
        <v>36.85</v>
      </c>
      <c r="G115" s="99">
        <v>22.42</v>
      </c>
      <c r="H115" s="99">
        <v>13.68</v>
      </c>
      <c r="I115" s="100"/>
      <c r="J115" s="97">
        <v>237.11</v>
      </c>
      <c r="K115" s="97">
        <v>244.02</v>
      </c>
      <c r="L115" s="101"/>
      <c r="M115" s="102">
        <v>47.5</v>
      </c>
      <c r="N115" s="102">
        <v>291.52</v>
      </c>
    </row>
    <row r="116" spans="1:14" x14ac:dyDescent="0.25">
      <c r="A116" s="95">
        <v>1558393835</v>
      </c>
      <c r="B116" s="96" t="s">
        <v>265</v>
      </c>
      <c r="C116" s="97">
        <v>233.37</v>
      </c>
      <c r="D116" s="98">
        <v>1.1499999999999999</v>
      </c>
      <c r="E116" s="99">
        <v>134.33000000000001</v>
      </c>
      <c r="F116" s="99">
        <v>36.85</v>
      </c>
      <c r="G116" s="99">
        <v>12.71</v>
      </c>
      <c r="H116" s="99">
        <v>13.68</v>
      </c>
      <c r="I116" s="100"/>
      <c r="J116" s="97">
        <v>228.19</v>
      </c>
      <c r="K116" s="97">
        <v>233.37</v>
      </c>
      <c r="L116" s="101"/>
      <c r="M116" s="102">
        <v>47.5</v>
      </c>
      <c r="N116" s="102">
        <v>280.87</v>
      </c>
    </row>
    <row r="117" spans="1:14" x14ac:dyDescent="0.25">
      <c r="A117" s="95">
        <v>1083711626</v>
      </c>
      <c r="B117" s="96" t="s">
        <v>266</v>
      </c>
      <c r="C117" s="97">
        <v>244.2</v>
      </c>
      <c r="D117" s="98">
        <v>1.3204</v>
      </c>
      <c r="E117" s="99">
        <v>150.56</v>
      </c>
      <c r="F117" s="99">
        <v>36.85</v>
      </c>
      <c r="G117" s="99">
        <v>13.07</v>
      </c>
      <c r="H117" s="99">
        <v>7.18</v>
      </c>
      <c r="I117" s="100"/>
      <c r="J117" s="97">
        <v>239.85</v>
      </c>
      <c r="K117" s="97">
        <v>244.2</v>
      </c>
      <c r="L117" s="101"/>
      <c r="M117" s="102">
        <v>47.5</v>
      </c>
      <c r="N117" s="102">
        <v>291.7</v>
      </c>
    </row>
    <row r="118" spans="1:14" x14ac:dyDescent="0.25">
      <c r="A118" s="95">
        <v>1669821336</v>
      </c>
      <c r="B118" s="96" t="s">
        <v>267</v>
      </c>
      <c r="C118" s="97">
        <v>237.34</v>
      </c>
      <c r="D118" s="98">
        <v>1.1607000000000001</v>
      </c>
      <c r="E118" s="99">
        <v>136.85</v>
      </c>
      <c r="F118" s="99">
        <v>36.85</v>
      </c>
      <c r="G118" s="99">
        <v>12.92</v>
      </c>
      <c r="H118" s="99">
        <v>7.18</v>
      </c>
      <c r="I118" s="100"/>
      <c r="J118" s="97">
        <v>223.84</v>
      </c>
      <c r="K118" s="97">
        <v>237.34</v>
      </c>
      <c r="L118" s="101"/>
      <c r="M118" s="102">
        <v>47.5</v>
      </c>
      <c r="N118" s="102">
        <v>284.84000000000003</v>
      </c>
    </row>
    <row r="119" spans="1:14" x14ac:dyDescent="0.25">
      <c r="A119" s="95">
        <v>1083661193</v>
      </c>
      <c r="B119" s="96" t="s">
        <v>268</v>
      </c>
      <c r="C119" s="97">
        <v>235.83</v>
      </c>
      <c r="D119" s="98">
        <v>1.1111</v>
      </c>
      <c r="E119" s="99">
        <v>132.69999999999999</v>
      </c>
      <c r="F119" s="99">
        <v>36.85</v>
      </c>
      <c r="G119" s="99">
        <v>15.55</v>
      </c>
      <c r="H119" s="99">
        <v>13.68</v>
      </c>
      <c r="I119" s="100"/>
      <c r="J119" s="97">
        <v>229.59</v>
      </c>
      <c r="K119" s="97">
        <v>235.83</v>
      </c>
      <c r="L119" s="101"/>
      <c r="M119" s="102">
        <v>47.5</v>
      </c>
      <c r="N119" s="102">
        <v>283.33000000000004</v>
      </c>
    </row>
    <row r="120" spans="1:14" x14ac:dyDescent="0.25">
      <c r="A120" s="95">
        <v>1336118298</v>
      </c>
      <c r="B120" s="96" t="s">
        <v>269</v>
      </c>
      <c r="C120" s="97">
        <v>256.8</v>
      </c>
      <c r="D120" s="98">
        <v>1.4369000000000001</v>
      </c>
      <c r="E120" s="99">
        <v>157.87</v>
      </c>
      <c r="F120" s="99">
        <v>36.85</v>
      </c>
      <c r="G120" s="99">
        <v>11.19</v>
      </c>
      <c r="H120" s="99">
        <v>13.68</v>
      </c>
      <c r="I120" s="100"/>
      <c r="J120" s="97">
        <v>253.63</v>
      </c>
      <c r="K120" s="97">
        <v>256.8</v>
      </c>
      <c r="L120" s="101"/>
      <c r="M120" s="102">
        <v>47.5</v>
      </c>
      <c r="N120" s="102">
        <v>304.3</v>
      </c>
    </row>
    <row r="121" spans="1:14" x14ac:dyDescent="0.25">
      <c r="A121" s="95">
        <v>1194309336</v>
      </c>
      <c r="B121" s="96" t="s">
        <v>270</v>
      </c>
      <c r="C121" s="97">
        <v>240.92</v>
      </c>
      <c r="D121" s="98">
        <v>1.1666000000000001</v>
      </c>
      <c r="E121" s="99">
        <v>137.02000000000001</v>
      </c>
      <c r="F121" s="99">
        <v>36.85</v>
      </c>
      <c r="G121" s="99">
        <v>22.43</v>
      </c>
      <c r="H121" s="99">
        <v>13.68</v>
      </c>
      <c r="I121" s="100"/>
      <c r="J121" s="97">
        <v>242.53</v>
      </c>
      <c r="K121" s="97">
        <v>242.53</v>
      </c>
      <c r="L121" s="101"/>
      <c r="M121" s="102">
        <v>47.5</v>
      </c>
      <c r="N121" s="102">
        <v>290.02999999999997</v>
      </c>
    </row>
    <row r="122" spans="1:14" x14ac:dyDescent="0.25">
      <c r="A122" s="95">
        <v>1699710293</v>
      </c>
      <c r="B122" s="96" t="s">
        <v>271</v>
      </c>
      <c r="C122" s="97">
        <v>240.89</v>
      </c>
      <c r="D122" s="98">
        <v>1.2040999999999999</v>
      </c>
      <c r="E122" s="99">
        <v>136.59</v>
      </c>
      <c r="F122" s="99">
        <v>36.85</v>
      </c>
      <c r="G122" s="99">
        <v>18.88</v>
      </c>
      <c r="H122" s="99">
        <v>13.68</v>
      </c>
      <c r="I122" s="100"/>
      <c r="J122" s="97">
        <v>237.93</v>
      </c>
      <c r="K122" s="97">
        <v>240.89</v>
      </c>
      <c r="L122" s="101"/>
      <c r="M122" s="102">
        <v>47.5</v>
      </c>
      <c r="N122" s="102">
        <v>288.39</v>
      </c>
    </row>
    <row r="123" spans="1:14" x14ac:dyDescent="0.25">
      <c r="A123" s="95">
        <v>1083659692</v>
      </c>
      <c r="B123" s="96" t="s">
        <v>272</v>
      </c>
      <c r="C123" s="97">
        <v>229.78</v>
      </c>
      <c r="D123" s="98">
        <v>1.1995</v>
      </c>
      <c r="E123" s="99">
        <v>137.62</v>
      </c>
      <c r="F123" s="99">
        <v>36.85</v>
      </c>
      <c r="G123" s="99">
        <v>8.65</v>
      </c>
      <c r="H123" s="99">
        <v>13.68</v>
      </c>
      <c r="I123" s="100"/>
      <c r="J123" s="97">
        <v>227.3</v>
      </c>
      <c r="K123" s="97">
        <v>229.78</v>
      </c>
      <c r="L123" s="101"/>
      <c r="M123" s="102">
        <v>47.5</v>
      </c>
      <c r="N123" s="102">
        <v>277.27999999999997</v>
      </c>
    </row>
    <row r="124" spans="1:14" x14ac:dyDescent="0.25">
      <c r="A124" s="95">
        <v>1740249382</v>
      </c>
      <c r="B124" s="96" t="s">
        <v>273</v>
      </c>
      <c r="C124" s="97">
        <v>248.51</v>
      </c>
      <c r="D124" s="98">
        <v>1.0494000000000001</v>
      </c>
      <c r="E124" s="99">
        <v>126.84</v>
      </c>
      <c r="F124" s="99">
        <v>36.85</v>
      </c>
      <c r="G124" s="99">
        <v>32.57</v>
      </c>
      <c r="H124" s="99">
        <v>13.68</v>
      </c>
      <c r="I124" s="100"/>
      <c r="J124" s="97">
        <v>242.48</v>
      </c>
      <c r="K124" s="97">
        <v>248.51</v>
      </c>
      <c r="L124" s="101"/>
      <c r="M124" s="102">
        <v>47.5</v>
      </c>
      <c r="N124" s="102">
        <v>296.01</v>
      </c>
    </row>
    <row r="125" spans="1:14" x14ac:dyDescent="0.25">
      <c r="A125" s="95">
        <v>1225000888</v>
      </c>
      <c r="B125" s="101" t="s">
        <v>274</v>
      </c>
      <c r="C125" s="97">
        <v>249.87</v>
      </c>
      <c r="D125" s="98">
        <v>1.0461</v>
      </c>
      <c r="E125" s="99">
        <v>127.02</v>
      </c>
      <c r="F125" s="99">
        <v>36.85</v>
      </c>
      <c r="G125" s="99">
        <v>22.31</v>
      </c>
      <c r="H125" s="99">
        <v>13.68</v>
      </c>
      <c r="I125" s="100"/>
      <c r="J125" s="97">
        <v>230.84</v>
      </c>
      <c r="K125" s="97">
        <v>249.87</v>
      </c>
      <c r="L125" s="101"/>
      <c r="M125" s="102">
        <v>47.5</v>
      </c>
      <c r="N125" s="102">
        <v>297.37</v>
      </c>
    </row>
    <row r="126" spans="1:14" x14ac:dyDescent="0.25">
      <c r="A126" s="95">
        <v>1407803679</v>
      </c>
      <c r="B126" s="96" t="s">
        <v>275</v>
      </c>
      <c r="C126" s="97">
        <v>233.88</v>
      </c>
      <c r="D126" s="98">
        <v>1.1082000000000001</v>
      </c>
      <c r="E126" s="99">
        <v>131.84</v>
      </c>
      <c r="F126" s="99">
        <v>36.85</v>
      </c>
      <c r="G126" s="99">
        <v>13.32</v>
      </c>
      <c r="H126" s="99">
        <v>13.68</v>
      </c>
      <c r="I126" s="100"/>
      <c r="J126" s="97">
        <v>226.02</v>
      </c>
      <c r="K126" s="97">
        <v>233.88</v>
      </c>
      <c r="L126" s="101"/>
      <c r="M126" s="102">
        <v>47.5</v>
      </c>
      <c r="N126" s="102">
        <v>281.38</v>
      </c>
    </row>
    <row r="127" spans="1:14" x14ac:dyDescent="0.25">
      <c r="A127" s="95">
        <v>1710312079</v>
      </c>
      <c r="B127" s="101" t="s">
        <v>276</v>
      </c>
      <c r="C127" s="97">
        <v>262.05</v>
      </c>
      <c r="D127" s="98">
        <v>1.3083</v>
      </c>
      <c r="E127" s="99">
        <v>147.22</v>
      </c>
      <c r="F127" s="99">
        <v>36.85</v>
      </c>
      <c r="G127" s="99">
        <v>28.33</v>
      </c>
      <c r="H127" s="99">
        <v>13.68</v>
      </c>
      <c r="I127" s="100"/>
      <c r="J127" s="97">
        <v>261.12</v>
      </c>
      <c r="K127" s="97">
        <v>262.05</v>
      </c>
      <c r="L127" s="101"/>
      <c r="M127" s="102">
        <v>47.5</v>
      </c>
      <c r="N127" s="102">
        <v>309.55</v>
      </c>
    </row>
    <row r="128" spans="1:14" x14ac:dyDescent="0.25">
      <c r="A128" s="95">
        <v>1710537998</v>
      </c>
      <c r="B128" s="96" t="s">
        <v>277</v>
      </c>
      <c r="C128" s="97">
        <v>244.71</v>
      </c>
      <c r="D128" s="98">
        <v>1.0602</v>
      </c>
      <c r="E128" s="99">
        <v>128.59</v>
      </c>
      <c r="F128" s="99">
        <v>36.85</v>
      </c>
      <c r="G128" s="99">
        <v>23.2</v>
      </c>
      <c r="H128" s="99">
        <v>13.68</v>
      </c>
      <c r="I128" s="100"/>
      <c r="J128" s="97">
        <v>233.68</v>
      </c>
      <c r="K128" s="97">
        <v>244.71</v>
      </c>
      <c r="L128" s="101"/>
      <c r="M128" s="102">
        <v>47.5</v>
      </c>
      <c r="N128" s="102">
        <v>292.21000000000004</v>
      </c>
    </row>
    <row r="129" spans="1:14" x14ac:dyDescent="0.25">
      <c r="A129" s="95">
        <v>1841854361</v>
      </c>
      <c r="B129" s="96" t="s">
        <v>278</v>
      </c>
      <c r="C129" s="97">
        <v>253.89</v>
      </c>
      <c r="D129" s="98">
        <v>1.3818999999999999</v>
      </c>
      <c r="E129" s="99">
        <v>155.71</v>
      </c>
      <c r="F129" s="99">
        <v>36.85</v>
      </c>
      <c r="G129" s="99">
        <v>13.28</v>
      </c>
      <c r="H129" s="99">
        <v>13.68</v>
      </c>
      <c r="I129" s="100"/>
      <c r="J129" s="97">
        <v>253.55</v>
      </c>
      <c r="K129" s="97">
        <v>253.89</v>
      </c>
      <c r="L129" s="101"/>
      <c r="M129" s="102">
        <v>47.5</v>
      </c>
      <c r="N129" s="102">
        <v>301.39</v>
      </c>
    </row>
    <row r="130" spans="1:14" x14ac:dyDescent="0.25">
      <c r="A130" s="95">
        <v>1346806015</v>
      </c>
      <c r="B130" s="96" t="s">
        <v>279</v>
      </c>
      <c r="C130" s="97">
        <v>250.28</v>
      </c>
      <c r="D130" s="98">
        <v>1.1962999999999999</v>
      </c>
      <c r="E130" s="99">
        <v>137.4</v>
      </c>
      <c r="F130" s="99">
        <v>36.85</v>
      </c>
      <c r="G130" s="99">
        <v>27.16</v>
      </c>
      <c r="H130" s="99">
        <v>13.68</v>
      </c>
      <c r="I130" s="100"/>
      <c r="J130" s="97">
        <v>248.43</v>
      </c>
      <c r="K130" s="97">
        <v>250.28</v>
      </c>
      <c r="L130" s="101"/>
      <c r="M130" s="102">
        <v>47.5</v>
      </c>
      <c r="N130" s="102">
        <v>297.77999999999997</v>
      </c>
    </row>
    <row r="131" spans="1:14" x14ac:dyDescent="0.25">
      <c r="A131" s="95">
        <v>1801428768</v>
      </c>
      <c r="B131" s="96" t="s">
        <v>280</v>
      </c>
      <c r="C131" s="97">
        <v>238.88</v>
      </c>
      <c r="D131" s="98">
        <v>1.2757000000000001</v>
      </c>
      <c r="E131" s="99">
        <v>146.36000000000001</v>
      </c>
      <c r="F131" s="99">
        <v>36.85</v>
      </c>
      <c r="G131" s="99">
        <v>19.3</v>
      </c>
      <c r="H131" s="99">
        <v>13.68</v>
      </c>
      <c r="I131" s="100"/>
      <c r="J131" s="97">
        <v>249.7</v>
      </c>
      <c r="K131" s="97">
        <v>249.7</v>
      </c>
      <c r="L131" s="101"/>
      <c r="M131" s="102">
        <v>47.5</v>
      </c>
      <c r="N131" s="102">
        <v>297.2</v>
      </c>
    </row>
    <row r="132" spans="1:14" x14ac:dyDescent="0.25">
      <c r="A132" s="95">
        <v>1407325103</v>
      </c>
      <c r="B132" s="96" t="s">
        <v>281</v>
      </c>
      <c r="C132" s="97">
        <v>252.6</v>
      </c>
      <c r="D132" s="98">
        <v>1.2670999999999999</v>
      </c>
      <c r="E132" s="99">
        <v>145.43</v>
      </c>
      <c r="F132" s="99">
        <v>36.85</v>
      </c>
      <c r="G132" s="99">
        <v>12.93</v>
      </c>
      <c r="H132" s="99">
        <v>13.68</v>
      </c>
      <c r="I132" s="100"/>
      <c r="J132" s="97">
        <v>241.27</v>
      </c>
      <c r="K132" s="97">
        <v>252.6</v>
      </c>
      <c r="L132" s="101"/>
      <c r="M132" s="102">
        <v>47.5</v>
      </c>
      <c r="N132" s="102">
        <v>300.10000000000002</v>
      </c>
    </row>
    <row r="133" spans="1:14" x14ac:dyDescent="0.25">
      <c r="A133" s="95">
        <v>1891722187</v>
      </c>
      <c r="B133" s="96" t="s">
        <v>282</v>
      </c>
      <c r="C133" s="97">
        <v>240.47</v>
      </c>
      <c r="D133" s="98">
        <v>1.1299999999999999</v>
      </c>
      <c r="E133" s="99">
        <v>135.22</v>
      </c>
      <c r="F133" s="99">
        <v>36.85</v>
      </c>
      <c r="G133" s="99">
        <v>20.75</v>
      </c>
      <c r="H133" s="99">
        <v>13.68</v>
      </c>
      <c r="I133" s="100"/>
      <c r="J133" s="97">
        <v>238.51</v>
      </c>
      <c r="K133" s="97">
        <v>240.47</v>
      </c>
      <c r="L133" s="101"/>
      <c r="M133" s="102">
        <v>47.5</v>
      </c>
      <c r="N133" s="102">
        <v>287.97000000000003</v>
      </c>
    </row>
    <row r="134" spans="1:14" x14ac:dyDescent="0.25">
      <c r="A134" s="95">
        <v>1073599510</v>
      </c>
      <c r="B134" s="96" t="s">
        <v>283</v>
      </c>
      <c r="C134" s="97">
        <v>238.95</v>
      </c>
      <c r="D134" s="98">
        <v>1.0882000000000001</v>
      </c>
      <c r="E134" s="99">
        <v>132</v>
      </c>
      <c r="F134" s="99">
        <v>36.85</v>
      </c>
      <c r="G134" s="99">
        <v>14.53</v>
      </c>
      <c r="H134" s="99">
        <v>13.68</v>
      </c>
      <c r="I134" s="100"/>
      <c r="J134" s="97">
        <v>227.6</v>
      </c>
      <c r="K134" s="97">
        <v>238.95</v>
      </c>
      <c r="L134" s="101"/>
      <c r="M134" s="102">
        <v>47.5</v>
      </c>
      <c r="N134" s="102">
        <v>286.45</v>
      </c>
    </row>
    <row r="135" spans="1:14" x14ac:dyDescent="0.25">
      <c r="A135" s="95">
        <v>1972587376</v>
      </c>
      <c r="B135" s="96" t="s">
        <v>284</v>
      </c>
      <c r="C135" s="97">
        <v>228.22</v>
      </c>
      <c r="D135" s="98">
        <v>1.0823</v>
      </c>
      <c r="E135" s="99">
        <v>130.13999999999999</v>
      </c>
      <c r="F135" s="99">
        <v>36.85</v>
      </c>
      <c r="G135" s="99">
        <v>25.21</v>
      </c>
      <c r="H135" s="99">
        <v>0</v>
      </c>
      <c r="I135" s="100"/>
      <c r="J135" s="97">
        <v>221.99</v>
      </c>
      <c r="K135" s="97">
        <v>228.22</v>
      </c>
      <c r="L135" s="101"/>
      <c r="M135" s="102">
        <v>47.5</v>
      </c>
      <c r="N135" s="102">
        <v>275.72000000000003</v>
      </c>
    </row>
    <row r="136" spans="1:14" x14ac:dyDescent="0.25">
      <c r="A136" s="95">
        <v>1942236161</v>
      </c>
      <c r="B136" s="96" t="s">
        <v>285</v>
      </c>
      <c r="C136" s="97">
        <v>254.33</v>
      </c>
      <c r="D136" s="98">
        <v>1.1958</v>
      </c>
      <c r="E136" s="99">
        <v>136.80000000000001</v>
      </c>
      <c r="F136" s="99">
        <v>36.85</v>
      </c>
      <c r="G136" s="99">
        <v>20.190000000000001</v>
      </c>
      <c r="H136" s="99">
        <v>13.68</v>
      </c>
      <c r="I136" s="100"/>
      <c r="J136" s="97">
        <v>239.69</v>
      </c>
      <c r="K136" s="97">
        <v>254.33</v>
      </c>
      <c r="L136" s="101"/>
      <c r="M136" s="102">
        <v>47.5</v>
      </c>
      <c r="N136" s="102">
        <v>301.83000000000004</v>
      </c>
    </row>
    <row r="137" spans="1:14" x14ac:dyDescent="0.25">
      <c r="A137" s="95">
        <v>1437103850</v>
      </c>
      <c r="B137" s="96" t="s">
        <v>286</v>
      </c>
      <c r="C137" s="97">
        <v>231.1</v>
      </c>
      <c r="D137" s="98">
        <v>1.1688924274286907</v>
      </c>
      <c r="E137" s="99">
        <v>136.38999999999999</v>
      </c>
      <c r="F137" s="99">
        <v>36.85</v>
      </c>
      <c r="G137" s="99">
        <v>10.35</v>
      </c>
      <c r="H137" s="99">
        <v>13.68</v>
      </c>
      <c r="I137" s="100"/>
      <c r="J137" s="97">
        <v>227.85</v>
      </c>
      <c r="K137" s="97">
        <v>231.1</v>
      </c>
      <c r="L137" s="101"/>
      <c r="M137" s="102">
        <v>47.5</v>
      </c>
      <c r="N137" s="102">
        <v>278.60000000000002</v>
      </c>
    </row>
    <row r="138" spans="1:14" x14ac:dyDescent="0.25">
      <c r="A138" s="95">
        <v>1851375703</v>
      </c>
      <c r="B138" s="96" t="s">
        <v>287</v>
      </c>
      <c r="C138" s="97">
        <v>255.04</v>
      </c>
      <c r="D138" s="98">
        <v>1.3022</v>
      </c>
      <c r="E138" s="99">
        <v>145.12</v>
      </c>
      <c r="F138" s="99">
        <v>36.85</v>
      </c>
      <c r="G138" s="99">
        <v>22.88</v>
      </c>
      <c r="H138" s="99">
        <v>13.68</v>
      </c>
      <c r="I138" s="100"/>
      <c r="J138" s="97">
        <v>252.4</v>
      </c>
      <c r="K138" s="97">
        <v>255.04</v>
      </c>
      <c r="L138" s="101"/>
      <c r="M138" s="102">
        <v>47.5</v>
      </c>
      <c r="N138" s="102">
        <v>302.53999999999996</v>
      </c>
    </row>
    <row r="139" spans="1:14" x14ac:dyDescent="0.25">
      <c r="A139" s="95">
        <v>1225654098</v>
      </c>
      <c r="B139" s="96" t="s">
        <v>288</v>
      </c>
      <c r="C139" s="97">
        <v>230.42</v>
      </c>
      <c r="D139" s="98">
        <v>1.1688924274286907</v>
      </c>
      <c r="E139" s="99">
        <v>135.56</v>
      </c>
      <c r="F139" s="99">
        <v>36.85</v>
      </c>
      <c r="G139" s="99">
        <v>11.3</v>
      </c>
      <c r="H139" s="99">
        <v>13.68</v>
      </c>
      <c r="I139" s="100"/>
      <c r="J139" s="97">
        <v>227.99</v>
      </c>
      <c r="K139" s="97">
        <v>230.42</v>
      </c>
      <c r="L139" s="101"/>
      <c r="M139" s="102">
        <v>47.5</v>
      </c>
      <c r="N139" s="102">
        <v>277.91999999999996</v>
      </c>
    </row>
    <row r="140" spans="1:14" x14ac:dyDescent="0.25">
      <c r="A140" s="95">
        <v>1639630452</v>
      </c>
      <c r="B140" s="96" t="s">
        <v>289</v>
      </c>
      <c r="C140" s="97">
        <v>253.78</v>
      </c>
      <c r="D140" s="98">
        <v>1.1778999999999999</v>
      </c>
      <c r="E140" s="99">
        <v>137.69</v>
      </c>
      <c r="F140" s="99">
        <v>36.85</v>
      </c>
      <c r="G140" s="99">
        <v>24.94</v>
      </c>
      <c r="H140" s="99">
        <v>13.68</v>
      </c>
      <c r="I140" s="100"/>
      <c r="J140" s="97">
        <v>246.2</v>
      </c>
      <c r="K140" s="97">
        <v>253.78</v>
      </c>
      <c r="L140" s="101"/>
      <c r="M140" s="102">
        <v>47.5</v>
      </c>
      <c r="N140" s="102">
        <v>301.27999999999997</v>
      </c>
    </row>
    <row r="141" spans="1:14" x14ac:dyDescent="0.25">
      <c r="A141" s="101">
        <v>1093131310</v>
      </c>
      <c r="B141" s="96" t="s">
        <v>290</v>
      </c>
      <c r="C141" s="97">
        <v>241.04</v>
      </c>
      <c r="D141" s="98">
        <v>1.2325999999999999</v>
      </c>
      <c r="E141" s="99">
        <v>137.21</v>
      </c>
      <c r="F141" s="99">
        <v>36.85</v>
      </c>
      <c r="G141" s="99">
        <v>19.22</v>
      </c>
      <c r="H141" s="99">
        <v>13.68</v>
      </c>
      <c r="I141" s="100"/>
      <c r="J141" s="97">
        <v>239.04</v>
      </c>
      <c r="K141" s="97">
        <v>241.04</v>
      </c>
      <c r="L141" s="101"/>
      <c r="M141" s="102">
        <v>47.5</v>
      </c>
      <c r="N141" s="102">
        <v>288.53999999999996</v>
      </c>
    </row>
    <row r="142" spans="1:14" x14ac:dyDescent="0.25">
      <c r="A142" s="95">
        <v>1912485517</v>
      </c>
      <c r="B142" s="96" t="s">
        <v>291</v>
      </c>
      <c r="C142" s="97">
        <v>255.87</v>
      </c>
      <c r="D142" s="98">
        <v>1.1395999999999999</v>
      </c>
      <c r="E142" s="99">
        <v>134.30000000000001</v>
      </c>
      <c r="F142" s="99">
        <v>36.85</v>
      </c>
      <c r="G142" s="99">
        <v>31.79</v>
      </c>
      <c r="H142" s="99">
        <v>13.68</v>
      </c>
      <c r="I142" s="100"/>
      <c r="J142" s="97">
        <v>250.2</v>
      </c>
      <c r="K142" s="97">
        <v>255.87</v>
      </c>
      <c r="L142" s="101"/>
      <c r="M142" s="102">
        <v>47.5</v>
      </c>
      <c r="N142" s="102">
        <v>303.37</v>
      </c>
    </row>
    <row r="143" spans="1:14" x14ac:dyDescent="0.25">
      <c r="A143" s="95">
        <v>1841697422</v>
      </c>
      <c r="B143" s="101" t="s">
        <v>292</v>
      </c>
      <c r="C143" s="97">
        <v>229.72</v>
      </c>
      <c r="D143" s="98">
        <v>0.82030000000000003</v>
      </c>
      <c r="E143" s="99">
        <v>110.3</v>
      </c>
      <c r="F143" s="99">
        <v>36.85</v>
      </c>
      <c r="G143" s="99">
        <v>20.57</v>
      </c>
      <c r="H143" s="99">
        <v>13.68</v>
      </c>
      <c r="I143" s="100"/>
      <c r="J143" s="97">
        <v>209.52</v>
      </c>
      <c r="K143" s="97">
        <v>229.72</v>
      </c>
      <c r="L143" s="101"/>
      <c r="M143" s="102">
        <v>47.5</v>
      </c>
      <c r="N143" s="102">
        <v>277.22000000000003</v>
      </c>
    </row>
    <row r="144" spans="1:14" x14ac:dyDescent="0.25">
      <c r="A144" s="95">
        <v>1356346191</v>
      </c>
      <c r="B144" s="96" t="s">
        <v>293</v>
      </c>
      <c r="C144" s="97">
        <v>210.94</v>
      </c>
      <c r="D144" s="98">
        <v>0.89770000000000005</v>
      </c>
      <c r="E144" s="99">
        <v>114.22</v>
      </c>
      <c r="F144" s="99">
        <v>36.85</v>
      </c>
      <c r="G144" s="99">
        <v>22.15</v>
      </c>
      <c r="H144" s="99">
        <v>7.18</v>
      </c>
      <c r="I144" s="100"/>
      <c r="J144" s="97">
        <v>208.36</v>
      </c>
      <c r="K144" s="97">
        <v>210.94</v>
      </c>
      <c r="L144" s="101"/>
      <c r="M144" s="102">
        <v>47.5</v>
      </c>
      <c r="N144" s="102">
        <v>258.44</v>
      </c>
    </row>
    <row r="145" spans="1:14" x14ac:dyDescent="0.25">
      <c r="A145" s="95">
        <v>1477537199</v>
      </c>
      <c r="B145" s="96" t="s">
        <v>294</v>
      </c>
      <c r="C145" s="97">
        <v>227.49</v>
      </c>
      <c r="D145" s="98">
        <v>1.0652999999999999</v>
      </c>
      <c r="E145" s="99">
        <v>128.93</v>
      </c>
      <c r="F145" s="99">
        <v>36.85</v>
      </c>
      <c r="G145" s="99">
        <v>7.95</v>
      </c>
      <c r="H145" s="99">
        <v>13.68</v>
      </c>
      <c r="I145" s="100"/>
      <c r="J145" s="97">
        <v>216.46</v>
      </c>
      <c r="K145" s="97">
        <v>227.49</v>
      </c>
      <c r="L145" s="101"/>
      <c r="M145" s="102">
        <v>47.5</v>
      </c>
      <c r="N145" s="102">
        <v>274.99</v>
      </c>
    </row>
    <row r="146" spans="1:14" x14ac:dyDescent="0.25">
      <c r="A146" s="95">
        <v>1831551514</v>
      </c>
      <c r="B146" s="96" t="s">
        <v>295</v>
      </c>
      <c r="C146" s="97">
        <v>243.53</v>
      </c>
      <c r="D146" s="98">
        <v>1.1404000000000001</v>
      </c>
      <c r="E146" s="99">
        <v>134.19999999999999</v>
      </c>
      <c r="F146" s="99">
        <v>36.85</v>
      </c>
      <c r="G146" s="99">
        <v>14.62</v>
      </c>
      <c r="H146" s="99">
        <v>13.68</v>
      </c>
      <c r="I146" s="100"/>
      <c r="J146" s="97">
        <v>230.25</v>
      </c>
      <c r="K146" s="97">
        <v>243.53</v>
      </c>
      <c r="L146" s="101"/>
      <c r="M146" s="102">
        <v>47.5</v>
      </c>
      <c r="N146" s="102">
        <v>291.02999999999997</v>
      </c>
    </row>
    <row r="147" spans="1:14" x14ac:dyDescent="0.25">
      <c r="A147" s="95">
        <v>1154792000</v>
      </c>
      <c r="B147" s="96" t="s">
        <v>296</v>
      </c>
      <c r="C147" s="97">
        <v>218.8</v>
      </c>
      <c r="D147" s="98">
        <v>1.0145999999999999</v>
      </c>
      <c r="E147" s="99">
        <v>124.42</v>
      </c>
      <c r="F147" s="99">
        <v>36.85</v>
      </c>
      <c r="G147" s="99">
        <v>8.8000000000000007</v>
      </c>
      <c r="H147" s="99">
        <v>13.68</v>
      </c>
      <c r="I147" s="100"/>
      <c r="J147" s="97">
        <v>212.23</v>
      </c>
      <c r="K147" s="97">
        <v>218.8</v>
      </c>
      <c r="L147" s="101"/>
      <c r="M147" s="102">
        <v>47.5</v>
      </c>
      <c r="N147" s="102">
        <v>266.3</v>
      </c>
    </row>
    <row r="148" spans="1:14" x14ac:dyDescent="0.25">
      <c r="A148" s="95">
        <v>1184196206</v>
      </c>
      <c r="B148" s="96" t="s">
        <v>297</v>
      </c>
      <c r="C148" s="97">
        <v>245.19</v>
      </c>
      <c r="D148" s="98">
        <v>0.96340000000000003</v>
      </c>
      <c r="E148" s="99">
        <v>120.13</v>
      </c>
      <c r="F148" s="99">
        <v>36.85</v>
      </c>
      <c r="G148" s="99">
        <v>15.8</v>
      </c>
      <c r="H148" s="99">
        <v>13.68</v>
      </c>
      <c r="I148" s="100"/>
      <c r="J148" s="97">
        <v>215.36</v>
      </c>
      <c r="K148" s="97">
        <v>245.19</v>
      </c>
      <c r="L148" s="101"/>
      <c r="M148" s="102">
        <v>47.5</v>
      </c>
      <c r="N148" s="102">
        <v>292.69</v>
      </c>
    </row>
    <row r="149" spans="1:14" x14ac:dyDescent="0.25">
      <c r="A149" s="95">
        <v>1003366311</v>
      </c>
      <c r="B149" s="96" t="s">
        <v>298</v>
      </c>
      <c r="C149" s="97">
        <v>237.11</v>
      </c>
      <c r="D149" s="98">
        <v>1.1888000000000001</v>
      </c>
      <c r="E149" s="99">
        <v>138.53</v>
      </c>
      <c r="F149" s="99">
        <v>36.85</v>
      </c>
      <c r="G149" s="99">
        <v>16.059999999999999</v>
      </c>
      <c r="H149" s="99">
        <v>7.18</v>
      </c>
      <c r="I149" s="100"/>
      <c r="J149" s="97">
        <v>229.41</v>
      </c>
      <c r="K149" s="97">
        <v>237.11</v>
      </c>
      <c r="L149" s="101"/>
      <c r="M149" s="102">
        <v>47.5</v>
      </c>
      <c r="N149" s="102">
        <v>284.61</v>
      </c>
    </row>
    <row r="150" spans="1:14" x14ac:dyDescent="0.25">
      <c r="A150" s="95">
        <v>1750418802</v>
      </c>
      <c r="B150" s="96" t="s">
        <v>299</v>
      </c>
      <c r="C150" s="97">
        <v>220.44</v>
      </c>
      <c r="D150" s="98">
        <v>1.1688924274286907</v>
      </c>
      <c r="E150" s="99">
        <v>136.27000000000001</v>
      </c>
      <c r="F150" s="99">
        <v>36.85</v>
      </c>
      <c r="G150" s="99">
        <v>14.26</v>
      </c>
      <c r="H150" s="99">
        <v>0</v>
      </c>
      <c r="I150" s="100"/>
      <c r="J150" s="97">
        <v>216.42</v>
      </c>
      <c r="K150" s="97">
        <v>220.44</v>
      </c>
      <c r="L150" s="101"/>
      <c r="M150" s="102">
        <v>47.5</v>
      </c>
      <c r="N150" s="102">
        <v>267.94</v>
      </c>
    </row>
    <row r="151" spans="1:14" x14ac:dyDescent="0.25">
      <c r="A151" s="95">
        <v>1265556294</v>
      </c>
      <c r="B151" s="96" t="s">
        <v>300</v>
      </c>
      <c r="C151" s="97">
        <v>256.73</v>
      </c>
      <c r="D151" s="98">
        <v>1.4494</v>
      </c>
      <c r="E151" s="99">
        <v>158.38</v>
      </c>
      <c r="F151" s="99">
        <v>36.85</v>
      </c>
      <c r="G151" s="99">
        <v>10.68</v>
      </c>
      <c r="H151" s="99">
        <v>13.68</v>
      </c>
      <c r="I151" s="100"/>
      <c r="J151" s="97">
        <v>253.63</v>
      </c>
      <c r="K151" s="97">
        <v>256.73</v>
      </c>
      <c r="L151" s="101"/>
      <c r="M151" s="102">
        <v>47.5</v>
      </c>
      <c r="N151" s="102">
        <v>304.23</v>
      </c>
    </row>
    <row r="152" spans="1:14" x14ac:dyDescent="0.25">
      <c r="A152" s="95">
        <v>1952766271</v>
      </c>
      <c r="B152" s="96" t="s">
        <v>301</v>
      </c>
      <c r="C152" s="97">
        <v>253.51</v>
      </c>
      <c r="D152" s="98">
        <v>1.3395999999999999</v>
      </c>
      <c r="E152" s="99">
        <v>151.52000000000001</v>
      </c>
      <c r="F152" s="99">
        <v>36.85</v>
      </c>
      <c r="G152" s="99">
        <v>19.78</v>
      </c>
      <c r="H152" s="99">
        <v>7.18</v>
      </c>
      <c r="I152" s="100"/>
      <c r="J152" s="97">
        <v>248.71</v>
      </c>
      <c r="K152" s="97">
        <v>253.51</v>
      </c>
      <c r="L152" s="101"/>
      <c r="M152" s="102">
        <v>47.5</v>
      </c>
      <c r="N152" s="102">
        <v>301.01</v>
      </c>
    </row>
    <row r="153" spans="1:14" x14ac:dyDescent="0.25">
      <c r="A153" s="95">
        <v>1609124155</v>
      </c>
      <c r="B153" s="96" t="s">
        <v>302</v>
      </c>
      <c r="C153" s="97">
        <v>243.24</v>
      </c>
      <c r="D153" s="98">
        <v>1.1545000000000001</v>
      </c>
      <c r="E153" s="99">
        <v>134.41999999999999</v>
      </c>
      <c r="F153" s="99">
        <v>36.85</v>
      </c>
      <c r="G153" s="99">
        <v>25.86</v>
      </c>
      <c r="H153" s="99">
        <v>13.68</v>
      </c>
      <c r="I153" s="100"/>
      <c r="J153" s="97">
        <v>243.49</v>
      </c>
      <c r="K153" s="97">
        <v>243.49</v>
      </c>
      <c r="L153" s="101"/>
      <c r="M153" s="102">
        <v>47.5</v>
      </c>
      <c r="N153" s="102">
        <v>290.99</v>
      </c>
    </row>
    <row r="154" spans="1:14" x14ac:dyDescent="0.25">
      <c r="A154" s="95">
        <v>1407803828</v>
      </c>
      <c r="B154" s="96" t="s">
        <v>303</v>
      </c>
      <c r="C154" s="97">
        <v>239.02</v>
      </c>
      <c r="D154" s="98">
        <v>1.1614</v>
      </c>
      <c r="E154" s="99">
        <v>137.13999999999999</v>
      </c>
      <c r="F154" s="99">
        <v>36.85</v>
      </c>
      <c r="G154" s="99">
        <v>11.62</v>
      </c>
      <c r="H154" s="99">
        <v>13.68</v>
      </c>
      <c r="I154" s="100"/>
      <c r="J154" s="97">
        <v>230.18</v>
      </c>
      <c r="K154" s="97">
        <v>239.02</v>
      </c>
      <c r="L154" s="101"/>
      <c r="M154" s="102">
        <v>47.5</v>
      </c>
      <c r="N154" s="102">
        <v>286.52</v>
      </c>
    </row>
    <row r="155" spans="1:14" x14ac:dyDescent="0.25">
      <c r="A155" s="95">
        <v>1821024274</v>
      </c>
      <c r="B155" s="96" t="s">
        <v>304</v>
      </c>
      <c r="C155" s="97">
        <v>224.74</v>
      </c>
      <c r="D155" s="98">
        <v>1.1688924274286907</v>
      </c>
      <c r="E155" s="99">
        <v>133.9</v>
      </c>
      <c r="F155" s="99">
        <v>36.85</v>
      </c>
      <c r="G155" s="99">
        <v>7.95</v>
      </c>
      <c r="H155" s="99">
        <v>13.68</v>
      </c>
      <c r="I155" s="100"/>
      <c r="J155" s="97">
        <v>222.2</v>
      </c>
      <c r="K155" s="97">
        <v>224.74</v>
      </c>
      <c r="L155" s="101"/>
      <c r="M155" s="102">
        <v>47.5</v>
      </c>
      <c r="N155" s="102">
        <v>272.24</v>
      </c>
    </row>
    <row r="156" spans="1:14" x14ac:dyDescent="0.25">
      <c r="A156" s="95">
        <v>1770995094</v>
      </c>
      <c r="B156" s="96" t="s">
        <v>305</v>
      </c>
      <c r="C156" s="97">
        <v>225.36</v>
      </c>
      <c r="D156" s="98">
        <v>1.0234000000000001</v>
      </c>
      <c r="E156" s="99">
        <v>125.09</v>
      </c>
      <c r="F156" s="99">
        <v>36.85</v>
      </c>
      <c r="G156" s="99">
        <v>11.25</v>
      </c>
      <c r="H156" s="99">
        <v>13.68</v>
      </c>
      <c r="I156" s="100"/>
      <c r="J156" s="97">
        <v>215.83</v>
      </c>
      <c r="K156" s="97">
        <v>225.36</v>
      </c>
      <c r="L156" s="101"/>
      <c r="M156" s="102">
        <v>47.5</v>
      </c>
      <c r="N156" s="102">
        <v>272.86</v>
      </c>
    </row>
    <row r="157" spans="1:14" x14ac:dyDescent="0.25">
      <c r="A157" s="95">
        <v>1275508970</v>
      </c>
      <c r="B157" s="96" t="s">
        <v>306</v>
      </c>
      <c r="C157" s="97">
        <v>218.76</v>
      </c>
      <c r="D157" s="98">
        <v>0.92430000000000001</v>
      </c>
      <c r="E157" s="99">
        <v>117.82</v>
      </c>
      <c r="F157" s="99">
        <v>36.85</v>
      </c>
      <c r="G157" s="99">
        <v>16.600000000000001</v>
      </c>
      <c r="H157" s="99">
        <v>13.68</v>
      </c>
      <c r="I157" s="100"/>
      <c r="J157" s="97">
        <v>213.62</v>
      </c>
      <c r="K157" s="97">
        <v>218.76</v>
      </c>
      <c r="L157" s="101"/>
      <c r="M157" s="102">
        <v>47.5</v>
      </c>
      <c r="N157" s="102">
        <v>266.26</v>
      </c>
    </row>
    <row r="158" spans="1:14" x14ac:dyDescent="0.25">
      <c r="A158" s="95">
        <v>1417944752</v>
      </c>
      <c r="B158" s="96" t="s">
        <v>307</v>
      </c>
      <c r="C158" s="97">
        <v>230.2</v>
      </c>
      <c r="D158" s="98">
        <v>1.2184999999999999</v>
      </c>
      <c r="E158" s="99">
        <v>141.07</v>
      </c>
      <c r="F158" s="99">
        <v>36.85</v>
      </c>
      <c r="G158" s="99">
        <v>8.1300000000000008</v>
      </c>
      <c r="H158" s="99">
        <v>7.18</v>
      </c>
      <c r="I158" s="100"/>
      <c r="J158" s="97">
        <v>223.18</v>
      </c>
      <c r="K158" s="97">
        <v>230.2</v>
      </c>
      <c r="L158" s="101"/>
      <c r="M158" s="102">
        <v>47.5</v>
      </c>
      <c r="N158" s="102">
        <v>277.7</v>
      </c>
    </row>
    <row r="159" spans="1:14" x14ac:dyDescent="0.25">
      <c r="A159" s="95">
        <v>1396747689</v>
      </c>
      <c r="B159" s="96" t="s">
        <v>308</v>
      </c>
      <c r="C159" s="97">
        <v>230.3</v>
      </c>
      <c r="D159" s="98">
        <v>1.1233</v>
      </c>
      <c r="E159" s="99">
        <v>131.94999999999999</v>
      </c>
      <c r="F159" s="99">
        <v>36.85</v>
      </c>
      <c r="G159" s="99">
        <v>11.44</v>
      </c>
      <c r="H159" s="99">
        <v>13.68</v>
      </c>
      <c r="I159" s="100"/>
      <c r="J159" s="97">
        <v>223.98</v>
      </c>
      <c r="K159" s="97">
        <v>230.3</v>
      </c>
      <c r="L159" s="101"/>
      <c r="M159" s="102">
        <v>47.5</v>
      </c>
      <c r="N159" s="102">
        <v>277.8</v>
      </c>
    </row>
    <row r="160" spans="1:14" x14ac:dyDescent="0.25">
      <c r="A160" s="95">
        <v>1932135381</v>
      </c>
      <c r="B160" s="96" t="s">
        <v>309</v>
      </c>
      <c r="C160" s="97">
        <v>251.44</v>
      </c>
      <c r="D160" s="98">
        <v>1.1947000000000001</v>
      </c>
      <c r="E160" s="99">
        <v>138.97</v>
      </c>
      <c r="F160" s="99">
        <v>36.85</v>
      </c>
      <c r="G160" s="99">
        <v>13.85</v>
      </c>
      <c r="H160" s="99">
        <v>13.68</v>
      </c>
      <c r="I160" s="100"/>
      <c r="J160" s="97">
        <v>234.87</v>
      </c>
      <c r="K160" s="97">
        <v>251.44</v>
      </c>
      <c r="L160" s="101"/>
      <c r="M160" s="102">
        <v>47.5</v>
      </c>
      <c r="N160" s="102">
        <v>298.94</v>
      </c>
    </row>
    <row r="161" spans="1:14" x14ac:dyDescent="0.25">
      <c r="A161" s="95">
        <v>1710932355</v>
      </c>
      <c r="B161" s="96" t="s">
        <v>310</v>
      </c>
      <c r="C161" s="97">
        <v>240.69</v>
      </c>
      <c r="D161" s="98">
        <v>0.9647</v>
      </c>
      <c r="E161" s="99">
        <v>120.45</v>
      </c>
      <c r="F161" s="99">
        <v>36.85</v>
      </c>
      <c r="G161" s="99">
        <v>22.34</v>
      </c>
      <c r="H161" s="99">
        <v>13.68</v>
      </c>
      <c r="I161" s="100"/>
      <c r="J161" s="97">
        <v>223.28</v>
      </c>
      <c r="K161" s="97">
        <v>240.69</v>
      </c>
      <c r="L161" s="101"/>
      <c r="M161" s="102">
        <v>47.5</v>
      </c>
      <c r="N161" s="102">
        <v>288.19</v>
      </c>
    </row>
    <row r="162" spans="1:14" x14ac:dyDescent="0.25">
      <c r="A162" s="95">
        <v>1376570275</v>
      </c>
      <c r="B162" s="96" t="s">
        <v>311</v>
      </c>
      <c r="C162" s="97">
        <v>231.83</v>
      </c>
      <c r="D162" s="98">
        <v>1.1853</v>
      </c>
      <c r="E162" s="99">
        <v>137.33000000000001</v>
      </c>
      <c r="F162" s="99">
        <v>36.85</v>
      </c>
      <c r="G162" s="99">
        <v>11.56</v>
      </c>
      <c r="H162" s="99">
        <v>13.68</v>
      </c>
      <c r="I162" s="100"/>
      <c r="J162" s="97">
        <v>230.33</v>
      </c>
      <c r="K162" s="97">
        <v>231.83</v>
      </c>
      <c r="L162" s="101"/>
      <c r="M162" s="102">
        <v>47.5</v>
      </c>
      <c r="N162" s="102">
        <v>279.33000000000004</v>
      </c>
    </row>
    <row r="163" spans="1:14" x14ac:dyDescent="0.25">
      <c r="A163" s="95">
        <v>1417951492</v>
      </c>
      <c r="B163" s="96" t="s">
        <v>312</v>
      </c>
      <c r="C163" s="97">
        <v>204</v>
      </c>
      <c r="D163" s="98">
        <v>0.9748</v>
      </c>
      <c r="E163" s="99">
        <v>121.39</v>
      </c>
      <c r="F163" s="99">
        <v>36.85</v>
      </c>
      <c r="G163" s="99">
        <v>15.19</v>
      </c>
      <c r="H163" s="99">
        <v>0</v>
      </c>
      <c r="I163" s="100"/>
      <c r="J163" s="97">
        <v>200.31</v>
      </c>
      <c r="K163" s="97">
        <v>204</v>
      </c>
      <c r="L163" s="101"/>
      <c r="M163" s="102">
        <v>47.5</v>
      </c>
      <c r="N163" s="102">
        <v>251.5</v>
      </c>
    </row>
    <row r="164" spans="1:14" x14ac:dyDescent="0.25">
      <c r="A164" s="95">
        <v>1730183625</v>
      </c>
      <c r="B164" s="101" t="s">
        <v>313</v>
      </c>
      <c r="C164" s="97">
        <v>208.99</v>
      </c>
      <c r="D164" s="98">
        <v>0.89400000000000002</v>
      </c>
      <c r="E164" s="99">
        <v>115.88</v>
      </c>
      <c r="F164" s="99">
        <v>36.85</v>
      </c>
      <c r="G164" s="99">
        <v>10.86</v>
      </c>
      <c r="H164" s="99">
        <v>0</v>
      </c>
      <c r="I164" s="100"/>
      <c r="J164" s="97">
        <v>188.93</v>
      </c>
      <c r="K164" s="97">
        <v>208.99</v>
      </c>
      <c r="L164" s="101"/>
      <c r="M164" s="102">
        <v>47.5</v>
      </c>
      <c r="N164" s="102">
        <v>256.49</v>
      </c>
    </row>
    <row r="165" spans="1:14" x14ac:dyDescent="0.25">
      <c r="A165" s="95">
        <v>1730136128</v>
      </c>
      <c r="B165" s="96" t="s">
        <v>314</v>
      </c>
      <c r="C165" s="97">
        <v>235.13</v>
      </c>
      <c r="D165" s="98">
        <v>1.1406000000000001</v>
      </c>
      <c r="E165" s="99">
        <v>133.72999999999999</v>
      </c>
      <c r="F165" s="99">
        <v>36.85</v>
      </c>
      <c r="G165" s="99">
        <v>11.26</v>
      </c>
      <c r="H165" s="99">
        <v>13.68</v>
      </c>
      <c r="I165" s="100"/>
      <c r="J165" s="97">
        <v>225.83</v>
      </c>
      <c r="K165" s="97">
        <v>235.13</v>
      </c>
      <c r="L165" s="101"/>
      <c r="M165" s="102">
        <v>47.5</v>
      </c>
      <c r="N165" s="102">
        <v>282.63</v>
      </c>
    </row>
    <row r="166" spans="1:14" x14ac:dyDescent="0.25">
      <c r="A166" s="95">
        <v>1679555403</v>
      </c>
      <c r="B166" s="96" t="s">
        <v>315</v>
      </c>
      <c r="C166" s="97">
        <v>223.47</v>
      </c>
      <c r="D166" s="98">
        <v>0.98839999999999995</v>
      </c>
      <c r="E166" s="99">
        <v>122.32</v>
      </c>
      <c r="F166" s="99">
        <v>36.85</v>
      </c>
      <c r="G166" s="99">
        <v>33.5</v>
      </c>
      <c r="H166" s="99">
        <v>0</v>
      </c>
      <c r="I166" s="100"/>
      <c r="J166" s="97">
        <v>222.53</v>
      </c>
      <c r="K166" s="97">
        <v>223.47</v>
      </c>
      <c r="L166" s="101"/>
      <c r="M166" s="102">
        <v>47.5</v>
      </c>
      <c r="N166" s="102">
        <v>270.97000000000003</v>
      </c>
    </row>
    <row r="167" spans="1:14" x14ac:dyDescent="0.25">
      <c r="A167" s="95">
        <v>1982948550</v>
      </c>
      <c r="B167" s="96" t="s">
        <v>316</v>
      </c>
      <c r="C167" s="97">
        <v>208.66</v>
      </c>
      <c r="D167" s="98">
        <v>0.91990000000000005</v>
      </c>
      <c r="E167" s="99">
        <v>116.44</v>
      </c>
      <c r="F167" s="99">
        <v>36.85</v>
      </c>
      <c r="G167" s="99">
        <v>9.65</v>
      </c>
      <c r="H167" s="99">
        <v>0</v>
      </c>
      <c r="I167" s="100"/>
      <c r="J167" s="97">
        <v>188.2</v>
      </c>
      <c r="K167" s="97">
        <v>208.66</v>
      </c>
      <c r="L167" s="101"/>
      <c r="M167" s="102">
        <v>47.5</v>
      </c>
      <c r="N167" s="102">
        <v>256.15999999999997</v>
      </c>
    </row>
    <row r="168" spans="1:14" x14ac:dyDescent="0.25">
      <c r="A168" s="95">
        <v>1174524458</v>
      </c>
      <c r="B168" s="96" t="s">
        <v>317</v>
      </c>
      <c r="C168" s="97">
        <v>234.82</v>
      </c>
      <c r="D168" s="98">
        <v>1.1238999999999999</v>
      </c>
      <c r="E168" s="99">
        <v>133.61000000000001</v>
      </c>
      <c r="F168" s="99">
        <v>36.85</v>
      </c>
      <c r="G168" s="99">
        <v>20.87</v>
      </c>
      <c r="H168" s="99">
        <v>0</v>
      </c>
      <c r="I168" s="100"/>
      <c r="J168" s="97">
        <v>220.99</v>
      </c>
      <c r="K168" s="97">
        <v>234.82</v>
      </c>
      <c r="L168" s="101"/>
      <c r="M168" s="102">
        <v>47.5</v>
      </c>
      <c r="N168" s="102">
        <v>282.32</v>
      </c>
    </row>
    <row r="169" spans="1:14" x14ac:dyDescent="0.25">
      <c r="A169" s="95">
        <v>1477511079</v>
      </c>
      <c r="B169" s="96" t="s">
        <v>318</v>
      </c>
      <c r="C169" s="97">
        <v>230.51</v>
      </c>
      <c r="D169" s="98">
        <v>1.0832999999999999</v>
      </c>
      <c r="E169" s="99">
        <v>129.86000000000001</v>
      </c>
      <c r="F169" s="99">
        <v>36.85</v>
      </c>
      <c r="G169" s="99">
        <v>15.99</v>
      </c>
      <c r="H169" s="99">
        <v>13.68</v>
      </c>
      <c r="I169" s="100"/>
      <c r="J169" s="97">
        <v>226.82</v>
      </c>
      <c r="K169" s="97">
        <v>230.51</v>
      </c>
      <c r="L169" s="101"/>
      <c r="M169" s="102">
        <v>47.5</v>
      </c>
      <c r="N169" s="102">
        <v>278.01</v>
      </c>
    </row>
    <row r="170" spans="1:14" x14ac:dyDescent="0.25">
      <c r="A170" s="95">
        <v>1396802260</v>
      </c>
      <c r="B170" s="96" t="s">
        <v>319</v>
      </c>
      <c r="C170" s="97">
        <v>262.95999999999998</v>
      </c>
      <c r="D170" s="98">
        <v>1.2615000000000001</v>
      </c>
      <c r="E170" s="99">
        <v>143.6</v>
      </c>
      <c r="F170" s="99">
        <v>36.85</v>
      </c>
      <c r="G170" s="99">
        <v>34.11</v>
      </c>
      <c r="H170" s="99">
        <v>13.68</v>
      </c>
      <c r="I170" s="100"/>
      <c r="J170" s="97">
        <v>263.62</v>
      </c>
      <c r="K170" s="97">
        <v>263.62</v>
      </c>
      <c r="L170" s="101"/>
      <c r="M170" s="102">
        <v>47.5</v>
      </c>
      <c r="N170" s="102">
        <v>311.12</v>
      </c>
    </row>
    <row r="171" spans="1:14" x14ac:dyDescent="0.25">
      <c r="A171" s="95">
        <v>1588618045</v>
      </c>
      <c r="B171" s="96" t="s">
        <v>320</v>
      </c>
      <c r="C171" s="97">
        <v>239.36</v>
      </c>
      <c r="D171" s="98">
        <v>1.3056000000000001</v>
      </c>
      <c r="E171" s="99">
        <v>145.87</v>
      </c>
      <c r="F171" s="99">
        <v>36.85</v>
      </c>
      <c r="G171" s="99">
        <v>8.1300000000000008</v>
      </c>
      <c r="H171" s="99">
        <v>13.68</v>
      </c>
      <c r="I171" s="100"/>
      <c r="J171" s="97">
        <v>236.23</v>
      </c>
      <c r="K171" s="97">
        <v>239.36</v>
      </c>
      <c r="L171" s="101"/>
      <c r="M171" s="102">
        <v>47.5</v>
      </c>
      <c r="N171" s="102">
        <v>286.86</v>
      </c>
    </row>
    <row r="172" spans="1:14" x14ac:dyDescent="0.25">
      <c r="A172" s="95">
        <v>1962066480</v>
      </c>
      <c r="B172" s="96" t="s">
        <v>321</v>
      </c>
      <c r="C172" s="97">
        <v>261.04000000000002</v>
      </c>
      <c r="D172" s="98">
        <v>1.448</v>
      </c>
      <c r="E172" s="99">
        <v>163.72</v>
      </c>
      <c r="F172" s="99">
        <v>36.85</v>
      </c>
      <c r="G172" s="99">
        <v>7.99</v>
      </c>
      <c r="H172" s="99">
        <v>13.68</v>
      </c>
      <c r="I172" s="100"/>
      <c r="J172" s="97">
        <v>256.69</v>
      </c>
      <c r="K172" s="97">
        <v>261.04000000000002</v>
      </c>
      <c r="L172" s="101"/>
      <c r="M172" s="102">
        <v>47.5</v>
      </c>
      <c r="N172" s="102">
        <v>308.54000000000002</v>
      </c>
    </row>
    <row r="173" spans="1:14" x14ac:dyDescent="0.25">
      <c r="A173" s="95">
        <v>1366487464</v>
      </c>
      <c r="B173" s="96" t="s">
        <v>322</v>
      </c>
      <c r="C173" s="97">
        <v>247.59</v>
      </c>
      <c r="D173" s="98">
        <v>1.2407999999999999</v>
      </c>
      <c r="E173" s="99">
        <v>142.69</v>
      </c>
      <c r="F173" s="99">
        <v>36.85</v>
      </c>
      <c r="G173" s="99">
        <v>11</v>
      </c>
      <c r="H173" s="99">
        <v>13.68</v>
      </c>
      <c r="I173" s="100"/>
      <c r="J173" s="97">
        <v>235.87</v>
      </c>
      <c r="K173" s="97">
        <v>247.59</v>
      </c>
      <c r="L173" s="101"/>
      <c r="M173" s="102">
        <v>47.5</v>
      </c>
      <c r="N173" s="102">
        <v>295.09000000000003</v>
      </c>
    </row>
    <row r="174" spans="1:14" x14ac:dyDescent="0.25">
      <c r="A174" s="95">
        <v>1407882830</v>
      </c>
      <c r="B174" s="96" t="s">
        <v>323</v>
      </c>
      <c r="C174" s="97">
        <v>226.78</v>
      </c>
      <c r="D174" s="98">
        <v>1.1474</v>
      </c>
      <c r="E174" s="99">
        <v>133.36000000000001</v>
      </c>
      <c r="F174" s="99">
        <v>36.85</v>
      </c>
      <c r="G174" s="99">
        <v>10.45</v>
      </c>
      <c r="H174" s="99">
        <v>13.68</v>
      </c>
      <c r="I174" s="100"/>
      <c r="J174" s="97">
        <v>224.46</v>
      </c>
      <c r="K174" s="97">
        <v>226.78</v>
      </c>
      <c r="L174" s="101"/>
      <c r="M174" s="102">
        <v>47.5</v>
      </c>
      <c r="N174" s="102">
        <v>274.27999999999997</v>
      </c>
    </row>
    <row r="175" spans="1:14" x14ac:dyDescent="0.25">
      <c r="A175" s="95">
        <v>1588642102</v>
      </c>
      <c r="B175" s="96" t="s">
        <v>324</v>
      </c>
      <c r="C175" s="97">
        <v>254.46</v>
      </c>
      <c r="D175" s="98">
        <v>1.3089999999999999</v>
      </c>
      <c r="E175" s="99">
        <v>149.13</v>
      </c>
      <c r="F175" s="99">
        <v>36.85</v>
      </c>
      <c r="G175" s="99">
        <v>19.29</v>
      </c>
      <c r="H175" s="99">
        <v>13.68</v>
      </c>
      <c r="I175" s="100"/>
      <c r="J175" s="97">
        <v>252.89</v>
      </c>
      <c r="K175" s="97">
        <v>254.46</v>
      </c>
      <c r="L175" s="101"/>
      <c r="M175" s="102">
        <v>47.5</v>
      </c>
      <c r="N175" s="102">
        <v>301.96000000000004</v>
      </c>
    </row>
    <row r="176" spans="1:14" x14ac:dyDescent="0.25">
      <c r="A176" s="95">
        <v>1063458958</v>
      </c>
      <c r="B176" s="96" t="s">
        <v>325</v>
      </c>
      <c r="C176" s="97">
        <v>236.12</v>
      </c>
      <c r="D176" s="98">
        <v>1.2047000000000001</v>
      </c>
      <c r="E176" s="99">
        <v>138.97999999999999</v>
      </c>
      <c r="F176" s="99">
        <v>36.85</v>
      </c>
      <c r="G176" s="99">
        <v>12.28</v>
      </c>
      <c r="H176" s="99">
        <v>13.68</v>
      </c>
      <c r="I176" s="100"/>
      <c r="J176" s="97">
        <v>233.07</v>
      </c>
      <c r="K176" s="97">
        <v>236.12</v>
      </c>
      <c r="L176" s="101"/>
      <c r="M176" s="102">
        <v>47.5</v>
      </c>
      <c r="N176" s="102">
        <v>283.62</v>
      </c>
    </row>
    <row r="177" spans="1:14" x14ac:dyDescent="0.25">
      <c r="A177" s="95">
        <v>1619908977</v>
      </c>
      <c r="B177" s="96" t="s">
        <v>326</v>
      </c>
      <c r="C177" s="97">
        <v>232.11</v>
      </c>
      <c r="D177" s="98">
        <v>1.2369000000000001</v>
      </c>
      <c r="E177" s="99">
        <v>141.54</v>
      </c>
      <c r="F177" s="99">
        <v>36.85</v>
      </c>
      <c r="G177" s="99">
        <v>8.93</v>
      </c>
      <c r="H177" s="99">
        <v>13.68</v>
      </c>
      <c r="I177" s="100"/>
      <c r="J177" s="97">
        <v>232.16</v>
      </c>
      <c r="K177" s="97">
        <v>232.16</v>
      </c>
      <c r="L177" s="101"/>
      <c r="M177" s="102">
        <v>47.5</v>
      </c>
      <c r="N177" s="102">
        <v>279.65999999999997</v>
      </c>
    </row>
    <row r="178" spans="1:14" x14ac:dyDescent="0.25">
      <c r="A178" s="95">
        <v>1033784970</v>
      </c>
      <c r="B178" s="96" t="s">
        <v>327</v>
      </c>
      <c r="C178" s="97">
        <v>240.07</v>
      </c>
      <c r="D178" s="98">
        <v>1.2093</v>
      </c>
      <c r="E178" s="99">
        <v>139.24</v>
      </c>
      <c r="F178" s="99">
        <v>36.85</v>
      </c>
      <c r="G178" s="99">
        <v>20.100000000000001</v>
      </c>
      <c r="H178" s="99">
        <v>13.68</v>
      </c>
      <c r="I178" s="100"/>
      <c r="J178" s="97">
        <v>242.4</v>
      </c>
      <c r="K178" s="97">
        <v>242.4</v>
      </c>
      <c r="L178" s="101"/>
      <c r="M178" s="102">
        <v>47.5</v>
      </c>
      <c r="N178" s="102">
        <v>289.89999999999998</v>
      </c>
    </row>
    <row r="179" spans="1:14" x14ac:dyDescent="0.25">
      <c r="A179" s="95">
        <v>1649590498</v>
      </c>
      <c r="B179" s="96" t="s">
        <v>328</v>
      </c>
      <c r="C179" s="97">
        <v>227.62</v>
      </c>
      <c r="D179" s="98">
        <v>1.1688924274286907</v>
      </c>
      <c r="E179" s="99">
        <v>134.85</v>
      </c>
      <c r="F179" s="99">
        <v>36.85</v>
      </c>
      <c r="G179" s="99">
        <v>8.6300000000000008</v>
      </c>
      <c r="H179" s="99">
        <v>13.68</v>
      </c>
      <c r="I179" s="100"/>
      <c r="J179" s="97">
        <v>224.08</v>
      </c>
      <c r="K179" s="97">
        <v>227.62</v>
      </c>
      <c r="L179" s="101"/>
      <c r="M179" s="102">
        <v>47.5</v>
      </c>
      <c r="N179" s="102">
        <v>275.12</v>
      </c>
    </row>
    <row r="180" spans="1:14" x14ac:dyDescent="0.25">
      <c r="A180" s="95">
        <v>1932145836</v>
      </c>
      <c r="B180" s="96" t="s">
        <v>329</v>
      </c>
      <c r="C180" s="97">
        <v>235.02</v>
      </c>
      <c r="D180" s="98">
        <v>1.123</v>
      </c>
      <c r="E180" s="99">
        <v>132.94</v>
      </c>
      <c r="F180" s="99">
        <v>36.85</v>
      </c>
      <c r="G180" s="99">
        <v>18.63</v>
      </c>
      <c r="H180" s="99">
        <v>13.68</v>
      </c>
      <c r="I180" s="100"/>
      <c r="J180" s="97">
        <v>233.43</v>
      </c>
      <c r="K180" s="97">
        <v>235.02</v>
      </c>
      <c r="L180" s="101"/>
      <c r="M180" s="102">
        <v>47.5</v>
      </c>
      <c r="N180" s="102">
        <v>282.52</v>
      </c>
    </row>
    <row r="181" spans="1:14" x14ac:dyDescent="0.25">
      <c r="A181" s="95">
        <v>1285665539</v>
      </c>
      <c r="B181" s="96" t="s">
        <v>330</v>
      </c>
      <c r="C181" s="97">
        <v>248.07</v>
      </c>
      <c r="D181" s="98">
        <v>1.2290000000000001</v>
      </c>
      <c r="E181" s="99">
        <v>139.87</v>
      </c>
      <c r="F181" s="99">
        <v>36.85</v>
      </c>
      <c r="G181" s="99">
        <v>15.97</v>
      </c>
      <c r="H181" s="99">
        <v>13.68</v>
      </c>
      <c r="I181" s="100"/>
      <c r="J181" s="97">
        <v>238.36</v>
      </c>
      <c r="K181" s="97">
        <v>248.07</v>
      </c>
      <c r="L181" s="101"/>
      <c r="M181" s="102">
        <v>47.5</v>
      </c>
      <c r="N181" s="102">
        <v>295.57</v>
      </c>
    </row>
    <row r="182" spans="1:14" x14ac:dyDescent="0.25">
      <c r="A182" s="95">
        <v>1104800069</v>
      </c>
      <c r="B182" s="96" t="s">
        <v>331</v>
      </c>
      <c r="C182" s="97">
        <v>267.36</v>
      </c>
      <c r="D182" s="98">
        <v>1.3633999999999999</v>
      </c>
      <c r="E182" s="99">
        <v>153.94</v>
      </c>
      <c r="F182" s="99">
        <v>36.85</v>
      </c>
      <c r="G182" s="99">
        <v>23.27</v>
      </c>
      <c r="H182" s="99">
        <v>13.68</v>
      </c>
      <c r="I182" s="100"/>
      <c r="J182" s="97">
        <v>263.04000000000002</v>
      </c>
      <c r="K182" s="97">
        <v>267.36</v>
      </c>
      <c r="L182" s="101"/>
      <c r="M182" s="102">
        <v>47.5</v>
      </c>
      <c r="N182" s="102">
        <v>314.86</v>
      </c>
    </row>
    <row r="183" spans="1:14" x14ac:dyDescent="0.25">
      <c r="A183" s="95">
        <v>1912027871</v>
      </c>
      <c r="B183" s="96" t="s">
        <v>332</v>
      </c>
      <c r="C183" s="97">
        <v>245.09</v>
      </c>
      <c r="D183" s="98">
        <v>1.2121</v>
      </c>
      <c r="E183" s="99">
        <v>140.80000000000001</v>
      </c>
      <c r="F183" s="99">
        <v>36.85</v>
      </c>
      <c r="G183" s="99">
        <v>20.83</v>
      </c>
      <c r="H183" s="99">
        <v>13.68</v>
      </c>
      <c r="I183" s="100"/>
      <c r="J183" s="97">
        <v>245.04</v>
      </c>
      <c r="K183" s="97">
        <v>245.09</v>
      </c>
      <c r="L183" s="101"/>
      <c r="M183" s="102">
        <v>47.5</v>
      </c>
      <c r="N183" s="102">
        <v>292.59000000000003</v>
      </c>
    </row>
    <row r="184" spans="1:14" x14ac:dyDescent="0.25">
      <c r="A184" s="95">
        <v>1326143504</v>
      </c>
      <c r="B184" s="96" t="s">
        <v>333</v>
      </c>
      <c r="C184" s="97">
        <v>237.55</v>
      </c>
      <c r="D184" s="98">
        <v>1.2232000000000001</v>
      </c>
      <c r="E184" s="99">
        <v>140.55000000000001</v>
      </c>
      <c r="F184" s="99">
        <v>36.85</v>
      </c>
      <c r="G184" s="99">
        <v>11.07</v>
      </c>
      <c r="H184" s="99">
        <v>13.68</v>
      </c>
      <c r="I184" s="100"/>
      <c r="J184" s="97">
        <v>233.48</v>
      </c>
      <c r="K184" s="97">
        <v>237.55</v>
      </c>
      <c r="L184" s="101"/>
      <c r="M184" s="102">
        <v>47.5</v>
      </c>
      <c r="N184" s="102">
        <v>285.05</v>
      </c>
    </row>
    <row r="185" spans="1:14" x14ac:dyDescent="0.25">
      <c r="A185" s="95">
        <v>1578715504</v>
      </c>
      <c r="B185" s="96" t="s">
        <v>334</v>
      </c>
      <c r="C185" s="97">
        <v>266.67</v>
      </c>
      <c r="D185" s="98">
        <v>1.5018</v>
      </c>
      <c r="E185" s="99">
        <v>169.55</v>
      </c>
      <c r="F185" s="99">
        <v>36.85</v>
      </c>
      <c r="G185" s="99">
        <v>17.41</v>
      </c>
      <c r="H185" s="99">
        <v>7.18</v>
      </c>
      <c r="I185" s="100"/>
      <c r="J185" s="97">
        <v>266.79000000000002</v>
      </c>
      <c r="K185" s="97">
        <v>266.79000000000002</v>
      </c>
      <c r="L185" s="101"/>
      <c r="M185" s="102">
        <v>47.5</v>
      </c>
      <c r="N185" s="102">
        <v>314.29000000000002</v>
      </c>
    </row>
    <row r="186" spans="1:14" x14ac:dyDescent="0.25">
      <c r="A186" s="95">
        <v>1376926519</v>
      </c>
      <c r="B186" s="96" t="s">
        <v>335</v>
      </c>
      <c r="C186" s="97">
        <v>258.43</v>
      </c>
      <c r="D186" s="98">
        <v>1.4353</v>
      </c>
      <c r="E186" s="99">
        <v>159.38999999999999</v>
      </c>
      <c r="F186" s="99">
        <v>36.85</v>
      </c>
      <c r="G186" s="99">
        <v>15.95</v>
      </c>
      <c r="H186" s="99">
        <v>13.68</v>
      </c>
      <c r="I186" s="100"/>
      <c r="J186" s="97">
        <v>260.88</v>
      </c>
      <c r="K186" s="97">
        <v>260.88</v>
      </c>
      <c r="L186" s="101"/>
      <c r="M186" s="102">
        <v>47.5</v>
      </c>
      <c r="N186" s="102">
        <v>308.38</v>
      </c>
    </row>
    <row r="187" spans="1:14" x14ac:dyDescent="0.25">
      <c r="A187" s="95">
        <v>1699886085</v>
      </c>
      <c r="B187" s="96" t="s">
        <v>336</v>
      </c>
      <c r="C187" s="97">
        <v>251.33</v>
      </c>
      <c r="D187" s="98">
        <v>1.1840999999999999</v>
      </c>
      <c r="E187" s="99">
        <v>138.97</v>
      </c>
      <c r="F187" s="99">
        <v>36.85</v>
      </c>
      <c r="G187" s="99">
        <v>22.29</v>
      </c>
      <c r="H187" s="99">
        <v>13.68</v>
      </c>
      <c r="I187" s="100"/>
      <c r="J187" s="97">
        <v>244.62</v>
      </c>
      <c r="K187" s="97">
        <v>251.33</v>
      </c>
      <c r="L187" s="101"/>
      <c r="M187" s="102">
        <v>47.5</v>
      </c>
      <c r="N187" s="102">
        <v>298.83000000000004</v>
      </c>
    </row>
    <row r="188" spans="1:14" x14ac:dyDescent="0.25">
      <c r="A188" s="95">
        <v>1336142470</v>
      </c>
      <c r="B188" s="96" t="s">
        <v>337</v>
      </c>
      <c r="C188" s="97">
        <v>221.23</v>
      </c>
      <c r="D188" s="98">
        <v>0.9536</v>
      </c>
      <c r="E188" s="99">
        <v>119.85</v>
      </c>
      <c r="F188" s="99">
        <v>36.85</v>
      </c>
      <c r="G188" s="99">
        <v>17.95</v>
      </c>
      <c r="H188" s="99">
        <v>13.68</v>
      </c>
      <c r="I188" s="100"/>
      <c r="J188" s="97">
        <v>217.52</v>
      </c>
      <c r="K188" s="97">
        <v>221.23</v>
      </c>
      <c r="L188" s="101"/>
      <c r="M188" s="102">
        <v>47.5</v>
      </c>
      <c r="N188" s="102">
        <v>268.73</v>
      </c>
    </row>
    <row r="189" spans="1:14" x14ac:dyDescent="0.25">
      <c r="A189" s="95">
        <v>1639556806</v>
      </c>
      <c r="B189" s="101" t="s">
        <v>338</v>
      </c>
      <c r="C189" s="97">
        <v>226.9</v>
      </c>
      <c r="D189" s="98">
        <v>0.9</v>
      </c>
      <c r="E189" s="99">
        <v>115.97</v>
      </c>
      <c r="F189" s="99">
        <v>36.85</v>
      </c>
      <c r="G189" s="99">
        <v>19.170000000000002</v>
      </c>
      <c r="H189" s="99">
        <v>13.68</v>
      </c>
      <c r="I189" s="100"/>
      <c r="J189" s="97">
        <v>214.45</v>
      </c>
      <c r="K189" s="97">
        <v>226.9</v>
      </c>
      <c r="L189" s="101"/>
      <c r="M189" s="102">
        <v>47.5</v>
      </c>
      <c r="N189" s="102">
        <v>274.39999999999998</v>
      </c>
    </row>
    <row r="190" spans="1:14" x14ac:dyDescent="0.25">
      <c r="A190" s="95">
        <v>1811984925</v>
      </c>
      <c r="B190" s="96" t="s">
        <v>339</v>
      </c>
      <c r="C190" s="97">
        <v>223.84</v>
      </c>
      <c r="D190" s="98">
        <v>1.0009999999999999</v>
      </c>
      <c r="E190" s="99">
        <v>123.37</v>
      </c>
      <c r="F190" s="99">
        <v>36.85</v>
      </c>
      <c r="G190" s="99">
        <v>14.17</v>
      </c>
      <c r="H190" s="99">
        <v>13.68</v>
      </c>
      <c r="I190" s="100"/>
      <c r="J190" s="97">
        <v>217.22</v>
      </c>
      <c r="K190" s="97">
        <v>223.84</v>
      </c>
      <c r="L190" s="101"/>
      <c r="M190" s="102">
        <v>47.5</v>
      </c>
      <c r="N190" s="102">
        <v>271.34000000000003</v>
      </c>
    </row>
    <row r="191" spans="1:14" x14ac:dyDescent="0.25">
      <c r="A191" s="95">
        <v>1104950765</v>
      </c>
      <c r="B191" s="96" t="s">
        <v>340</v>
      </c>
      <c r="C191" s="97">
        <v>265.64</v>
      </c>
      <c r="D191" s="98">
        <v>1.3105</v>
      </c>
      <c r="E191" s="99">
        <v>147.65</v>
      </c>
      <c r="F191" s="99">
        <v>36.85</v>
      </c>
      <c r="G191" s="99">
        <v>24.71</v>
      </c>
      <c r="H191" s="99">
        <v>13.68</v>
      </c>
      <c r="I191" s="100"/>
      <c r="J191" s="97">
        <v>257.44</v>
      </c>
      <c r="K191" s="97">
        <v>265.64</v>
      </c>
      <c r="L191" s="101"/>
      <c r="M191" s="102">
        <v>47.5</v>
      </c>
      <c r="N191" s="102">
        <v>313.14</v>
      </c>
    </row>
    <row r="192" spans="1:14" x14ac:dyDescent="0.25">
      <c r="A192" s="95">
        <v>1689621880</v>
      </c>
      <c r="B192" s="96" t="s">
        <v>341</v>
      </c>
      <c r="C192" s="97">
        <v>234.49</v>
      </c>
      <c r="D192" s="98">
        <v>1.1242000000000001</v>
      </c>
      <c r="E192" s="99">
        <v>133.63999999999999</v>
      </c>
      <c r="F192" s="99">
        <v>36.85</v>
      </c>
      <c r="G192" s="99">
        <v>12.9</v>
      </c>
      <c r="H192" s="99">
        <v>13.68</v>
      </c>
      <c r="I192" s="100"/>
      <c r="J192" s="97">
        <v>227.62</v>
      </c>
      <c r="K192" s="97">
        <v>234.49</v>
      </c>
      <c r="L192" s="101"/>
      <c r="M192" s="102">
        <v>47.5</v>
      </c>
      <c r="N192" s="102">
        <v>281.99</v>
      </c>
    </row>
    <row r="193" spans="1:14" x14ac:dyDescent="0.25">
      <c r="A193" s="95">
        <v>1477137628</v>
      </c>
      <c r="B193" s="101" t="s">
        <v>342</v>
      </c>
      <c r="C193" s="97">
        <v>259.82</v>
      </c>
      <c r="D193" s="98">
        <v>1.2234</v>
      </c>
      <c r="E193" s="99">
        <v>140.80000000000001</v>
      </c>
      <c r="F193" s="99">
        <v>36.85</v>
      </c>
      <c r="G193" s="99">
        <v>29.89</v>
      </c>
      <c r="H193" s="99">
        <v>13.68</v>
      </c>
      <c r="I193" s="100"/>
      <c r="J193" s="97">
        <v>255.5</v>
      </c>
      <c r="K193" s="97">
        <v>259.82</v>
      </c>
      <c r="L193" s="101"/>
      <c r="M193" s="102">
        <v>47.5</v>
      </c>
      <c r="N193" s="102">
        <v>307.32</v>
      </c>
    </row>
    <row r="194" spans="1:14" x14ac:dyDescent="0.25">
      <c r="A194" s="95">
        <v>1932750841</v>
      </c>
      <c r="B194" s="96" t="s">
        <v>343</v>
      </c>
      <c r="C194" s="97">
        <v>250.98</v>
      </c>
      <c r="D194" s="98">
        <v>1.1495</v>
      </c>
      <c r="E194" s="99">
        <v>136.57</v>
      </c>
      <c r="F194" s="99">
        <v>36.85</v>
      </c>
      <c r="G194" s="99">
        <v>24.49</v>
      </c>
      <c r="H194" s="99">
        <v>13.68</v>
      </c>
      <c r="I194" s="100"/>
      <c r="J194" s="97">
        <v>244.39</v>
      </c>
      <c r="K194" s="97">
        <v>250.98</v>
      </c>
      <c r="L194" s="101"/>
      <c r="M194" s="102">
        <v>47.5</v>
      </c>
      <c r="N194" s="102">
        <v>298.48</v>
      </c>
    </row>
    <row r="195" spans="1:14" x14ac:dyDescent="0.25">
      <c r="A195" s="95">
        <v>1760462196</v>
      </c>
      <c r="B195" s="96" t="s">
        <v>344</v>
      </c>
      <c r="C195" s="97">
        <v>242.35</v>
      </c>
      <c r="D195" s="98">
        <v>1.1443000000000001</v>
      </c>
      <c r="E195" s="99">
        <v>134.85</v>
      </c>
      <c r="F195" s="99">
        <v>36.85</v>
      </c>
      <c r="G195" s="99">
        <v>9.66</v>
      </c>
      <c r="H195" s="99">
        <v>13.68</v>
      </c>
      <c r="I195" s="100"/>
      <c r="J195" s="97">
        <v>225.27</v>
      </c>
      <c r="K195" s="97">
        <v>242.35</v>
      </c>
      <c r="L195" s="101"/>
      <c r="M195" s="102">
        <v>47.5</v>
      </c>
      <c r="N195" s="102">
        <v>289.85000000000002</v>
      </c>
    </row>
    <row r="196" spans="1:14" x14ac:dyDescent="0.25">
      <c r="A196" s="95">
        <v>1255367447</v>
      </c>
      <c r="B196" s="96" t="s">
        <v>345</v>
      </c>
      <c r="C196" s="97">
        <v>230.87</v>
      </c>
      <c r="D196" s="98">
        <v>1.2283999999999999</v>
      </c>
      <c r="E196" s="99">
        <v>140.62</v>
      </c>
      <c r="F196" s="99">
        <v>36.85</v>
      </c>
      <c r="G196" s="99">
        <v>11.53</v>
      </c>
      <c r="H196" s="99">
        <v>7.18</v>
      </c>
      <c r="I196" s="100"/>
      <c r="J196" s="97">
        <v>226.59</v>
      </c>
      <c r="K196" s="97">
        <v>230.87</v>
      </c>
      <c r="L196" s="101"/>
      <c r="M196" s="102">
        <v>47.5</v>
      </c>
      <c r="N196" s="102">
        <v>278.37</v>
      </c>
    </row>
    <row r="197" spans="1:14" x14ac:dyDescent="0.25">
      <c r="A197" s="95">
        <v>1053953844</v>
      </c>
      <c r="B197" s="96" t="s">
        <v>346</v>
      </c>
      <c r="C197" s="97">
        <v>243.84</v>
      </c>
      <c r="D197" s="98">
        <v>1.0730999999999999</v>
      </c>
      <c r="E197" s="99">
        <v>129.49</v>
      </c>
      <c r="F197" s="99">
        <v>36.85</v>
      </c>
      <c r="G197" s="99">
        <v>18.350000000000001</v>
      </c>
      <c r="H197" s="99">
        <v>13.68</v>
      </c>
      <c r="I197" s="100"/>
      <c r="J197" s="97">
        <v>229.12</v>
      </c>
      <c r="K197" s="97">
        <v>243.84</v>
      </c>
      <c r="L197" s="101"/>
      <c r="M197" s="102">
        <v>47.5</v>
      </c>
      <c r="N197" s="102">
        <v>291.34000000000003</v>
      </c>
    </row>
    <row r="198" spans="1:14" x14ac:dyDescent="0.25">
      <c r="A198" s="95">
        <v>1689777971</v>
      </c>
      <c r="B198" s="96" t="s">
        <v>347</v>
      </c>
      <c r="C198" s="97">
        <v>237.75</v>
      </c>
      <c r="D198" s="98">
        <v>1.3464</v>
      </c>
      <c r="E198" s="99">
        <v>147.37</v>
      </c>
      <c r="F198" s="99">
        <v>36.85</v>
      </c>
      <c r="G198" s="99">
        <v>8.52</v>
      </c>
      <c r="H198" s="99">
        <v>13.68</v>
      </c>
      <c r="I198" s="100"/>
      <c r="J198" s="97">
        <v>238.42</v>
      </c>
      <c r="K198" s="97">
        <v>238.42</v>
      </c>
      <c r="L198" s="101"/>
      <c r="M198" s="102">
        <v>47.5</v>
      </c>
      <c r="N198" s="102">
        <v>285.91999999999996</v>
      </c>
    </row>
    <row r="199" spans="1:14" x14ac:dyDescent="0.25">
      <c r="A199" s="95">
        <v>1972547321</v>
      </c>
      <c r="B199" s="96" t="s">
        <v>348</v>
      </c>
      <c r="C199" s="97">
        <v>250.42</v>
      </c>
      <c r="D199" s="98">
        <v>1.3849</v>
      </c>
      <c r="E199" s="99">
        <v>152.55000000000001</v>
      </c>
      <c r="F199" s="99">
        <v>36.85</v>
      </c>
      <c r="G199" s="99">
        <v>13.97</v>
      </c>
      <c r="H199" s="99">
        <v>13.68</v>
      </c>
      <c r="I199" s="100"/>
      <c r="J199" s="97">
        <v>250.69</v>
      </c>
      <c r="K199" s="97">
        <v>250.69</v>
      </c>
      <c r="L199" s="101"/>
      <c r="M199" s="102">
        <v>47.5</v>
      </c>
      <c r="N199" s="102">
        <v>298.19</v>
      </c>
    </row>
    <row r="200" spans="1:14" x14ac:dyDescent="0.25">
      <c r="A200" s="95">
        <v>1134298615</v>
      </c>
      <c r="B200" s="96" t="s">
        <v>349</v>
      </c>
      <c r="C200" s="97">
        <v>281.5</v>
      </c>
      <c r="D200" s="98">
        <v>1.7821</v>
      </c>
      <c r="E200" s="99">
        <v>165.66</v>
      </c>
      <c r="F200" s="99">
        <v>36.85</v>
      </c>
      <c r="G200" s="99">
        <v>19.36</v>
      </c>
      <c r="H200" s="99">
        <v>13.68</v>
      </c>
      <c r="I200" s="100"/>
      <c r="J200" s="97">
        <v>272.06</v>
      </c>
      <c r="K200" s="97">
        <v>281.5</v>
      </c>
      <c r="L200" s="101"/>
      <c r="M200" s="102">
        <v>47.5</v>
      </c>
      <c r="N200" s="102">
        <v>329</v>
      </c>
    </row>
    <row r="201" spans="1:14" x14ac:dyDescent="0.25">
      <c r="A201" s="95">
        <v>1548206907</v>
      </c>
      <c r="B201" s="96" t="s">
        <v>350</v>
      </c>
      <c r="C201" s="97">
        <v>245.8</v>
      </c>
      <c r="D201" s="98">
        <v>1.1195999999999999</v>
      </c>
      <c r="E201" s="99">
        <v>132.16999999999999</v>
      </c>
      <c r="F201" s="99">
        <v>36.85</v>
      </c>
      <c r="G201" s="99">
        <v>23.38</v>
      </c>
      <c r="H201" s="99">
        <v>13.68</v>
      </c>
      <c r="I201" s="100"/>
      <c r="J201" s="97">
        <v>238.02</v>
      </c>
      <c r="K201" s="97">
        <v>245.8</v>
      </c>
      <c r="L201" s="101"/>
      <c r="M201" s="102">
        <v>47.5</v>
      </c>
      <c r="N201" s="102">
        <v>293.3</v>
      </c>
    </row>
    <row r="202" spans="1:14" x14ac:dyDescent="0.25">
      <c r="A202" s="95">
        <v>1295704849</v>
      </c>
      <c r="B202" s="96" t="s">
        <v>351</v>
      </c>
      <c r="C202" s="97">
        <v>239.48</v>
      </c>
      <c r="D202" s="98">
        <v>1.3843000000000001</v>
      </c>
      <c r="E202" s="99">
        <v>154.19999999999999</v>
      </c>
      <c r="F202" s="99">
        <v>36.85</v>
      </c>
      <c r="G202" s="99">
        <v>8.0399999999999991</v>
      </c>
      <c r="H202" s="99">
        <v>13.68</v>
      </c>
      <c r="I202" s="100"/>
      <c r="J202" s="97">
        <v>245.75</v>
      </c>
      <c r="K202" s="97">
        <v>245.75</v>
      </c>
      <c r="L202" s="101"/>
      <c r="M202" s="102">
        <v>47.5</v>
      </c>
      <c r="N202" s="102">
        <v>293.25</v>
      </c>
    </row>
    <row r="203" spans="1:14" x14ac:dyDescent="0.25">
      <c r="A203" s="95">
        <v>1083298236</v>
      </c>
      <c r="B203" s="96" t="s">
        <v>352</v>
      </c>
      <c r="C203" s="97">
        <v>248.65</v>
      </c>
      <c r="D203" s="98">
        <v>1.0884</v>
      </c>
      <c r="E203" s="99">
        <v>130.82</v>
      </c>
      <c r="F203" s="99">
        <v>36.85</v>
      </c>
      <c r="G203" s="99">
        <v>21.7</v>
      </c>
      <c r="H203" s="99">
        <v>13.68</v>
      </c>
      <c r="I203" s="100"/>
      <c r="J203" s="97">
        <v>234.52</v>
      </c>
      <c r="K203" s="97">
        <v>248.65</v>
      </c>
      <c r="L203" s="101"/>
      <c r="M203" s="102">
        <v>47.5</v>
      </c>
      <c r="N203" s="102">
        <v>296.14999999999998</v>
      </c>
    </row>
    <row r="204" spans="1:14" x14ac:dyDescent="0.25">
      <c r="A204" s="95">
        <v>1538113014</v>
      </c>
      <c r="B204" s="96" t="s">
        <v>353</v>
      </c>
      <c r="C204" s="97">
        <v>239.24</v>
      </c>
      <c r="D204" s="98">
        <v>1.1274</v>
      </c>
      <c r="E204" s="99">
        <v>133.81</v>
      </c>
      <c r="F204" s="99">
        <v>36.85</v>
      </c>
      <c r="G204" s="99">
        <v>19.14</v>
      </c>
      <c r="H204" s="99">
        <v>13.68</v>
      </c>
      <c r="I204" s="100"/>
      <c r="J204" s="97">
        <v>235.02</v>
      </c>
      <c r="K204" s="97">
        <v>239.24</v>
      </c>
      <c r="L204" s="101"/>
      <c r="M204" s="102">
        <v>47.5</v>
      </c>
      <c r="N204" s="102">
        <v>286.74</v>
      </c>
    </row>
    <row r="205" spans="1:14" x14ac:dyDescent="0.25">
      <c r="A205" s="95">
        <v>1164476636</v>
      </c>
      <c r="B205" s="101" t="s">
        <v>354</v>
      </c>
      <c r="C205" s="97">
        <v>237.14</v>
      </c>
      <c r="D205" s="98">
        <v>1.1500999999999999</v>
      </c>
      <c r="E205" s="99">
        <v>133.19</v>
      </c>
      <c r="F205" s="99">
        <v>36.85</v>
      </c>
      <c r="G205" s="99">
        <v>17.79</v>
      </c>
      <c r="H205" s="99">
        <v>13.68</v>
      </c>
      <c r="I205" s="100"/>
      <c r="J205" s="97">
        <v>232.74</v>
      </c>
      <c r="K205" s="97">
        <v>237.14</v>
      </c>
      <c r="L205" s="101"/>
      <c r="M205" s="102">
        <v>47.5</v>
      </c>
      <c r="N205" s="102">
        <v>284.64</v>
      </c>
    </row>
    <row r="206" spans="1:14" x14ac:dyDescent="0.25">
      <c r="A206" s="95">
        <v>1669425401</v>
      </c>
      <c r="B206" s="96" t="s">
        <v>355</v>
      </c>
      <c r="C206" s="97">
        <v>238.38</v>
      </c>
      <c r="D206" s="98">
        <v>1.0892999999999999</v>
      </c>
      <c r="E206" s="99">
        <v>130.12</v>
      </c>
      <c r="F206" s="99">
        <v>36.85</v>
      </c>
      <c r="G206" s="99">
        <v>21.03</v>
      </c>
      <c r="H206" s="99">
        <v>13.68</v>
      </c>
      <c r="I206" s="100"/>
      <c r="J206" s="97">
        <v>232.94</v>
      </c>
      <c r="K206" s="97">
        <v>238.38</v>
      </c>
      <c r="L206" s="101"/>
      <c r="M206" s="102">
        <v>47.5</v>
      </c>
      <c r="N206" s="102">
        <v>285.88</v>
      </c>
    </row>
    <row r="207" spans="1:14" x14ac:dyDescent="0.25">
      <c r="A207" s="95">
        <v>1861446338</v>
      </c>
      <c r="B207" s="96" t="s">
        <v>356</v>
      </c>
      <c r="C207" s="97">
        <v>226.58</v>
      </c>
      <c r="D207" s="98">
        <v>1.0168999999999999</v>
      </c>
      <c r="E207" s="99">
        <v>124.23</v>
      </c>
      <c r="F207" s="99">
        <v>36.85</v>
      </c>
      <c r="G207" s="99">
        <v>19.23</v>
      </c>
      <c r="H207" s="99">
        <v>13.68</v>
      </c>
      <c r="I207" s="100"/>
      <c r="J207" s="97">
        <v>224.06</v>
      </c>
      <c r="K207" s="97">
        <v>226.58</v>
      </c>
      <c r="L207" s="101"/>
      <c r="M207" s="102">
        <v>47.5</v>
      </c>
      <c r="N207" s="102">
        <v>274.08000000000004</v>
      </c>
    </row>
    <row r="208" spans="1:14" x14ac:dyDescent="0.25">
      <c r="A208" s="95">
        <v>1407800972</v>
      </c>
      <c r="B208" s="96" t="s">
        <v>357</v>
      </c>
      <c r="C208" s="97">
        <v>236.04</v>
      </c>
      <c r="D208" s="98">
        <v>1.1216999999999999</v>
      </c>
      <c r="E208" s="99">
        <v>133.52000000000001</v>
      </c>
      <c r="F208" s="99">
        <v>36.85</v>
      </c>
      <c r="G208" s="99">
        <v>17.579999999999998</v>
      </c>
      <c r="H208" s="99">
        <v>13.68</v>
      </c>
      <c r="I208" s="100"/>
      <c r="J208" s="97">
        <v>232.88</v>
      </c>
      <c r="K208" s="97">
        <v>236.04</v>
      </c>
      <c r="L208" s="101"/>
      <c r="M208" s="102">
        <v>47.5</v>
      </c>
      <c r="N208" s="102">
        <v>283.53999999999996</v>
      </c>
    </row>
    <row r="209" spans="1:14" x14ac:dyDescent="0.25">
      <c r="A209" s="95">
        <v>1326089616</v>
      </c>
      <c r="B209" s="96" t="s">
        <v>358</v>
      </c>
      <c r="C209" s="97">
        <v>234.31</v>
      </c>
      <c r="D209" s="98">
        <v>1.1023000000000001</v>
      </c>
      <c r="E209" s="99">
        <v>132.41999999999999</v>
      </c>
      <c r="F209" s="99">
        <v>36.85</v>
      </c>
      <c r="G209" s="99">
        <v>18.809999999999999</v>
      </c>
      <c r="H209" s="99">
        <v>13.68</v>
      </c>
      <c r="I209" s="100"/>
      <c r="J209" s="97">
        <v>233.03</v>
      </c>
      <c r="K209" s="97">
        <v>234.31</v>
      </c>
      <c r="L209" s="101"/>
      <c r="M209" s="102">
        <v>47.5</v>
      </c>
      <c r="N209" s="102">
        <v>281.81</v>
      </c>
    </row>
    <row r="210" spans="1:14" x14ac:dyDescent="0.25">
      <c r="A210" s="95">
        <v>1548770423</v>
      </c>
      <c r="B210" s="96" t="s">
        <v>359</v>
      </c>
      <c r="C210" s="97">
        <v>221.82</v>
      </c>
      <c r="D210" s="98">
        <v>1.0185999999999999</v>
      </c>
      <c r="E210" s="99">
        <v>124.56</v>
      </c>
      <c r="F210" s="99">
        <v>36.85</v>
      </c>
      <c r="G210" s="99">
        <v>13.93</v>
      </c>
      <c r="H210" s="99">
        <v>13.68</v>
      </c>
      <c r="I210" s="100"/>
      <c r="J210" s="97">
        <v>218.32</v>
      </c>
      <c r="K210" s="97">
        <v>221.82</v>
      </c>
      <c r="L210" s="101"/>
      <c r="M210" s="102">
        <v>47.5</v>
      </c>
      <c r="N210" s="102">
        <v>269.32</v>
      </c>
    </row>
    <row r="211" spans="1:14" x14ac:dyDescent="0.25">
      <c r="A211" s="95">
        <v>1629535455</v>
      </c>
      <c r="B211" s="96" t="s">
        <v>360</v>
      </c>
      <c r="C211" s="97">
        <v>259.42</v>
      </c>
      <c r="D211" s="98">
        <v>1.1574</v>
      </c>
      <c r="E211" s="99">
        <v>135.74</v>
      </c>
      <c r="F211" s="99">
        <v>36.85</v>
      </c>
      <c r="G211" s="99">
        <v>36.81</v>
      </c>
      <c r="H211" s="99">
        <v>13.68</v>
      </c>
      <c r="I211" s="100"/>
      <c r="J211" s="97">
        <v>257.66000000000003</v>
      </c>
      <c r="K211" s="97">
        <v>259.42</v>
      </c>
      <c r="L211" s="101"/>
      <c r="M211" s="102">
        <v>47.5</v>
      </c>
      <c r="N211" s="102">
        <v>306.92</v>
      </c>
    </row>
    <row r="212" spans="1:14" x14ac:dyDescent="0.25">
      <c r="A212" s="95">
        <v>1104471531</v>
      </c>
      <c r="B212" s="96" t="s">
        <v>361</v>
      </c>
      <c r="C212" s="97">
        <v>241.95</v>
      </c>
      <c r="D212" s="98">
        <v>1.1252</v>
      </c>
      <c r="E212" s="99">
        <v>133.61000000000001</v>
      </c>
      <c r="F212" s="99">
        <v>36.85</v>
      </c>
      <c r="G212" s="99">
        <v>8.09</v>
      </c>
      <c r="H212" s="99">
        <v>13.68</v>
      </c>
      <c r="I212" s="100"/>
      <c r="J212" s="97">
        <v>222.03</v>
      </c>
      <c r="K212" s="97">
        <v>241.95</v>
      </c>
      <c r="L212" s="101"/>
      <c r="M212" s="102">
        <v>47.5</v>
      </c>
      <c r="N212" s="102">
        <v>289.45</v>
      </c>
    </row>
    <row r="213" spans="1:14" x14ac:dyDescent="0.25">
      <c r="A213" s="95">
        <v>1588219828</v>
      </c>
      <c r="B213" s="96" t="s">
        <v>362</v>
      </c>
      <c r="C213" s="97">
        <v>232.73</v>
      </c>
      <c r="D213" s="98">
        <v>1.1581999999999999</v>
      </c>
      <c r="E213" s="99">
        <v>135.94</v>
      </c>
      <c r="F213" s="99">
        <v>36.85</v>
      </c>
      <c r="G213" s="99">
        <v>9.89</v>
      </c>
      <c r="H213" s="99">
        <v>13.68</v>
      </c>
      <c r="I213" s="100"/>
      <c r="J213" s="97">
        <v>226.8</v>
      </c>
      <c r="K213" s="97">
        <v>232.73</v>
      </c>
      <c r="L213" s="101"/>
      <c r="M213" s="102">
        <v>47.5</v>
      </c>
      <c r="N213" s="102">
        <v>280.23</v>
      </c>
    </row>
    <row r="214" spans="1:14" x14ac:dyDescent="0.25">
      <c r="A214" s="95">
        <v>1043865538</v>
      </c>
      <c r="B214" s="96" t="s">
        <v>363</v>
      </c>
      <c r="C214" s="97">
        <v>224.17</v>
      </c>
      <c r="D214" s="98">
        <v>1.0896999999999999</v>
      </c>
      <c r="E214" s="99">
        <v>129.63</v>
      </c>
      <c r="F214" s="99">
        <v>36.85</v>
      </c>
      <c r="G214" s="99">
        <v>10.94</v>
      </c>
      <c r="H214" s="99">
        <v>13.68</v>
      </c>
      <c r="I214" s="100"/>
      <c r="J214" s="97">
        <v>220.72</v>
      </c>
      <c r="K214" s="97">
        <v>224.17</v>
      </c>
      <c r="L214" s="101"/>
      <c r="M214" s="102">
        <v>47.5</v>
      </c>
      <c r="N214" s="102">
        <v>271.66999999999996</v>
      </c>
    </row>
    <row r="215" spans="1:14" x14ac:dyDescent="0.25">
      <c r="A215" s="95">
        <v>1467007856</v>
      </c>
      <c r="B215" s="96" t="s">
        <v>364</v>
      </c>
      <c r="C215" s="97">
        <v>217.91</v>
      </c>
      <c r="D215" s="98">
        <v>0.99670000000000003</v>
      </c>
      <c r="E215" s="99">
        <v>123.05</v>
      </c>
      <c r="F215" s="99">
        <v>36.85</v>
      </c>
      <c r="G215" s="99">
        <v>10.86</v>
      </c>
      <c r="H215" s="99">
        <v>13.68</v>
      </c>
      <c r="I215" s="100"/>
      <c r="J215" s="97">
        <v>213.03</v>
      </c>
      <c r="K215" s="97">
        <v>217.91</v>
      </c>
      <c r="L215" s="101"/>
      <c r="M215" s="102">
        <v>47.5</v>
      </c>
      <c r="N215" s="102">
        <v>265.40999999999997</v>
      </c>
    </row>
    <row r="216" spans="1:14" x14ac:dyDescent="0.25">
      <c r="A216" s="95">
        <v>1861446270</v>
      </c>
      <c r="B216" s="96" t="s">
        <v>365</v>
      </c>
      <c r="C216" s="97">
        <v>235.92</v>
      </c>
      <c r="D216" s="98">
        <v>1.0704</v>
      </c>
      <c r="E216" s="99">
        <v>128.84</v>
      </c>
      <c r="F216" s="99">
        <v>36.85</v>
      </c>
      <c r="G216" s="99">
        <v>21.58</v>
      </c>
      <c r="H216" s="99">
        <v>13.68</v>
      </c>
      <c r="I216" s="100"/>
      <c r="J216" s="97">
        <v>232.1</v>
      </c>
      <c r="K216" s="97">
        <v>235.92</v>
      </c>
      <c r="L216" s="101"/>
      <c r="M216" s="102">
        <v>47.5</v>
      </c>
      <c r="N216" s="102">
        <v>283.41999999999996</v>
      </c>
    </row>
    <row r="217" spans="1:14" x14ac:dyDescent="0.25">
      <c r="A217" s="95">
        <v>1295101673</v>
      </c>
      <c r="B217" s="96" t="s">
        <v>366</v>
      </c>
      <c r="C217" s="97">
        <v>210.41</v>
      </c>
      <c r="D217" s="98">
        <v>1.0158</v>
      </c>
      <c r="E217" s="99">
        <v>124.38</v>
      </c>
      <c r="F217" s="99">
        <v>36.85</v>
      </c>
      <c r="G217" s="99">
        <v>8.0399999999999991</v>
      </c>
      <c r="H217" s="99">
        <v>13.68</v>
      </c>
      <c r="I217" s="100"/>
      <c r="J217" s="97">
        <v>211.31</v>
      </c>
      <c r="K217" s="97">
        <v>211.31</v>
      </c>
      <c r="L217" s="101"/>
      <c r="M217" s="102">
        <v>47.5</v>
      </c>
      <c r="N217" s="102">
        <v>258.81</v>
      </c>
    </row>
    <row r="218" spans="1:14" x14ac:dyDescent="0.25">
      <c r="A218" s="95">
        <v>1760415434</v>
      </c>
      <c r="B218" s="96" t="s">
        <v>367</v>
      </c>
      <c r="C218" s="97">
        <v>228.56</v>
      </c>
      <c r="D218" s="98">
        <v>1.0844</v>
      </c>
      <c r="E218" s="99">
        <v>128.88999999999999</v>
      </c>
      <c r="F218" s="99">
        <v>36.85</v>
      </c>
      <c r="G218" s="99">
        <v>13.95</v>
      </c>
      <c r="H218" s="99">
        <v>13.68</v>
      </c>
      <c r="I218" s="100"/>
      <c r="J218" s="97">
        <v>223.34</v>
      </c>
      <c r="K218" s="97">
        <v>228.56</v>
      </c>
      <c r="L218" s="101"/>
      <c r="M218" s="102">
        <v>47.5</v>
      </c>
      <c r="N218" s="102">
        <v>276.06</v>
      </c>
    </row>
    <row r="219" spans="1:14" x14ac:dyDescent="0.25">
      <c r="A219" s="95">
        <v>1629494059</v>
      </c>
      <c r="B219" s="96" t="s">
        <v>368</v>
      </c>
      <c r="C219" s="97">
        <v>248.69</v>
      </c>
      <c r="D219" s="98">
        <v>1.3465</v>
      </c>
      <c r="E219" s="99">
        <v>148.21</v>
      </c>
      <c r="F219" s="99">
        <v>36.85</v>
      </c>
      <c r="G219" s="99">
        <v>11.43</v>
      </c>
      <c r="H219" s="99">
        <v>13.68</v>
      </c>
      <c r="I219" s="100"/>
      <c r="J219" s="97">
        <v>242.75</v>
      </c>
      <c r="K219" s="97">
        <v>248.69</v>
      </c>
      <c r="L219" s="101"/>
      <c r="M219" s="102">
        <v>47.5</v>
      </c>
      <c r="N219" s="102">
        <v>296.19</v>
      </c>
    </row>
    <row r="220" spans="1:14" x14ac:dyDescent="0.25">
      <c r="A220" s="95">
        <v>1467421024</v>
      </c>
      <c r="B220" s="96" t="s">
        <v>369</v>
      </c>
      <c r="C220" s="97">
        <v>247.15</v>
      </c>
      <c r="D220" s="98">
        <v>1.3625</v>
      </c>
      <c r="E220" s="99">
        <v>149.1</v>
      </c>
      <c r="F220" s="99">
        <v>36.85</v>
      </c>
      <c r="G220" s="99">
        <v>15.76</v>
      </c>
      <c r="H220" s="99">
        <v>13.68</v>
      </c>
      <c r="I220" s="100"/>
      <c r="J220" s="97">
        <v>248.78</v>
      </c>
      <c r="K220" s="97">
        <v>248.78</v>
      </c>
      <c r="L220" s="101"/>
      <c r="M220" s="102">
        <v>47.5</v>
      </c>
      <c r="N220" s="102">
        <v>296.27999999999997</v>
      </c>
    </row>
    <row r="221" spans="1:14" x14ac:dyDescent="0.25">
      <c r="A221" s="95">
        <v>1437609732</v>
      </c>
      <c r="B221" s="96" t="s">
        <v>370</v>
      </c>
      <c r="C221" s="97">
        <v>241.45</v>
      </c>
      <c r="D221" s="98">
        <v>1.1702999999999999</v>
      </c>
      <c r="E221" s="99">
        <v>136.06</v>
      </c>
      <c r="F221" s="99">
        <v>36.85</v>
      </c>
      <c r="G221" s="99">
        <v>14.27</v>
      </c>
      <c r="H221" s="99">
        <v>13.68</v>
      </c>
      <c r="I221" s="100"/>
      <c r="J221" s="97">
        <v>231.99</v>
      </c>
      <c r="K221" s="97">
        <v>241.45</v>
      </c>
      <c r="L221" s="101"/>
      <c r="M221" s="102">
        <v>47.5</v>
      </c>
      <c r="N221" s="102">
        <v>288.95</v>
      </c>
    </row>
    <row r="222" spans="1:14" x14ac:dyDescent="0.25">
      <c r="A222" s="95">
        <v>1447254149</v>
      </c>
      <c r="B222" s="96" t="s">
        <v>371</v>
      </c>
      <c r="C222" s="97">
        <v>240.79</v>
      </c>
      <c r="D222" s="98">
        <v>1.2464</v>
      </c>
      <c r="E222" s="99">
        <v>143.84</v>
      </c>
      <c r="F222" s="99">
        <v>36.85</v>
      </c>
      <c r="G222" s="99">
        <v>27.8</v>
      </c>
      <c r="H222" s="99">
        <v>0</v>
      </c>
      <c r="I222" s="100"/>
      <c r="J222" s="97">
        <v>240.81</v>
      </c>
      <c r="K222" s="97">
        <v>240.81</v>
      </c>
      <c r="L222" s="101"/>
      <c r="M222" s="102">
        <v>47.5</v>
      </c>
      <c r="N222" s="102">
        <v>288.31</v>
      </c>
    </row>
    <row r="223" spans="1:14" x14ac:dyDescent="0.25">
      <c r="A223" s="95">
        <v>1184174484</v>
      </c>
      <c r="B223" s="96" t="s">
        <v>372</v>
      </c>
      <c r="C223" s="97">
        <v>246.96</v>
      </c>
      <c r="D223" s="98">
        <v>1.3163</v>
      </c>
      <c r="E223" s="99">
        <v>146.66999999999999</v>
      </c>
      <c r="F223" s="99">
        <v>36.85</v>
      </c>
      <c r="G223" s="99">
        <v>22.34</v>
      </c>
      <c r="H223" s="99">
        <v>7.18</v>
      </c>
      <c r="I223" s="100"/>
      <c r="J223" s="97">
        <v>246.06</v>
      </c>
      <c r="K223" s="97">
        <v>246.96</v>
      </c>
      <c r="L223" s="101"/>
      <c r="M223" s="102">
        <v>47.5</v>
      </c>
      <c r="N223" s="102">
        <v>294.46000000000004</v>
      </c>
    </row>
    <row r="224" spans="1:14" x14ac:dyDescent="0.25">
      <c r="A224" s="95">
        <v>1457397952</v>
      </c>
      <c r="B224" s="96" t="s">
        <v>373</v>
      </c>
      <c r="C224" s="97">
        <v>234.82</v>
      </c>
      <c r="D224" s="98">
        <v>1.2050000000000001</v>
      </c>
      <c r="E224" s="99">
        <v>138.38999999999999</v>
      </c>
      <c r="F224" s="99">
        <v>36.85</v>
      </c>
      <c r="G224" s="99">
        <v>10.71</v>
      </c>
      <c r="H224" s="99">
        <v>13.68</v>
      </c>
      <c r="I224" s="100"/>
      <c r="J224" s="97">
        <v>230.57</v>
      </c>
      <c r="K224" s="97">
        <v>234.82</v>
      </c>
      <c r="L224" s="101"/>
      <c r="M224" s="102">
        <v>47.5</v>
      </c>
      <c r="N224" s="102">
        <v>282.32</v>
      </c>
    </row>
    <row r="225" spans="1:14" x14ac:dyDescent="0.25">
      <c r="A225" s="95">
        <v>1497058416</v>
      </c>
      <c r="B225" s="96" t="s">
        <v>374</v>
      </c>
      <c r="C225" s="97">
        <v>249.31</v>
      </c>
      <c r="D225" s="98">
        <v>1.4127000000000001</v>
      </c>
      <c r="E225" s="99">
        <v>155.41999999999999</v>
      </c>
      <c r="F225" s="99">
        <v>36.85</v>
      </c>
      <c r="G225" s="99">
        <v>11.51</v>
      </c>
      <c r="H225" s="99">
        <v>13.68</v>
      </c>
      <c r="I225" s="100"/>
      <c r="J225" s="97">
        <v>251.17</v>
      </c>
      <c r="K225" s="97">
        <v>251.17</v>
      </c>
      <c r="L225" s="101"/>
      <c r="M225" s="102">
        <v>47.5</v>
      </c>
      <c r="N225" s="102">
        <v>298.66999999999996</v>
      </c>
    </row>
    <row r="226" spans="1:14" x14ac:dyDescent="0.25">
      <c r="A226" s="95">
        <v>1235591918</v>
      </c>
      <c r="B226" s="96" t="s">
        <v>375</v>
      </c>
      <c r="C226" s="97">
        <v>258.19</v>
      </c>
      <c r="D226" s="98">
        <v>1.3071999999999999</v>
      </c>
      <c r="E226" s="99">
        <v>149.33000000000001</v>
      </c>
      <c r="F226" s="99">
        <v>36.85</v>
      </c>
      <c r="G226" s="99">
        <v>18.86</v>
      </c>
      <c r="H226" s="99">
        <v>13.68</v>
      </c>
      <c r="I226" s="100"/>
      <c r="J226" s="97">
        <v>252.62</v>
      </c>
      <c r="K226" s="97">
        <v>258.19</v>
      </c>
      <c r="L226" s="101"/>
      <c r="M226" s="102">
        <v>47.5</v>
      </c>
      <c r="N226" s="102">
        <v>305.69</v>
      </c>
    </row>
    <row r="227" spans="1:14" x14ac:dyDescent="0.25">
      <c r="A227" s="95">
        <v>1952337073</v>
      </c>
      <c r="B227" s="96" t="s">
        <v>376</v>
      </c>
      <c r="C227" s="97">
        <v>236.83</v>
      </c>
      <c r="D227" s="98">
        <v>1.2334000000000001</v>
      </c>
      <c r="E227" s="99">
        <v>140.38</v>
      </c>
      <c r="F227" s="99">
        <v>36.85</v>
      </c>
      <c r="G227" s="99">
        <v>8.0399999999999991</v>
      </c>
      <c r="H227" s="99">
        <v>13.68</v>
      </c>
      <c r="I227" s="100"/>
      <c r="J227" s="97">
        <v>229.79</v>
      </c>
      <c r="K227" s="97">
        <v>236.83</v>
      </c>
      <c r="L227" s="101"/>
      <c r="M227" s="102">
        <v>47.5</v>
      </c>
      <c r="N227" s="102">
        <v>284.33000000000004</v>
      </c>
    </row>
    <row r="228" spans="1:14" x14ac:dyDescent="0.25">
      <c r="A228" s="95">
        <v>1326074048</v>
      </c>
      <c r="B228" s="96" t="s">
        <v>377</v>
      </c>
      <c r="C228" s="97">
        <v>234.56</v>
      </c>
      <c r="D228" s="98">
        <v>1.1665000000000001</v>
      </c>
      <c r="E228" s="99">
        <v>135.94999999999999</v>
      </c>
      <c r="F228" s="99">
        <v>36.85</v>
      </c>
      <c r="G228" s="99">
        <v>16</v>
      </c>
      <c r="H228" s="99">
        <v>13.68</v>
      </c>
      <c r="I228" s="100"/>
      <c r="J228" s="97">
        <v>233.86</v>
      </c>
      <c r="K228" s="97">
        <v>234.56</v>
      </c>
      <c r="L228" s="101"/>
      <c r="M228" s="102">
        <v>47.5</v>
      </c>
      <c r="N228" s="102">
        <v>282.06</v>
      </c>
    </row>
    <row r="229" spans="1:14" x14ac:dyDescent="0.25">
      <c r="A229" s="95">
        <v>1992825848</v>
      </c>
      <c r="B229" s="96" t="s">
        <v>378</v>
      </c>
      <c r="C229" s="97">
        <v>252.16</v>
      </c>
      <c r="D229" s="98">
        <v>1.2625</v>
      </c>
      <c r="E229" s="99">
        <v>146.19999999999999</v>
      </c>
      <c r="F229" s="99">
        <v>36.85</v>
      </c>
      <c r="G229" s="99">
        <v>12.47</v>
      </c>
      <c r="H229" s="99">
        <v>13.68</v>
      </c>
      <c r="I229" s="100"/>
      <c r="J229" s="97">
        <v>241.63</v>
      </c>
      <c r="K229" s="97">
        <v>252.16</v>
      </c>
      <c r="L229" s="101"/>
      <c r="M229" s="102">
        <v>47.5</v>
      </c>
      <c r="N229" s="102">
        <v>299.65999999999997</v>
      </c>
    </row>
    <row r="230" spans="1:14" x14ac:dyDescent="0.25">
      <c r="A230" s="95">
        <v>1720033475</v>
      </c>
      <c r="B230" s="96" t="s">
        <v>379</v>
      </c>
      <c r="C230" s="97">
        <v>230.05</v>
      </c>
      <c r="D230" s="98">
        <v>1.2048000000000001</v>
      </c>
      <c r="E230" s="99">
        <v>140.56</v>
      </c>
      <c r="F230" s="99">
        <v>36.85</v>
      </c>
      <c r="G230" s="99">
        <v>8.1300000000000008</v>
      </c>
      <c r="H230" s="99">
        <v>13.68</v>
      </c>
      <c r="I230" s="100"/>
      <c r="J230" s="97">
        <v>230.1</v>
      </c>
      <c r="K230" s="97">
        <v>230.1</v>
      </c>
      <c r="L230" s="101"/>
      <c r="M230" s="102">
        <v>47.5</v>
      </c>
      <c r="N230" s="102">
        <v>277.60000000000002</v>
      </c>
    </row>
    <row r="231" spans="1:14" x14ac:dyDescent="0.25">
      <c r="A231" s="95">
        <v>1477641694</v>
      </c>
      <c r="B231" s="96" t="s">
        <v>380</v>
      </c>
      <c r="C231" s="97">
        <v>201.85</v>
      </c>
      <c r="D231" s="98">
        <v>0.90349999999999997</v>
      </c>
      <c r="E231" s="99">
        <v>115.51</v>
      </c>
      <c r="F231" s="99">
        <v>36.85</v>
      </c>
      <c r="G231" s="99">
        <v>17.96</v>
      </c>
      <c r="H231" s="99">
        <v>0</v>
      </c>
      <c r="I231" s="100"/>
      <c r="J231" s="97">
        <v>196.72</v>
      </c>
      <c r="K231" s="97">
        <v>201.85</v>
      </c>
      <c r="L231" s="101"/>
      <c r="M231" s="102">
        <v>47.5</v>
      </c>
      <c r="N231" s="102">
        <v>249.35</v>
      </c>
    </row>
    <row r="232" spans="1:14" x14ac:dyDescent="0.25">
      <c r="A232" s="95">
        <v>1790317840</v>
      </c>
      <c r="B232" s="96" t="s">
        <v>381</v>
      </c>
      <c r="C232" s="97">
        <v>253.64</v>
      </c>
      <c r="D232" s="98">
        <v>1.3136000000000001</v>
      </c>
      <c r="E232" s="99">
        <v>149.19</v>
      </c>
      <c r="F232" s="99">
        <v>36.85</v>
      </c>
      <c r="G232" s="99">
        <v>19.059999999999999</v>
      </c>
      <c r="H232" s="99">
        <v>13.68</v>
      </c>
      <c r="I232" s="100"/>
      <c r="J232" s="97">
        <v>252.69</v>
      </c>
      <c r="K232" s="97">
        <v>253.64</v>
      </c>
      <c r="L232" s="101"/>
      <c r="M232" s="102">
        <v>47.5</v>
      </c>
      <c r="N232" s="102">
        <v>301.14</v>
      </c>
    </row>
    <row r="233" spans="1:14" x14ac:dyDescent="0.25">
      <c r="A233" s="95">
        <v>1336565779</v>
      </c>
      <c r="B233" s="96" t="s">
        <v>382</v>
      </c>
      <c r="C233" s="97">
        <v>232.46</v>
      </c>
      <c r="D233" s="98">
        <v>1.0761000000000001</v>
      </c>
      <c r="E233" s="99">
        <v>129.22999999999999</v>
      </c>
      <c r="F233" s="99">
        <v>36.85</v>
      </c>
      <c r="G233" s="99">
        <v>13.97</v>
      </c>
      <c r="H233" s="99">
        <v>13.68</v>
      </c>
      <c r="I233" s="100"/>
      <c r="J233" s="97">
        <v>223.76</v>
      </c>
      <c r="K233" s="97">
        <v>232.46</v>
      </c>
      <c r="L233" s="101"/>
      <c r="M233" s="102">
        <v>47.5</v>
      </c>
      <c r="N233" s="102">
        <v>279.96000000000004</v>
      </c>
    </row>
    <row r="234" spans="1:14" x14ac:dyDescent="0.25">
      <c r="A234" s="95">
        <v>1649224056</v>
      </c>
      <c r="B234" s="96" t="s">
        <v>383</v>
      </c>
      <c r="C234" s="97">
        <v>225.73</v>
      </c>
      <c r="D234" s="98">
        <v>1.0965</v>
      </c>
      <c r="E234" s="99">
        <v>130.57</v>
      </c>
      <c r="F234" s="99">
        <v>36.85</v>
      </c>
      <c r="G234" s="99">
        <v>8.1300000000000008</v>
      </c>
      <c r="H234" s="99">
        <v>13.68</v>
      </c>
      <c r="I234" s="100"/>
      <c r="J234" s="97">
        <v>218.56</v>
      </c>
      <c r="K234" s="97">
        <v>225.73</v>
      </c>
      <c r="L234" s="101"/>
      <c r="M234" s="102">
        <v>47.5</v>
      </c>
      <c r="N234" s="102">
        <v>273.23</v>
      </c>
    </row>
    <row r="235" spans="1:14" x14ac:dyDescent="0.25">
      <c r="A235" s="95">
        <v>1831197714</v>
      </c>
      <c r="B235" s="96" t="s">
        <v>384</v>
      </c>
      <c r="C235" s="97">
        <v>247.46</v>
      </c>
      <c r="D235" s="98">
        <v>1.2905</v>
      </c>
      <c r="E235" s="99">
        <v>146.59</v>
      </c>
      <c r="F235" s="99">
        <v>36.85</v>
      </c>
      <c r="G235" s="99">
        <v>15.46</v>
      </c>
      <c r="H235" s="99">
        <v>13.68</v>
      </c>
      <c r="I235" s="100"/>
      <c r="J235" s="97">
        <v>245.53</v>
      </c>
      <c r="K235" s="97">
        <v>247.46</v>
      </c>
      <c r="L235" s="101"/>
      <c r="M235" s="102">
        <v>47.5</v>
      </c>
      <c r="N235" s="102">
        <v>294.96000000000004</v>
      </c>
    </row>
    <row r="236" spans="1:14" x14ac:dyDescent="0.25">
      <c r="A236" s="95">
        <v>1952396509</v>
      </c>
      <c r="B236" s="96" t="s">
        <v>385</v>
      </c>
      <c r="C236" s="97">
        <v>229.9</v>
      </c>
      <c r="D236" s="98">
        <v>1.1802999999999999</v>
      </c>
      <c r="E236" s="99">
        <v>137.88</v>
      </c>
      <c r="F236" s="99">
        <v>36.85</v>
      </c>
      <c r="G236" s="99">
        <v>7.95</v>
      </c>
      <c r="H236" s="99">
        <v>13.68</v>
      </c>
      <c r="I236" s="100"/>
      <c r="J236" s="97">
        <v>226.8</v>
      </c>
      <c r="K236" s="97">
        <v>229.9</v>
      </c>
      <c r="L236" s="101"/>
      <c r="M236" s="102">
        <v>47.5</v>
      </c>
      <c r="N236" s="102">
        <v>277.39999999999998</v>
      </c>
    </row>
    <row r="237" spans="1:14" x14ac:dyDescent="0.25">
      <c r="A237" s="95">
        <v>1396754875</v>
      </c>
      <c r="B237" s="96" t="s">
        <v>386</v>
      </c>
      <c r="C237" s="97">
        <v>243.9</v>
      </c>
      <c r="D237" s="98">
        <v>1.1775</v>
      </c>
      <c r="E237" s="99">
        <v>139.41999999999999</v>
      </c>
      <c r="F237" s="99">
        <v>36.85</v>
      </c>
      <c r="G237" s="99">
        <v>23.18</v>
      </c>
      <c r="H237" s="99">
        <v>13.68</v>
      </c>
      <c r="I237" s="100"/>
      <c r="J237" s="97">
        <v>246.17</v>
      </c>
      <c r="K237" s="97">
        <v>246.17</v>
      </c>
      <c r="L237" s="101"/>
      <c r="M237" s="102">
        <v>47.5</v>
      </c>
      <c r="N237" s="102">
        <v>293.66999999999996</v>
      </c>
    </row>
    <row r="238" spans="1:14" x14ac:dyDescent="0.25">
      <c r="A238" s="95">
        <v>1952486771</v>
      </c>
      <c r="B238" s="96" t="s">
        <v>387</v>
      </c>
      <c r="C238" s="97">
        <v>263.93</v>
      </c>
      <c r="D238" s="98">
        <v>1.3134999999999999</v>
      </c>
      <c r="E238" s="99">
        <v>147.97999999999999</v>
      </c>
      <c r="F238" s="99">
        <v>36.85</v>
      </c>
      <c r="G238" s="99">
        <v>30.21</v>
      </c>
      <c r="H238" s="99">
        <v>13.68</v>
      </c>
      <c r="I238" s="100"/>
      <c r="J238" s="97">
        <v>264.17</v>
      </c>
      <c r="K238" s="97">
        <v>264.17</v>
      </c>
      <c r="L238" s="101"/>
      <c r="M238" s="102">
        <v>47.5</v>
      </c>
      <c r="N238" s="102">
        <v>311.67</v>
      </c>
    </row>
    <row r="239" spans="1:14" x14ac:dyDescent="0.25">
      <c r="A239" s="95">
        <v>1396771515</v>
      </c>
      <c r="B239" s="96" t="s">
        <v>388</v>
      </c>
      <c r="C239" s="97">
        <v>255.22</v>
      </c>
      <c r="D239" s="98">
        <v>1.1580999999999999</v>
      </c>
      <c r="E239" s="99">
        <v>135.1</v>
      </c>
      <c r="F239" s="99">
        <v>36.85</v>
      </c>
      <c r="G239" s="99">
        <v>31.14</v>
      </c>
      <c r="H239" s="99">
        <v>13.68</v>
      </c>
      <c r="I239" s="100"/>
      <c r="J239" s="97">
        <v>250.37</v>
      </c>
      <c r="K239" s="97">
        <v>255.22</v>
      </c>
      <c r="L239" s="101"/>
      <c r="M239" s="102">
        <v>47.5</v>
      </c>
      <c r="N239" s="102">
        <v>302.72000000000003</v>
      </c>
    </row>
    <row r="240" spans="1:14" x14ac:dyDescent="0.25">
      <c r="A240" s="95">
        <v>1932107547</v>
      </c>
      <c r="B240" s="96" t="s">
        <v>389</v>
      </c>
      <c r="C240" s="97">
        <v>228.67</v>
      </c>
      <c r="D240" s="98">
        <v>1.0578000000000001</v>
      </c>
      <c r="E240" s="99">
        <v>128.21</v>
      </c>
      <c r="F240" s="99">
        <v>36.85</v>
      </c>
      <c r="G240" s="99">
        <v>15.14</v>
      </c>
      <c r="H240" s="99">
        <v>13.68</v>
      </c>
      <c r="I240" s="100"/>
      <c r="J240" s="97">
        <v>223.93</v>
      </c>
      <c r="K240" s="97">
        <v>228.67</v>
      </c>
      <c r="L240" s="101"/>
      <c r="M240" s="102">
        <v>47.5</v>
      </c>
      <c r="N240" s="102">
        <v>276.16999999999996</v>
      </c>
    </row>
    <row r="241" spans="1:14" x14ac:dyDescent="0.25">
      <c r="A241" s="95">
        <v>1013951896</v>
      </c>
      <c r="B241" s="96" t="s">
        <v>390</v>
      </c>
      <c r="C241" s="97">
        <v>224.67</v>
      </c>
      <c r="D241" s="98">
        <v>1.0799000000000001</v>
      </c>
      <c r="E241" s="99">
        <v>128.41999999999999</v>
      </c>
      <c r="F241" s="99">
        <v>36.85</v>
      </c>
      <c r="G241" s="99">
        <v>12.08</v>
      </c>
      <c r="H241" s="99">
        <v>13.68</v>
      </c>
      <c r="I241" s="100"/>
      <c r="J241" s="97">
        <v>220.64</v>
      </c>
      <c r="K241" s="97">
        <v>224.67</v>
      </c>
      <c r="L241" s="101"/>
      <c r="M241" s="102">
        <v>47.5</v>
      </c>
      <c r="N241" s="102">
        <v>272.16999999999996</v>
      </c>
    </row>
    <row r="242" spans="1:14" x14ac:dyDescent="0.25">
      <c r="A242" s="95">
        <v>1477146959</v>
      </c>
      <c r="B242" s="96" t="s">
        <v>391</v>
      </c>
      <c r="C242" s="97">
        <v>251.24</v>
      </c>
      <c r="D242" s="98">
        <v>1.3963000000000001</v>
      </c>
      <c r="E242" s="99">
        <v>153.59</v>
      </c>
      <c r="F242" s="99">
        <v>36.85</v>
      </c>
      <c r="G242" s="99">
        <v>12.84</v>
      </c>
      <c r="H242" s="99">
        <v>13.68</v>
      </c>
      <c r="I242" s="100"/>
      <c r="J242" s="97">
        <v>250.59</v>
      </c>
      <c r="K242" s="97">
        <v>251.24</v>
      </c>
      <c r="L242" s="101"/>
      <c r="M242" s="102">
        <v>47.5</v>
      </c>
      <c r="N242" s="102">
        <v>298.74</v>
      </c>
    </row>
    <row r="243" spans="1:14" x14ac:dyDescent="0.25">
      <c r="A243" s="95">
        <v>1093754459</v>
      </c>
      <c r="B243" s="96" t="s">
        <v>392</v>
      </c>
      <c r="C243" s="97">
        <v>244.73</v>
      </c>
      <c r="D243" s="98">
        <v>1.2424999999999999</v>
      </c>
      <c r="E243" s="99">
        <v>142.11000000000001</v>
      </c>
      <c r="F243" s="99">
        <v>36.85</v>
      </c>
      <c r="G243" s="99">
        <v>13.7</v>
      </c>
      <c r="H243" s="99">
        <v>13.68</v>
      </c>
      <c r="I243" s="100"/>
      <c r="J243" s="97">
        <v>238.32</v>
      </c>
      <c r="K243" s="97">
        <v>244.73</v>
      </c>
      <c r="L243" s="101"/>
      <c r="M243" s="102">
        <v>47.5</v>
      </c>
      <c r="N243" s="102">
        <v>292.23</v>
      </c>
    </row>
    <row r="244" spans="1:14" x14ac:dyDescent="0.25">
      <c r="A244" s="95">
        <v>1861521635</v>
      </c>
      <c r="B244" s="101" t="s">
        <v>393</v>
      </c>
      <c r="C244" s="97">
        <v>260</v>
      </c>
      <c r="D244" s="98">
        <v>1.3995</v>
      </c>
      <c r="E244" s="99">
        <v>154.12</v>
      </c>
      <c r="F244" s="99">
        <v>36.85</v>
      </c>
      <c r="G244" s="99">
        <v>18.95</v>
      </c>
      <c r="H244" s="99">
        <v>13.68</v>
      </c>
      <c r="I244" s="100"/>
      <c r="J244" s="97">
        <v>258.26</v>
      </c>
      <c r="K244" s="97">
        <v>260</v>
      </c>
      <c r="L244" s="101"/>
      <c r="M244" s="102">
        <v>47.5</v>
      </c>
      <c r="N244" s="102">
        <v>307.5</v>
      </c>
    </row>
    <row r="245" spans="1:14" x14ac:dyDescent="0.25">
      <c r="A245" s="95">
        <v>1558391250</v>
      </c>
      <c r="B245" s="96" t="s">
        <v>394</v>
      </c>
      <c r="C245" s="97">
        <v>234.13</v>
      </c>
      <c r="D245" s="98">
        <v>1.1789000000000001</v>
      </c>
      <c r="E245" s="99">
        <v>135.94</v>
      </c>
      <c r="F245" s="99">
        <v>36.85</v>
      </c>
      <c r="G245" s="99">
        <v>15.02</v>
      </c>
      <c r="H245" s="99">
        <v>13.68</v>
      </c>
      <c r="I245" s="100"/>
      <c r="J245" s="97">
        <v>232.72</v>
      </c>
      <c r="K245" s="97">
        <v>234.13</v>
      </c>
      <c r="L245" s="101"/>
      <c r="M245" s="102">
        <v>47.5</v>
      </c>
      <c r="N245" s="102">
        <v>281.63</v>
      </c>
    </row>
    <row r="246" spans="1:14" x14ac:dyDescent="0.25">
      <c r="A246" s="95">
        <v>1033611959</v>
      </c>
      <c r="B246" s="101" t="s">
        <v>395</v>
      </c>
      <c r="C246" s="97">
        <v>246.65</v>
      </c>
      <c r="D246" s="98">
        <v>1.042</v>
      </c>
      <c r="E246" s="99">
        <v>127.11</v>
      </c>
      <c r="F246" s="99">
        <v>36.85</v>
      </c>
      <c r="G246" s="99">
        <v>24.15</v>
      </c>
      <c r="H246" s="99">
        <v>13.68</v>
      </c>
      <c r="I246" s="100"/>
      <c r="J246" s="97">
        <v>233.07</v>
      </c>
      <c r="K246" s="97">
        <v>246.65</v>
      </c>
      <c r="L246" s="101"/>
      <c r="M246" s="102">
        <v>47.5</v>
      </c>
      <c r="N246" s="102">
        <v>294.14999999999998</v>
      </c>
    </row>
    <row r="247" spans="1:14" x14ac:dyDescent="0.25">
      <c r="A247" s="95">
        <v>1962832899</v>
      </c>
      <c r="B247" s="101" t="s">
        <v>396</v>
      </c>
      <c r="C247" s="97">
        <v>259.45</v>
      </c>
      <c r="D247" s="98">
        <v>1.1721999999999999</v>
      </c>
      <c r="E247" s="99">
        <v>136.91999999999999</v>
      </c>
      <c r="F247" s="99">
        <v>36.85</v>
      </c>
      <c r="G247" s="99">
        <v>33.17</v>
      </c>
      <c r="H247" s="99">
        <v>13.68</v>
      </c>
      <c r="I247" s="100"/>
      <c r="J247" s="97">
        <v>254.83</v>
      </c>
      <c r="K247" s="97">
        <v>259.45</v>
      </c>
      <c r="L247" s="101"/>
      <c r="M247" s="102">
        <v>47.5</v>
      </c>
      <c r="N247" s="102">
        <v>306.95</v>
      </c>
    </row>
    <row r="248" spans="1:14" x14ac:dyDescent="0.25">
      <c r="A248" s="95">
        <v>1336612530</v>
      </c>
      <c r="B248" s="96" t="s">
        <v>397</v>
      </c>
      <c r="C248" s="97">
        <v>269.83</v>
      </c>
      <c r="D248" s="98">
        <v>1.3476999999999999</v>
      </c>
      <c r="E248" s="99">
        <v>148.52000000000001</v>
      </c>
      <c r="F248" s="99">
        <v>36.85</v>
      </c>
      <c r="G248" s="99">
        <v>28.56</v>
      </c>
      <c r="H248" s="99">
        <v>13.68</v>
      </c>
      <c r="I248" s="100"/>
      <c r="J248" s="97">
        <v>262.89</v>
      </c>
      <c r="K248" s="97">
        <v>269.83</v>
      </c>
      <c r="L248" s="101"/>
      <c r="M248" s="102">
        <v>47.5</v>
      </c>
      <c r="N248" s="102">
        <v>317.33</v>
      </c>
    </row>
    <row r="249" spans="1:14" x14ac:dyDescent="0.25">
      <c r="A249" s="95">
        <v>1427248905</v>
      </c>
      <c r="B249" s="96" t="s">
        <v>398</v>
      </c>
      <c r="C249" s="97">
        <v>257.35000000000002</v>
      </c>
      <c r="D249" s="98">
        <v>1.2958000000000001</v>
      </c>
      <c r="E249" s="99">
        <v>146.80000000000001</v>
      </c>
      <c r="F249" s="99">
        <v>36.85</v>
      </c>
      <c r="G249" s="99">
        <v>22.7</v>
      </c>
      <c r="H249" s="99">
        <v>13.68</v>
      </c>
      <c r="I249" s="100"/>
      <c r="J249" s="97">
        <v>254.13</v>
      </c>
      <c r="K249" s="97">
        <v>257.35000000000002</v>
      </c>
      <c r="L249" s="101"/>
      <c r="M249" s="102">
        <v>47.5</v>
      </c>
      <c r="N249" s="102">
        <v>304.85000000000002</v>
      </c>
    </row>
    <row r="250" spans="1:14" x14ac:dyDescent="0.25">
      <c r="A250" s="95">
        <v>1609976901</v>
      </c>
      <c r="B250" s="96" t="s">
        <v>399</v>
      </c>
      <c r="C250" s="97">
        <v>253.48</v>
      </c>
      <c r="D250" s="98">
        <v>1.2728999999999999</v>
      </c>
      <c r="E250" s="99">
        <v>141.71</v>
      </c>
      <c r="F250" s="99">
        <v>36.85</v>
      </c>
      <c r="G250" s="99">
        <v>26.14</v>
      </c>
      <c r="H250" s="99">
        <v>13.68</v>
      </c>
      <c r="I250" s="100"/>
      <c r="J250" s="97">
        <v>252.23</v>
      </c>
      <c r="K250" s="97">
        <v>253.48</v>
      </c>
      <c r="L250" s="101"/>
      <c r="M250" s="102">
        <v>47.5</v>
      </c>
      <c r="N250" s="102">
        <v>300.98</v>
      </c>
    </row>
    <row r="251" spans="1:14" x14ac:dyDescent="0.25">
      <c r="A251" s="95">
        <v>1235239567</v>
      </c>
      <c r="B251" s="96" t="s">
        <v>400</v>
      </c>
      <c r="C251" s="97">
        <v>242.61</v>
      </c>
      <c r="D251" s="98">
        <v>1.3320000000000001</v>
      </c>
      <c r="E251" s="99">
        <v>148.76</v>
      </c>
      <c r="F251" s="99">
        <v>36.85</v>
      </c>
      <c r="G251" s="99">
        <v>8.1300000000000008</v>
      </c>
      <c r="H251" s="99">
        <v>13.68</v>
      </c>
      <c r="I251" s="100"/>
      <c r="J251" s="97">
        <v>239.57</v>
      </c>
      <c r="K251" s="97">
        <v>242.61</v>
      </c>
      <c r="L251" s="101"/>
      <c r="M251" s="102">
        <v>47.5</v>
      </c>
      <c r="N251" s="102">
        <v>290.11</v>
      </c>
    </row>
    <row r="252" spans="1:14" x14ac:dyDescent="0.25">
      <c r="A252" s="95">
        <v>1841390002</v>
      </c>
      <c r="B252" s="96" t="s">
        <v>401</v>
      </c>
      <c r="C252" s="97">
        <v>250.8</v>
      </c>
      <c r="D252" s="98">
        <v>1.3689</v>
      </c>
      <c r="E252" s="99">
        <v>154.31</v>
      </c>
      <c r="F252" s="99">
        <v>36.85</v>
      </c>
      <c r="G252" s="99">
        <v>11.74</v>
      </c>
      <c r="H252" s="99">
        <v>13.68</v>
      </c>
      <c r="I252" s="100"/>
      <c r="J252" s="97">
        <v>250.15</v>
      </c>
      <c r="K252" s="97">
        <v>250.8</v>
      </c>
      <c r="L252" s="101"/>
      <c r="M252" s="102">
        <v>47.5</v>
      </c>
      <c r="N252" s="102">
        <v>298.3</v>
      </c>
    </row>
    <row r="253" spans="1:14" x14ac:dyDescent="0.25">
      <c r="A253" s="95">
        <v>1194825448</v>
      </c>
      <c r="B253" s="96" t="s">
        <v>402</v>
      </c>
      <c r="C253" s="97">
        <v>241.11</v>
      </c>
      <c r="D253" s="98">
        <v>1.3620000000000001</v>
      </c>
      <c r="E253" s="99">
        <v>150.53</v>
      </c>
      <c r="F253" s="99">
        <v>36.85</v>
      </c>
      <c r="G253" s="99">
        <v>7.91</v>
      </c>
      <c r="H253" s="99">
        <v>13.68</v>
      </c>
      <c r="I253" s="100"/>
      <c r="J253" s="97">
        <v>241.36</v>
      </c>
      <c r="K253" s="97">
        <v>241.36</v>
      </c>
      <c r="L253" s="101"/>
      <c r="M253" s="102">
        <v>47.5</v>
      </c>
      <c r="N253" s="102">
        <v>288.86</v>
      </c>
    </row>
    <row r="254" spans="1:14" x14ac:dyDescent="0.25">
      <c r="A254" s="95">
        <v>1275823155</v>
      </c>
      <c r="B254" s="96" t="s">
        <v>403</v>
      </c>
      <c r="C254" s="97">
        <v>259.12</v>
      </c>
      <c r="D254" s="98">
        <v>1.3172999999999999</v>
      </c>
      <c r="E254" s="99">
        <v>147.5</v>
      </c>
      <c r="F254" s="99">
        <v>36.85</v>
      </c>
      <c r="G254" s="99">
        <v>23.98</v>
      </c>
      <c r="H254" s="99">
        <v>13.68</v>
      </c>
      <c r="I254" s="100"/>
      <c r="J254" s="97">
        <v>256.42</v>
      </c>
      <c r="K254" s="97">
        <v>259.12</v>
      </c>
      <c r="L254" s="101"/>
      <c r="M254" s="102">
        <v>47.5</v>
      </c>
      <c r="N254" s="102">
        <v>306.62</v>
      </c>
    </row>
    <row r="255" spans="1:14" x14ac:dyDescent="0.25">
      <c r="A255" s="95">
        <v>1265816185</v>
      </c>
      <c r="B255" s="96" t="s">
        <v>404</v>
      </c>
      <c r="C255" s="97">
        <v>252.89</v>
      </c>
      <c r="D255" s="98">
        <v>1.3290999999999999</v>
      </c>
      <c r="E255" s="99">
        <v>150.19999999999999</v>
      </c>
      <c r="F255" s="99">
        <v>36.85</v>
      </c>
      <c r="G255" s="99">
        <v>13.59</v>
      </c>
      <c r="H255" s="99">
        <v>13.68</v>
      </c>
      <c r="I255" s="100"/>
      <c r="J255" s="97">
        <v>247.54</v>
      </c>
      <c r="K255" s="97">
        <v>252.89</v>
      </c>
      <c r="L255" s="101"/>
      <c r="M255" s="102">
        <v>47.5</v>
      </c>
      <c r="N255" s="102">
        <v>300.39</v>
      </c>
    </row>
    <row r="256" spans="1:14" x14ac:dyDescent="0.25">
      <c r="A256" s="95">
        <v>1326519844</v>
      </c>
      <c r="B256" s="101" t="s">
        <v>405</v>
      </c>
      <c r="C256" s="97">
        <v>259.70999999999998</v>
      </c>
      <c r="D256" s="98">
        <v>1.3263</v>
      </c>
      <c r="E256" s="99">
        <v>148.58000000000001</v>
      </c>
      <c r="F256" s="99">
        <v>36.85</v>
      </c>
      <c r="G256" s="99">
        <v>23.58</v>
      </c>
      <c r="H256" s="99">
        <v>13.68</v>
      </c>
      <c r="I256" s="100"/>
      <c r="J256" s="97">
        <v>257.20999999999998</v>
      </c>
      <c r="K256" s="97">
        <v>259.70999999999998</v>
      </c>
      <c r="L256" s="101"/>
      <c r="M256" s="102">
        <v>47.5</v>
      </c>
      <c r="N256" s="102">
        <v>307.20999999999998</v>
      </c>
    </row>
    <row r="257" spans="1:14" x14ac:dyDescent="0.25">
      <c r="A257" s="95">
        <v>1396202024</v>
      </c>
      <c r="B257" s="96" t="s">
        <v>406</v>
      </c>
      <c r="C257" s="97">
        <v>249.66</v>
      </c>
      <c r="D257" s="98">
        <v>1.1792</v>
      </c>
      <c r="E257" s="99">
        <v>136.72999999999999</v>
      </c>
      <c r="F257" s="99">
        <v>36.85</v>
      </c>
      <c r="G257" s="99">
        <v>17.96</v>
      </c>
      <c r="H257" s="99">
        <v>13.68</v>
      </c>
      <c r="I257" s="100"/>
      <c r="J257" s="97">
        <v>237.03</v>
      </c>
      <c r="K257" s="97">
        <v>249.66</v>
      </c>
      <c r="L257" s="101"/>
      <c r="M257" s="102">
        <v>47.5</v>
      </c>
      <c r="N257" s="102">
        <v>297.15999999999997</v>
      </c>
    </row>
    <row r="258" spans="1:14" x14ac:dyDescent="0.25">
      <c r="A258" s="95">
        <v>1114480233</v>
      </c>
      <c r="B258" s="96" t="s">
        <v>407</v>
      </c>
      <c r="C258" s="97">
        <v>233.08</v>
      </c>
      <c r="D258" s="98">
        <v>1.1901999999999999</v>
      </c>
      <c r="E258" s="99">
        <v>138.28</v>
      </c>
      <c r="F258" s="99">
        <v>36.85</v>
      </c>
      <c r="G258" s="99">
        <v>15.35</v>
      </c>
      <c r="H258" s="99">
        <v>13.68</v>
      </c>
      <c r="I258" s="100"/>
      <c r="J258" s="97">
        <v>235.8</v>
      </c>
      <c r="K258" s="97">
        <v>235.8</v>
      </c>
      <c r="L258" s="101"/>
      <c r="M258" s="102">
        <v>47.5</v>
      </c>
      <c r="N258" s="102">
        <v>283.3</v>
      </c>
    </row>
    <row r="259" spans="1:14" x14ac:dyDescent="0.25">
      <c r="A259" s="95">
        <v>1902462401</v>
      </c>
      <c r="B259" s="96" t="s">
        <v>408</v>
      </c>
      <c r="C259" s="97">
        <v>237.18</v>
      </c>
      <c r="D259" s="98">
        <v>1.202</v>
      </c>
      <c r="E259" s="99">
        <v>136.12</v>
      </c>
      <c r="F259" s="99">
        <v>36.85</v>
      </c>
      <c r="G259" s="99">
        <v>16.39</v>
      </c>
      <c r="H259" s="99">
        <v>13.68</v>
      </c>
      <c r="I259" s="100"/>
      <c r="J259" s="97">
        <v>234.51</v>
      </c>
      <c r="K259" s="97">
        <v>237.18</v>
      </c>
      <c r="L259" s="101"/>
      <c r="M259" s="102">
        <v>47.5</v>
      </c>
      <c r="N259" s="102">
        <v>284.68</v>
      </c>
    </row>
    <row r="260" spans="1:14" x14ac:dyDescent="0.25">
      <c r="A260" s="95">
        <v>1962052498</v>
      </c>
      <c r="B260" s="96" t="s">
        <v>409</v>
      </c>
      <c r="C260" s="97">
        <v>223.39</v>
      </c>
      <c r="D260" s="98">
        <v>0.94720000000000004</v>
      </c>
      <c r="E260" s="99">
        <v>119.3</v>
      </c>
      <c r="F260" s="99">
        <v>36.85</v>
      </c>
      <c r="G260" s="99">
        <v>8.0500000000000007</v>
      </c>
      <c r="H260" s="99">
        <v>13.68</v>
      </c>
      <c r="I260" s="100"/>
      <c r="J260" s="97">
        <v>205.45</v>
      </c>
      <c r="K260" s="97">
        <v>223.39</v>
      </c>
      <c r="L260" s="101"/>
      <c r="M260" s="102">
        <v>47.5</v>
      </c>
      <c r="N260" s="102">
        <v>270.89</v>
      </c>
    </row>
    <row r="261" spans="1:14" x14ac:dyDescent="0.25">
      <c r="A261" s="95">
        <v>1225688757</v>
      </c>
      <c r="B261" s="96" t="s">
        <v>410</v>
      </c>
      <c r="C261" s="97">
        <v>225.25</v>
      </c>
      <c r="D261" s="98">
        <v>1.2009000000000001</v>
      </c>
      <c r="E261" s="99">
        <v>137.94999999999999</v>
      </c>
      <c r="F261" s="99">
        <v>36.85</v>
      </c>
      <c r="G261" s="99">
        <v>7.19</v>
      </c>
      <c r="H261" s="99">
        <v>13.68</v>
      </c>
      <c r="I261" s="100"/>
      <c r="J261" s="97">
        <v>226</v>
      </c>
      <c r="K261" s="97">
        <v>226</v>
      </c>
      <c r="L261" s="101"/>
      <c r="M261" s="102">
        <v>47.5</v>
      </c>
      <c r="N261" s="102">
        <v>273.5</v>
      </c>
    </row>
    <row r="262" spans="1:14" x14ac:dyDescent="0.25">
      <c r="A262" s="95">
        <v>1851941389</v>
      </c>
      <c r="B262" s="96" t="s">
        <v>411</v>
      </c>
      <c r="C262" s="97">
        <v>225.21</v>
      </c>
      <c r="D262" s="98">
        <v>1.0216000000000001</v>
      </c>
      <c r="E262" s="99">
        <v>124.93</v>
      </c>
      <c r="F262" s="99">
        <v>36.85</v>
      </c>
      <c r="G262" s="99">
        <v>8.1300000000000008</v>
      </c>
      <c r="H262" s="99">
        <v>13.68</v>
      </c>
      <c r="I262" s="100"/>
      <c r="J262" s="97">
        <v>212.05</v>
      </c>
      <c r="K262" s="97">
        <v>225.21</v>
      </c>
      <c r="L262" s="101"/>
      <c r="M262" s="102">
        <v>47.5</v>
      </c>
      <c r="N262" s="102">
        <v>272.71000000000004</v>
      </c>
    </row>
    <row r="263" spans="1:14" x14ac:dyDescent="0.25">
      <c r="A263" s="95">
        <v>1194779504</v>
      </c>
      <c r="B263" s="96" t="s">
        <v>412</v>
      </c>
      <c r="C263" s="97">
        <v>246.02</v>
      </c>
      <c r="D263" s="98">
        <v>1.2385999999999999</v>
      </c>
      <c r="E263" s="99">
        <v>141.41999999999999</v>
      </c>
      <c r="F263" s="99">
        <v>36.85</v>
      </c>
      <c r="G263" s="99">
        <v>12.23</v>
      </c>
      <c r="H263" s="99">
        <v>13.68</v>
      </c>
      <c r="I263" s="100"/>
      <c r="J263" s="97">
        <v>235.83</v>
      </c>
      <c r="K263" s="97">
        <v>246.02</v>
      </c>
      <c r="L263" s="101"/>
      <c r="M263" s="102">
        <v>47.5</v>
      </c>
      <c r="N263" s="102">
        <v>293.52</v>
      </c>
    </row>
    <row r="264" spans="1:14" x14ac:dyDescent="0.25">
      <c r="A264" s="95">
        <v>1538137468</v>
      </c>
      <c r="B264" s="96" t="s">
        <v>413</v>
      </c>
      <c r="C264" s="97">
        <v>215.71</v>
      </c>
      <c r="D264" s="98">
        <v>1.0668</v>
      </c>
      <c r="E264" s="99">
        <v>125.42</v>
      </c>
      <c r="F264" s="99">
        <v>36.85</v>
      </c>
      <c r="G264" s="99">
        <v>11.34</v>
      </c>
      <c r="H264" s="99">
        <v>13.68</v>
      </c>
      <c r="I264" s="100"/>
      <c r="J264" s="97">
        <v>216.32</v>
      </c>
      <c r="K264" s="97">
        <v>216.32</v>
      </c>
      <c r="L264" s="101"/>
      <c r="M264" s="102">
        <v>47.5</v>
      </c>
      <c r="N264" s="102">
        <v>263.82</v>
      </c>
    </row>
    <row r="265" spans="1:14" x14ac:dyDescent="0.25">
      <c r="A265" s="95">
        <v>1780693663</v>
      </c>
      <c r="B265" s="96" t="s">
        <v>414</v>
      </c>
      <c r="C265" s="97">
        <v>215.94</v>
      </c>
      <c r="D265" s="98">
        <v>1.0304</v>
      </c>
      <c r="E265" s="99">
        <v>125.65</v>
      </c>
      <c r="F265" s="99">
        <v>36.85</v>
      </c>
      <c r="G265" s="99">
        <v>15.87</v>
      </c>
      <c r="H265" s="99">
        <v>0</v>
      </c>
      <c r="I265" s="100"/>
      <c r="J265" s="97">
        <v>206.02</v>
      </c>
      <c r="K265" s="97">
        <v>215.94</v>
      </c>
      <c r="L265" s="101"/>
      <c r="M265" s="102">
        <v>47.5</v>
      </c>
      <c r="N265" s="102">
        <v>263.44</v>
      </c>
    </row>
    <row r="266" spans="1:14" x14ac:dyDescent="0.25">
      <c r="A266" s="95">
        <v>1407966864</v>
      </c>
      <c r="B266" s="96" t="s">
        <v>415</v>
      </c>
      <c r="C266" s="97">
        <v>214.17</v>
      </c>
      <c r="D266" s="98">
        <v>0.93940000000000001</v>
      </c>
      <c r="E266" s="99">
        <v>117.79</v>
      </c>
      <c r="F266" s="99">
        <v>36.85</v>
      </c>
      <c r="G266" s="99">
        <v>15.47</v>
      </c>
      <c r="H266" s="99">
        <v>13.68</v>
      </c>
      <c r="I266" s="100"/>
      <c r="J266" s="97">
        <v>212.28</v>
      </c>
      <c r="K266" s="97">
        <v>214.17</v>
      </c>
      <c r="L266" s="101"/>
      <c r="M266" s="102">
        <v>47.5</v>
      </c>
      <c r="N266" s="102">
        <v>261.66999999999996</v>
      </c>
    </row>
    <row r="267" spans="1:14" x14ac:dyDescent="0.25">
      <c r="A267" s="95">
        <v>1942583752</v>
      </c>
      <c r="B267" s="96" t="s">
        <v>416</v>
      </c>
      <c r="C267" s="97">
        <v>223.46</v>
      </c>
      <c r="D267" s="98">
        <v>1.0165</v>
      </c>
      <c r="E267" s="99">
        <v>124.4</v>
      </c>
      <c r="F267" s="99">
        <v>36.85</v>
      </c>
      <c r="G267" s="99">
        <v>22.9</v>
      </c>
      <c r="H267" s="99">
        <v>13.68</v>
      </c>
      <c r="I267" s="100"/>
      <c r="J267" s="97">
        <v>228.49</v>
      </c>
      <c r="K267" s="97">
        <v>228.49</v>
      </c>
      <c r="L267" s="101"/>
      <c r="M267" s="102">
        <v>47.5</v>
      </c>
      <c r="N267" s="102">
        <v>275.99</v>
      </c>
    </row>
    <row r="268" spans="1:14" x14ac:dyDescent="0.25">
      <c r="A268" s="95">
        <v>1144646274</v>
      </c>
      <c r="B268" s="96" t="s">
        <v>417</v>
      </c>
      <c r="C268" s="97">
        <v>242.16</v>
      </c>
      <c r="D268" s="98">
        <v>1.2033</v>
      </c>
      <c r="E268" s="99">
        <v>137.22999999999999</v>
      </c>
      <c r="F268" s="99">
        <v>36.85</v>
      </c>
      <c r="G268" s="99">
        <v>17.03</v>
      </c>
      <c r="H268" s="99">
        <v>13.68</v>
      </c>
      <c r="I268" s="100"/>
      <c r="J268" s="97">
        <v>236.53</v>
      </c>
      <c r="K268" s="97">
        <v>242.16</v>
      </c>
      <c r="L268" s="101"/>
      <c r="M268" s="102">
        <v>47.5</v>
      </c>
      <c r="N268" s="102">
        <v>289.65999999999997</v>
      </c>
    </row>
    <row r="269" spans="1:14" x14ac:dyDescent="0.25">
      <c r="A269" s="95">
        <v>1124015458</v>
      </c>
      <c r="B269" s="96" t="s">
        <v>418</v>
      </c>
      <c r="C269" s="97">
        <v>230.08</v>
      </c>
      <c r="D269" s="98">
        <v>1.0728</v>
      </c>
      <c r="E269" s="99">
        <v>129.07</v>
      </c>
      <c r="F269" s="99">
        <v>36.85</v>
      </c>
      <c r="G269" s="99">
        <v>32.24</v>
      </c>
      <c r="H269" s="99">
        <v>0</v>
      </c>
      <c r="I269" s="100"/>
      <c r="J269" s="97">
        <v>228.87</v>
      </c>
      <c r="K269" s="97">
        <v>230.08</v>
      </c>
      <c r="L269" s="101"/>
      <c r="M269" s="102">
        <v>47.5</v>
      </c>
      <c r="N269" s="102">
        <v>277.58000000000004</v>
      </c>
    </row>
    <row r="270" spans="1:14" x14ac:dyDescent="0.25">
      <c r="A270" s="95">
        <v>1982640785</v>
      </c>
      <c r="B270" s="96" t="s">
        <v>419</v>
      </c>
      <c r="C270" s="97">
        <v>224.01</v>
      </c>
      <c r="D270" s="98">
        <v>1.1312</v>
      </c>
      <c r="E270" s="99">
        <v>133.1</v>
      </c>
      <c r="F270" s="99">
        <v>36.85</v>
      </c>
      <c r="G270" s="99">
        <v>8.2899999999999991</v>
      </c>
      <c r="H270" s="99">
        <v>13.68</v>
      </c>
      <c r="I270" s="100"/>
      <c r="J270" s="97">
        <v>221.67</v>
      </c>
      <c r="K270" s="97">
        <v>224.01</v>
      </c>
      <c r="L270" s="101"/>
      <c r="M270" s="102">
        <v>47.5</v>
      </c>
      <c r="N270" s="102">
        <v>271.51</v>
      </c>
    </row>
    <row r="271" spans="1:14" x14ac:dyDescent="0.25">
      <c r="A271" s="95">
        <v>1922456664</v>
      </c>
      <c r="B271" s="96" t="s">
        <v>420</v>
      </c>
      <c r="C271" s="97">
        <v>252.64</v>
      </c>
      <c r="D271" s="98">
        <v>1.3652</v>
      </c>
      <c r="E271" s="99">
        <v>152.29</v>
      </c>
      <c r="F271" s="99">
        <v>36.85</v>
      </c>
      <c r="G271" s="99">
        <v>14.11</v>
      </c>
      <c r="H271" s="99">
        <v>13.68</v>
      </c>
      <c r="I271" s="100"/>
      <c r="J271" s="97">
        <v>250.55</v>
      </c>
      <c r="K271" s="97">
        <v>252.64</v>
      </c>
      <c r="L271" s="101"/>
      <c r="M271" s="102">
        <v>47.5</v>
      </c>
      <c r="N271" s="102">
        <v>300.14</v>
      </c>
    </row>
    <row r="272" spans="1:14" x14ac:dyDescent="0.25">
      <c r="A272" s="95">
        <v>1811923931</v>
      </c>
      <c r="B272" s="96" t="s">
        <v>421</v>
      </c>
      <c r="C272" s="97">
        <v>243.04</v>
      </c>
      <c r="D272" s="98">
        <v>1.2838000000000001</v>
      </c>
      <c r="E272" s="99">
        <v>143.56</v>
      </c>
      <c r="F272" s="99">
        <v>36.85</v>
      </c>
      <c r="G272" s="99">
        <v>18.43</v>
      </c>
      <c r="H272" s="99">
        <v>13.68</v>
      </c>
      <c r="I272" s="100"/>
      <c r="J272" s="97">
        <v>245.46</v>
      </c>
      <c r="K272" s="97">
        <v>245.46</v>
      </c>
      <c r="L272" s="101"/>
      <c r="M272" s="102">
        <v>47.5</v>
      </c>
      <c r="N272" s="102">
        <v>292.96000000000004</v>
      </c>
    </row>
    <row r="273" spans="1:14" x14ac:dyDescent="0.25">
      <c r="A273" s="95">
        <v>1073034138</v>
      </c>
      <c r="B273" s="96" t="s">
        <v>422</v>
      </c>
      <c r="C273" s="97">
        <v>232.49</v>
      </c>
      <c r="D273" s="98">
        <v>1.1326000000000001</v>
      </c>
      <c r="E273" s="99">
        <v>133.54</v>
      </c>
      <c r="F273" s="99">
        <v>36.85</v>
      </c>
      <c r="G273" s="99">
        <v>28.54</v>
      </c>
      <c r="H273" s="99">
        <v>0</v>
      </c>
      <c r="I273" s="100"/>
      <c r="J273" s="97">
        <v>229.76</v>
      </c>
      <c r="K273" s="97">
        <v>232.49</v>
      </c>
      <c r="L273" s="101"/>
      <c r="M273" s="102">
        <v>47.5</v>
      </c>
      <c r="N273" s="102">
        <v>279.99</v>
      </c>
    </row>
    <row r="274" spans="1:14" x14ac:dyDescent="0.25">
      <c r="A274" s="95">
        <v>1962447565</v>
      </c>
      <c r="B274" s="96" t="s">
        <v>423</v>
      </c>
      <c r="C274" s="97">
        <v>218.13</v>
      </c>
      <c r="D274" s="98">
        <v>1.1277999999999999</v>
      </c>
      <c r="E274" s="99">
        <v>132.47999999999999</v>
      </c>
      <c r="F274" s="99">
        <v>36.85</v>
      </c>
      <c r="G274" s="99">
        <v>10.52</v>
      </c>
      <c r="H274" s="99">
        <v>7.18</v>
      </c>
      <c r="I274" s="100"/>
      <c r="J274" s="97">
        <v>216.02</v>
      </c>
      <c r="K274" s="97">
        <v>218.13</v>
      </c>
      <c r="L274" s="101"/>
      <c r="M274" s="102">
        <v>47.5</v>
      </c>
      <c r="N274" s="102">
        <v>265.63</v>
      </c>
    </row>
    <row r="275" spans="1:14" x14ac:dyDescent="0.25">
      <c r="A275" s="95">
        <v>1720166838</v>
      </c>
      <c r="B275" s="96" t="s">
        <v>424</v>
      </c>
      <c r="C275" s="97">
        <v>237.87</v>
      </c>
      <c r="D275" s="98">
        <v>1.1574</v>
      </c>
      <c r="E275" s="99">
        <v>135.63</v>
      </c>
      <c r="F275" s="99">
        <v>36.85</v>
      </c>
      <c r="G275" s="99">
        <v>12.2</v>
      </c>
      <c r="H275" s="99">
        <v>13.68</v>
      </c>
      <c r="I275" s="100"/>
      <c r="J275" s="97">
        <v>229.11</v>
      </c>
      <c r="K275" s="97">
        <v>237.87</v>
      </c>
      <c r="L275" s="101"/>
      <c r="M275" s="102">
        <v>47.5</v>
      </c>
      <c r="N275" s="102">
        <v>285.37</v>
      </c>
    </row>
    <row r="276" spans="1:14" x14ac:dyDescent="0.25">
      <c r="A276" s="95">
        <v>1518112036</v>
      </c>
      <c r="B276" s="101" t="s">
        <v>425</v>
      </c>
      <c r="C276" s="97">
        <v>234.23</v>
      </c>
      <c r="D276" s="98">
        <v>1.0835999999999999</v>
      </c>
      <c r="E276" s="99">
        <v>130.22</v>
      </c>
      <c r="F276" s="99">
        <v>36.85</v>
      </c>
      <c r="G276" s="99">
        <v>21.42</v>
      </c>
      <c r="H276" s="99">
        <v>13.68</v>
      </c>
      <c r="I276" s="100"/>
      <c r="J276" s="97">
        <v>233.51</v>
      </c>
      <c r="K276" s="97">
        <v>234.23</v>
      </c>
      <c r="L276" s="101"/>
      <c r="M276" s="102">
        <v>47.5</v>
      </c>
      <c r="N276" s="102">
        <v>281.73</v>
      </c>
    </row>
    <row r="277" spans="1:14" x14ac:dyDescent="0.25">
      <c r="A277" s="95">
        <v>1447435722</v>
      </c>
      <c r="B277" s="96" t="s">
        <v>426</v>
      </c>
      <c r="C277" s="97">
        <v>248.45</v>
      </c>
      <c r="D277" s="98">
        <v>1.1964999999999999</v>
      </c>
      <c r="E277" s="99">
        <v>140.09</v>
      </c>
      <c r="F277" s="99">
        <v>36.85</v>
      </c>
      <c r="G277" s="99">
        <v>23.55</v>
      </c>
      <c r="H277" s="99">
        <v>13.68</v>
      </c>
      <c r="I277" s="100"/>
      <c r="J277" s="97">
        <v>247.37</v>
      </c>
      <c r="K277" s="97">
        <v>248.45</v>
      </c>
      <c r="L277" s="101"/>
      <c r="M277" s="102">
        <v>47.5</v>
      </c>
      <c r="N277" s="102">
        <v>295.95</v>
      </c>
    </row>
    <row r="278" spans="1:14" x14ac:dyDescent="0.25">
      <c r="A278" s="95">
        <v>1245287762</v>
      </c>
      <c r="B278" s="101" t="s">
        <v>427</v>
      </c>
      <c r="C278" s="97">
        <v>250.42</v>
      </c>
      <c r="D278" s="98">
        <v>1.2519</v>
      </c>
      <c r="E278" s="99">
        <v>141.66</v>
      </c>
      <c r="F278" s="99">
        <v>36.85</v>
      </c>
      <c r="G278" s="99">
        <v>20.69</v>
      </c>
      <c r="H278" s="99">
        <v>13.68</v>
      </c>
      <c r="I278" s="100"/>
      <c r="J278" s="97">
        <v>245.88</v>
      </c>
      <c r="K278" s="97">
        <v>250.42</v>
      </c>
      <c r="L278" s="101"/>
      <c r="M278" s="102">
        <v>47.5</v>
      </c>
      <c r="N278" s="102">
        <v>297.91999999999996</v>
      </c>
    </row>
    <row r="279" spans="1:14" x14ac:dyDescent="0.25">
      <c r="A279" s="95">
        <v>1134175524</v>
      </c>
      <c r="B279" s="96" t="s">
        <v>428</v>
      </c>
      <c r="C279" s="97">
        <v>221.09</v>
      </c>
      <c r="D279" s="98">
        <v>1.1493</v>
      </c>
      <c r="E279" s="99">
        <v>133.47</v>
      </c>
      <c r="F279" s="99">
        <v>36.85</v>
      </c>
      <c r="G279" s="99">
        <v>8.17</v>
      </c>
      <c r="H279" s="99">
        <v>13.68</v>
      </c>
      <c r="I279" s="100"/>
      <c r="J279" s="97">
        <v>221.96</v>
      </c>
      <c r="K279" s="97">
        <v>221.96</v>
      </c>
      <c r="L279" s="101"/>
      <c r="M279" s="102">
        <v>47.5</v>
      </c>
      <c r="N279" s="102">
        <v>269.46000000000004</v>
      </c>
    </row>
    <row r="280" spans="1:14" x14ac:dyDescent="0.25">
      <c r="A280" s="95">
        <v>1245285253</v>
      </c>
      <c r="B280" s="96" t="s">
        <v>429</v>
      </c>
      <c r="C280" s="97">
        <v>237.57</v>
      </c>
      <c r="D280" s="98">
        <v>1.0933999999999999</v>
      </c>
      <c r="E280" s="99">
        <v>129.62</v>
      </c>
      <c r="F280" s="99">
        <v>36.85</v>
      </c>
      <c r="G280" s="99">
        <v>21.59</v>
      </c>
      <c r="H280" s="99">
        <v>13.68</v>
      </c>
      <c r="I280" s="100"/>
      <c r="J280" s="97">
        <v>233.01</v>
      </c>
      <c r="K280" s="97">
        <v>237.57</v>
      </c>
      <c r="L280" s="101"/>
      <c r="M280" s="102">
        <v>47.5</v>
      </c>
      <c r="N280" s="102">
        <v>285.07</v>
      </c>
    </row>
    <row r="281" spans="1:14" x14ac:dyDescent="0.25">
      <c r="A281" s="95">
        <v>1730136250</v>
      </c>
      <c r="B281" s="96" t="s">
        <v>430</v>
      </c>
      <c r="C281" s="97">
        <v>239.94</v>
      </c>
      <c r="D281" s="98">
        <v>1.1752</v>
      </c>
      <c r="E281" s="99">
        <v>137.15</v>
      </c>
      <c r="F281" s="99">
        <v>36.85</v>
      </c>
      <c r="G281" s="99">
        <v>21.45</v>
      </c>
      <c r="H281" s="99">
        <v>7.18</v>
      </c>
      <c r="I281" s="100"/>
      <c r="J281" s="97">
        <v>234.04</v>
      </c>
      <c r="K281" s="97">
        <v>239.94</v>
      </c>
      <c r="L281" s="101"/>
      <c r="M281" s="102">
        <v>47.5</v>
      </c>
      <c r="N281" s="102">
        <v>287.44</v>
      </c>
    </row>
    <row r="282" spans="1:14" x14ac:dyDescent="0.25">
      <c r="A282" s="95">
        <v>1033513320</v>
      </c>
      <c r="B282" s="96" t="s">
        <v>431</v>
      </c>
      <c r="C282" s="97">
        <v>231.99</v>
      </c>
      <c r="D282" s="98">
        <v>1.1691</v>
      </c>
      <c r="E282" s="99">
        <v>135.38999999999999</v>
      </c>
      <c r="F282" s="99">
        <v>36.85</v>
      </c>
      <c r="G282" s="99">
        <v>13.17</v>
      </c>
      <c r="H282" s="99">
        <v>13.68</v>
      </c>
      <c r="I282" s="100"/>
      <c r="J282" s="97">
        <v>229.95</v>
      </c>
      <c r="K282" s="97">
        <v>231.99</v>
      </c>
      <c r="L282" s="101"/>
      <c r="M282" s="102">
        <v>47.5</v>
      </c>
      <c r="N282" s="102">
        <v>279.49</v>
      </c>
    </row>
    <row r="283" spans="1:14" x14ac:dyDescent="0.25">
      <c r="A283" s="95">
        <v>1023358991</v>
      </c>
      <c r="B283" s="101" t="s">
        <v>432</v>
      </c>
      <c r="C283" s="97">
        <v>230.98</v>
      </c>
      <c r="D283" s="98">
        <v>0.99919999999999998</v>
      </c>
      <c r="E283" s="99">
        <v>123.23</v>
      </c>
      <c r="F283" s="99">
        <v>36.85</v>
      </c>
      <c r="G283" s="99">
        <v>12.54</v>
      </c>
      <c r="H283" s="99">
        <v>13.68</v>
      </c>
      <c r="I283" s="100"/>
      <c r="J283" s="97">
        <v>215.18</v>
      </c>
      <c r="K283" s="97">
        <v>230.98</v>
      </c>
      <c r="L283" s="101"/>
      <c r="M283" s="102">
        <v>47.5</v>
      </c>
      <c r="N283" s="102">
        <v>278.48</v>
      </c>
    </row>
    <row r="284" spans="1:14" x14ac:dyDescent="0.25">
      <c r="A284" s="95">
        <v>1700833233</v>
      </c>
      <c r="B284" s="96" t="s">
        <v>433</v>
      </c>
      <c r="C284" s="97">
        <v>246.07</v>
      </c>
      <c r="D284" s="98">
        <v>1.1718999999999999</v>
      </c>
      <c r="E284" s="99">
        <v>134.36000000000001</v>
      </c>
      <c r="F284" s="99">
        <v>36.85</v>
      </c>
      <c r="G284" s="99">
        <v>22.31</v>
      </c>
      <c r="H284" s="99">
        <v>13.68</v>
      </c>
      <c r="I284" s="100"/>
      <c r="J284" s="97">
        <v>239.32</v>
      </c>
      <c r="K284" s="97">
        <v>246.07</v>
      </c>
      <c r="L284" s="101"/>
      <c r="M284" s="102">
        <v>47.5</v>
      </c>
      <c r="N284" s="102">
        <v>293.57</v>
      </c>
    </row>
    <row r="285" spans="1:14" x14ac:dyDescent="0.25">
      <c r="A285" s="95">
        <v>1851348379</v>
      </c>
      <c r="B285" s="96" t="s">
        <v>434</v>
      </c>
      <c r="C285" s="97">
        <v>229.96</v>
      </c>
      <c r="D285" s="98">
        <v>1.0056</v>
      </c>
      <c r="E285" s="99">
        <v>123.65</v>
      </c>
      <c r="F285" s="99">
        <v>36.85</v>
      </c>
      <c r="G285" s="99">
        <v>21.45</v>
      </c>
      <c r="H285" s="99">
        <v>13.68</v>
      </c>
      <c r="I285" s="100"/>
      <c r="J285" s="97">
        <v>225.95</v>
      </c>
      <c r="K285" s="97">
        <v>229.96</v>
      </c>
      <c r="L285" s="101"/>
      <c r="M285" s="102">
        <v>47.5</v>
      </c>
      <c r="N285" s="102">
        <v>277.46000000000004</v>
      </c>
    </row>
    <row r="286" spans="1:14" x14ac:dyDescent="0.25">
      <c r="A286" s="95">
        <v>1992106348</v>
      </c>
      <c r="B286" s="96" t="s">
        <v>435</v>
      </c>
      <c r="C286" s="97">
        <v>269.27</v>
      </c>
      <c r="D286" s="98">
        <v>1.2117</v>
      </c>
      <c r="E286" s="99">
        <v>139.91</v>
      </c>
      <c r="F286" s="99">
        <v>36.85</v>
      </c>
      <c r="G286" s="99">
        <v>33.380000000000003</v>
      </c>
      <c r="H286" s="99">
        <v>13.68</v>
      </c>
      <c r="I286" s="100"/>
      <c r="J286" s="97">
        <v>258.51</v>
      </c>
      <c r="K286" s="97">
        <v>269.27</v>
      </c>
      <c r="L286" s="101"/>
      <c r="M286" s="102">
        <v>47.5</v>
      </c>
      <c r="N286" s="102">
        <v>316.77</v>
      </c>
    </row>
    <row r="287" spans="1:14" x14ac:dyDescent="0.25">
      <c r="A287" s="95">
        <v>1548696834</v>
      </c>
      <c r="B287" s="96" t="s">
        <v>436</v>
      </c>
      <c r="C287" s="97">
        <v>231.57</v>
      </c>
      <c r="D287" s="98">
        <v>1.1686000000000001</v>
      </c>
      <c r="E287" s="99">
        <v>136.44</v>
      </c>
      <c r="F287" s="99">
        <v>36.85</v>
      </c>
      <c r="G287" s="99">
        <v>22.99</v>
      </c>
      <c r="H287" s="99">
        <v>0</v>
      </c>
      <c r="I287" s="100"/>
      <c r="J287" s="97">
        <v>226.7</v>
      </c>
      <c r="K287" s="97">
        <v>231.57</v>
      </c>
      <c r="L287" s="101"/>
      <c r="M287" s="102">
        <v>47.5</v>
      </c>
      <c r="N287" s="102">
        <v>279.07</v>
      </c>
    </row>
    <row r="288" spans="1:14" x14ac:dyDescent="0.25">
      <c r="A288" s="95">
        <v>1396161527</v>
      </c>
      <c r="B288" s="101" t="s">
        <v>437</v>
      </c>
      <c r="C288" s="97">
        <v>244.84</v>
      </c>
      <c r="D288" s="98">
        <v>1.2024999999999999</v>
      </c>
      <c r="E288" s="99">
        <v>137.65</v>
      </c>
      <c r="F288" s="99">
        <v>36.85</v>
      </c>
      <c r="G288" s="99">
        <v>18.47</v>
      </c>
      <c r="H288" s="99">
        <v>13.68</v>
      </c>
      <c r="I288" s="100"/>
      <c r="J288" s="97">
        <v>238.68</v>
      </c>
      <c r="K288" s="97">
        <v>244.84</v>
      </c>
      <c r="L288" s="101"/>
      <c r="M288" s="102">
        <v>47.5</v>
      </c>
      <c r="N288" s="102">
        <v>292.34000000000003</v>
      </c>
    </row>
    <row r="289" spans="1:14" x14ac:dyDescent="0.25">
      <c r="A289" s="95">
        <v>1770582363</v>
      </c>
      <c r="B289" s="96" t="s">
        <v>438</v>
      </c>
      <c r="C289" s="97">
        <v>223.82</v>
      </c>
      <c r="D289" s="98">
        <v>0.97799999999999998</v>
      </c>
      <c r="E289" s="99">
        <v>121.64</v>
      </c>
      <c r="F289" s="99">
        <v>36.85</v>
      </c>
      <c r="G289" s="99">
        <v>18.559999999999999</v>
      </c>
      <c r="H289" s="99">
        <v>13.68</v>
      </c>
      <c r="I289" s="100"/>
      <c r="J289" s="97">
        <v>220.29</v>
      </c>
      <c r="K289" s="97">
        <v>223.82</v>
      </c>
      <c r="L289" s="101"/>
      <c r="M289" s="102">
        <v>47.5</v>
      </c>
      <c r="N289" s="102">
        <v>271.32</v>
      </c>
    </row>
    <row r="290" spans="1:14" x14ac:dyDescent="0.25">
      <c r="A290" s="95">
        <v>1376542878</v>
      </c>
      <c r="B290" s="96" t="s">
        <v>439</v>
      </c>
      <c r="C290" s="97">
        <v>223.98</v>
      </c>
      <c r="D290" s="98">
        <v>0.99019999999999997</v>
      </c>
      <c r="E290" s="99">
        <v>122.31</v>
      </c>
      <c r="F290" s="99">
        <v>36.85</v>
      </c>
      <c r="G290" s="99">
        <v>21.02</v>
      </c>
      <c r="H290" s="99">
        <v>13.68</v>
      </c>
      <c r="I290" s="100"/>
      <c r="J290" s="97">
        <v>223.91</v>
      </c>
      <c r="K290" s="97">
        <v>223.98</v>
      </c>
      <c r="L290" s="101"/>
      <c r="M290" s="102">
        <v>47.5</v>
      </c>
      <c r="N290" s="102">
        <v>271.48</v>
      </c>
    </row>
    <row r="291" spans="1:14" x14ac:dyDescent="0.25">
      <c r="A291" s="95">
        <v>1598127276</v>
      </c>
      <c r="B291" s="96" t="s">
        <v>440</v>
      </c>
      <c r="C291" s="97">
        <v>247</v>
      </c>
      <c r="D291" s="98">
        <v>1.2665</v>
      </c>
      <c r="E291" s="99">
        <v>139.91999999999999</v>
      </c>
      <c r="F291" s="99">
        <v>36.85</v>
      </c>
      <c r="G291" s="99">
        <v>18.62</v>
      </c>
      <c r="H291" s="99">
        <v>13.68</v>
      </c>
      <c r="I291" s="100"/>
      <c r="J291" s="97">
        <v>241.48</v>
      </c>
      <c r="K291" s="97">
        <v>247</v>
      </c>
      <c r="L291" s="101"/>
      <c r="M291" s="102">
        <v>47.5</v>
      </c>
      <c r="N291" s="102">
        <v>294.5</v>
      </c>
    </row>
    <row r="292" spans="1:14" x14ac:dyDescent="0.25">
      <c r="A292" s="95">
        <v>1689603060</v>
      </c>
      <c r="B292" s="96" t="s">
        <v>441</v>
      </c>
      <c r="C292" s="97">
        <v>240.36</v>
      </c>
      <c r="D292" s="98">
        <v>1.2264999999999999</v>
      </c>
      <c r="E292" s="99">
        <v>141.87</v>
      </c>
      <c r="F292" s="99">
        <v>36.85</v>
      </c>
      <c r="G292" s="99">
        <v>13.51</v>
      </c>
      <c r="H292" s="99">
        <v>13.68</v>
      </c>
      <c r="I292" s="100"/>
      <c r="J292" s="97">
        <v>237.83</v>
      </c>
      <c r="K292" s="97">
        <v>240.36</v>
      </c>
      <c r="L292" s="101"/>
      <c r="M292" s="102">
        <v>47.5</v>
      </c>
      <c r="N292" s="102">
        <v>287.86</v>
      </c>
    </row>
    <row r="293" spans="1:14" x14ac:dyDescent="0.25">
      <c r="A293" s="95">
        <v>1700874880</v>
      </c>
      <c r="B293" s="96" t="s">
        <v>442</v>
      </c>
      <c r="C293" s="97">
        <v>248.97</v>
      </c>
      <c r="D293" s="98">
        <v>1.171</v>
      </c>
      <c r="E293" s="99">
        <v>137</v>
      </c>
      <c r="F293" s="99">
        <v>36.85</v>
      </c>
      <c r="G293" s="99">
        <v>22.5</v>
      </c>
      <c r="H293" s="99">
        <v>13.68</v>
      </c>
      <c r="I293" s="100"/>
      <c r="J293" s="97">
        <v>242.58</v>
      </c>
      <c r="K293" s="97">
        <v>248.97</v>
      </c>
      <c r="L293" s="101"/>
      <c r="M293" s="102">
        <v>47.5</v>
      </c>
      <c r="N293" s="102">
        <v>296.47000000000003</v>
      </c>
    </row>
    <row r="294" spans="1:14" x14ac:dyDescent="0.25">
      <c r="A294" s="95">
        <v>1306293170</v>
      </c>
      <c r="B294" s="96" t="s">
        <v>443</v>
      </c>
      <c r="C294" s="97">
        <v>236.71</v>
      </c>
      <c r="D294" s="98">
        <v>1.1993</v>
      </c>
      <c r="E294" s="99">
        <v>138.24</v>
      </c>
      <c r="F294" s="99">
        <v>36.85</v>
      </c>
      <c r="G294" s="99">
        <v>7.95</v>
      </c>
      <c r="H294" s="99">
        <v>13.68</v>
      </c>
      <c r="I294" s="100"/>
      <c r="J294" s="97">
        <v>227.21</v>
      </c>
      <c r="K294" s="97">
        <v>236.71</v>
      </c>
      <c r="L294" s="101"/>
      <c r="M294" s="102">
        <v>47.5</v>
      </c>
      <c r="N294" s="102">
        <v>284.21000000000004</v>
      </c>
    </row>
    <row r="295" spans="1:14" x14ac:dyDescent="0.25">
      <c r="A295" s="95">
        <v>1518968890</v>
      </c>
      <c r="B295" s="96" t="s">
        <v>444</v>
      </c>
      <c r="C295" s="97">
        <v>203.27</v>
      </c>
      <c r="D295" s="98">
        <v>0.97870000000000001</v>
      </c>
      <c r="E295" s="99">
        <v>121.45</v>
      </c>
      <c r="F295" s="99">
        <v>36.85</v>
      </c>
      <c r="G295" s="99">
        <v>18.96</v>
      </c>
      <c r="H295" s="99">
        <v>0</v>
      </c>
      <c r="I295" s="100"/>
      <c r="J295" s="97">
        <v>204.74</v>
      </c>
      <c r="K295" s="97">
        <v>204.74</v>
      </c>
      <c r="L295" s="101"/>
      <c r="M295" s="102">
        <v>47.5</v>
      </c>
      <c r="N295" s="102">
        <v>252.24</v>
      </c>
    </row>
    <row r="296" spans="1:14" x14ac:dyDescent="0.25">
      <c r="A296" s="95">
        <v>1750317897</v>
      </c>
      <c r="B296" s="96" t="s">
        <v>445</v>
      </c>
      <c r="C296" s="97">
        <v>233.47</v>
      </c>
      <c r="D296" s="98">
        <v>1.1023000000000001</v>
      </c>
      <c r="E296" s="99">
        <v>130.81</v>
      </c>
      <c r="F296" s="99">
        <v>36.85</v>
      </c>
      <c r="G296" s="99">
        <v>12.88</v>
      </c>
      <c r="H296" s="99">
        <v>7.18</v>
      </c>
      <c r="I296" s="100"/>
      <c r="J296" s="97">
        <v>216.82</v>
      </c>
      <c r="K296" s="97">
        <v>233.47</v>
      </c>
      <c r="L296" s="101"/>
      <c r="M296" s="102">
        <v>47.5</v>
      </c>
      <c r="N296" s="102">
        <v>280.97000000000003</v>
      </c>
    </row>
    <row r="297" spans="1:14" x14ac:dyDescent="0.25">
      <c r="A297" s="95">
        <v>1659307395</v>
      </c>
      <c r="B297" s="96" t="s">
        <v>446</v>
      </c>
      <c r="C297" s="97">
        <v>228.75</v>
      </c>
      <c r="D297" s="98">
        <v>1.1327</v>
      </c>
      <c r="E297" s="99">
        <v>132.75</v>
      </c>
      <c r="F297" s="99">
        <v>36.85</v>
      </c>
      <c r="G297" s="99">
        <v>12.81</v>
      </c>
      <c r="H297" s="99">
        <v>13.68</v>
      </c>
      <c r="I297" s="100"/>
      <c r="J297" s="97">
        <v>226.48</v>
      </c>
      <c r="K297" s="97">
        <v>228.75</v>
      </c>
      <c r="L297" s="101"/>
      <c r="M297" s="102">
        <v>47.5</v>
      </c>
      <c r="N297" s="102">
        <v>276.25</v>
      </c>
    </row>
    <row r="298" spans="1:14" x14ac:dyDescent="0.25">
      <c r="A298" s="95">
        <v>1205252640</v>
      </c>
      <c r="B298" s="96" t="s">
        <v>447</v>
      </c>
      <c r="C298" s="97">
        <v>231.14</v>
      </c>
      <c r="D298" s="98">
        <v>1.2234</v>
      </c>
      <c r="E298" s="99">
        <v>141.71</v>
      </c>
      <c r="F298" s="99">
        <v>36.85</v>
      </c>
      <c r="G298" s="99">
        <v>10.210000000000001</v>
      </c>
      <c r="H298" s="99">
        <v>13.68</v>
      </c>
      <c r="I298" s="100"/>
      <c r="J298" s="97">
        <v>233.83</v>
      </c>
      <c r="K298" s="97">
        <v>233.83</v>
      </c>
      <c r="L298" s="101"/>
      <c r="M298" s="102">
        <v>47.5</v>
      </c>
      <c r="N298" s="102">
        <v>281.33000000000004</v>
      </c>
    </row>
    <row r="299" spans="1:14" x14ac:dyDescent="0.25">
      <c r="A299" s="95">
        <v>1336193754</v>
      </c>
      <c r="B299" s="96" t="s">
        <v>448</v>
      </c>
      <c r="C299" s="97">
        <v>251.93</v>
      </c>
      <c r="D299" s="98">
        <v>1.1847000000000001</v>
      </c>
      <c r="E299" s="99">
        <v>138.59</v>
      </c>
      <c r="F299" s="99">
        <v>36.85</v>
      </c>
      <c r="G299" s="99">
        <v>30.34</v>
      </c>
      <c r="H299" s="99">
        <v>7.18</v>
      </c>
      <c r="I299" s="100"/>
      <c r="J299" s="97">
        <v>245.97</v>
      </c>
      <c r="K299" s="97">
        <v>251.93</v>
      </c>
      <c r="L299" s="101"/>
      <c r="M299" s="102">
        <v>47.5</v>
      </c>
      <c r="N299" s="102">
        <v>299.43</v>
      </c>
    </row>
    <row r="300" spans="1:14" x14ac:dyDescent="0.25">
      <c r="A300" s="101">
        <v>1568454262</v>
      </c>
      <c r="B300" s="96" t="s">
        <v>449</v>
      </c>
      <c r="C300" s="97">
        <v>230.58</v>
      </c>
      <c r="D300" s="98">
        <v>1.0652999999999999</v>
      </c>
      <c r="E300" s="99">
        <v>128.02000000000001</v>
      </c>
      <c r="F300" s="99">
        <v>36.85</v>
      </c>
      <c r="G300" s="99">
        <v>22.25</v>
      </c>
      <c r="H300" s="99">
        <v>0</v>
      </c>
      <c r="I300" s="100"/>
      <c r="J300" s="97">
        <v>216.12</v>
      </c>
      <c r="K300" s="97">
        <v>230.58</v>
      </c>
      <c r="L300" s="101"/>
      <c r="M300" s="102">
        <v>47.5</v>
      </c>
      <c r="N300" s="102">
        <v>278.08000000000004</v>
      </c>
    </row>
    <row r="301" spans="1:14" x14ac:dyDescent="0.25">
      <c r="A301" s="95">
        <v>1811920267</v>
      </c>
      <c r="B301" s="96" t="s">
        <v>450</v>
      </c>
      <c r="C301" s="97">
        <v>255.62</v>
      </c>
      <c r="D301" s="98">
        <v>1.3513999999999999</v>
      </c>
      <c r="E301" s="99">
        <v>151.34</v>
      </c>
      <c r="F301" s="99">
        <v>36.85</v>
      </c>
      <c r="G301" s="99">
        <v>13.71</v>
      </c>
      <c r="H301" s="99">
        <v>13.68</v>
      </c>
      <c r="I301" s="100"/>
      <c r="J301" s="97">
        <v>248.99</v>
      </c>
      <c r="K301" s="97">
        <v>255.62</v>
      </c>
      <c r="L301" s="101"/>
      <c r="M301" s="102">
        <v>47.5</v>
      </c>
      <c r="N301" s="102">
        <v>303.12</v>
      </c>
    </row>
    <row r="302" spans="1:14" x14ac:dyDescent="0.25">
      <c r="A302" s="95">
        <v>1669023685</v>
      </c>
      <c r="B302" s="96" t="s">
        <v>451</v>
      </c>
      <c r="C302" s="97">
        <v>289.82</v>
      </c>
      <c r="D302" s="98">
        <v>1.1695</v>
      </c>
      <c r="E302" s="99">
        <v>138.16999999999999</v>
      </c>
      <c r="F302" s="99">
        <v>36.85</v>
      </c>
      <c r="G302" s="99">
        <v>25.02</v>
      </c>
      <c r="H302" s="99">
        <v>13.68</v>
      </c>
      <c r="I302" s="100"/>
      <c r="J302" s="97">
        <v>246.85</v>
      </c>
      <c r="K302" s="97">
        <v>289.82</v>
      </c>
      <c r="L302" s="101"/>
      <c r="M302" s="102">
        <v>47.5</v>
      </c>
      <c r="N302" s="102">
        <v>337.32</v>
      </c>
    </row>
    <row r="303" spans="1:14" x14ac:dyDescent="0.25">
      <c r="A303" s="95">
        <v>1053380626</v>
      </c>
      <c r="B303" s="96" t="s">
        <v>452</v>
      </c>
      <c r="C303" s="97">
        <v>239.18</v>
      </c>
      <c r="D303" s="98">
        <v>1.2909999999999999</v>
      </c>
      <c r="E303" s="99">
        <v>146.91999999999999</v>
      </c>
      <c r="F303" s="99">
        <v>36.85</v>
      </c>
      <c r="G303" s="99">
        <v>13.42</v>
      </c>
      <c r="H303" s="99">
        <v>13.68</v>
      </c>
      <c r="I303" s="100"/>
      <c r="J303" s="97">
        <v>243.55</v>
      </c>
      <c r="K303" s="97">
        <v>243.55</v>
      </c>
      <c r="L303" s="101"/>
      <c r="M303" s="102">
        <v>47.5</v>
      </c>
      <c r="N303" s="102">
        <v>291.05</v>
      </c>
    </row>
    <row r="304" spans="1:14" x14ac:dyDescent="0.25">
      <c r="A304" s="95">
        <v>1346241627</v>
      </c>
      <c r="B304" s="96" t="s">
        <v>453</v>
      </c>
      <c r="C304" s="97">
        <v>240.59</v>
      </c>
      <c r="D304" s="98">
        <v>1.2488999999999999</v>
      </c>
      <c r="E304" s="99">
        <v>145.91</v>
      </c>
      <c r="F304" s="99">
        <v>36.85</v>
      </c>
      <c r="G304" s="99">
        <v>21.64</v>
      </c>
      <c r="H304" s="99">
        <v>0</v>
      </c>
      <c r="I304" s="100"/>
      <c r="J304" s="97">
        <v>236.08</v>
      </c>
      <c r="K304" s="97">
        <v>240.59</v>
      </c>
      <c r="L304" s="101"/>
      <c r="M304" s="102">
        <v>47.5</v>
      </c>
      <c r="N304" s="102">
        <v>288.09000000000003</v>
      </c>
    </row>
    <row r="305" spans="1:14" x14ac:dyDescent="0.25">
      <c r="A305" s="95">
        <v>1316921190</v>
      </c>
      <c r="B305" s="96" t="s">
        <v>454</v>
      </c>
      <c r="C305" s="97">
        <v>259.61</v>
      </c>
      <c r="D305" s="98">
        <v>1.3568</v>
      </c>
      <c r="E305" s="99">
        <v>149.38999999999999</v>
      </c>
      <c r="F305" s="99">
        <v>36.85</v>
      </c>
      <c r="G305" s="99">
        <v>26.71</v>
      </c>
      <c r="H305" s="99">
        <v>13.68</v>
      </c>
      <c r="I305" s="100"/>
      <c r="J305" s="97">
        <v>261.76</v>
      </c>
      <c r="K305" s="97">
        <v>261.76</v>
      </c>
      <c r="L305" s="101"/>
      <c r="M305" s="102">
        <v>47.5</v>
      </c>
      <c r="N305" s="102">
        <v>309.26</v>
      </c>
    </row>
    <row r="306" spans="1:14" x14ac:dyDescent="0.25">
      <c r="A306" s="95">
        <v>1740278126</v>
      </c>
      <c r="B306" s="96" t="s">
        <v>455</v>
      </c>
      <c r="C306" s="97">
        <v>236.51</v>
      </c>
      <c r="D306" s="98">
        <v>1.2823</v>
      </c>
      <c r="E306" s="99">
        <v>144.58000000000001</v>
      </c>
      <c r="F306" s="99">
        <v>36.85</v>
      </c>
      <c r="G306" s="99">
        <v>8.25</v>
      </c>
      <c r="H306" s="99">
        <v>13.68</v>
      </c>
      <c r="I306" s="100"/>
      <c r="J306" s="97">
        <v>234.88</v>
      </c>
      <c r="K306" s="97">
        <v>236.51</v>
      </c>
      <c r="L306" s="101"/>
      <c r="M306" s="102">
        <v>47.5</v>
      </c>
      <c r="N306" s="102">
        <v>284.01</v>
      </c>
    </row>
    <row r="307" spans="1:14" x14ac:dyDescent="0.25">
      <c r="A307" s="95">
        <v>1740386473</v>
      </c>
      <c r="B307" s="96" t="s">
        <v>456</v>
      </c>
      <c r="C307" s="97">
        <v>237.03</v>
      </c>
      <c r="D307" s="98">
        <v>0.89680000000000004</v>
      </c>
      <c r="E307" s="99">
        <v>115.15</v>
      </c>
      <c r="F307" s="99">
        <v>36.85</v>
      </c>
      <c r="G307" s="99">
        <v>31.32</v>
      </c>
      <c r="H307" s="99">
        <v>13.68</v>
      </c>
      <c r="I307" s="100"/>
      <c r="J307" s="97">
        <v>227.54</v>
      </c>
      <c r="K307" s="97">
        <v>237.03</v>
      </c>
      <c r="L307" s="101"/>
      <c r="M307" s="102">
        <v>47.5</v>
      </c>
      <c r="N307" s="102">
        <v>284.52999999999997</v>
      </c>
    </row>
    <row r="308" spans="1:14" x14ac:dyDescent="0.25">
      <c r="A308" s="95">
        <v>1689628141</v>
      </c>
      <c r="B308" s="96" t="s">
        <v>457</v>
      </c>
      <c r="C308" s="97">
        <v>249.35</v>
      </c>
      <c r="D308" s="98">
        <v>1.2423999999999999</v>
      </c>
      <c r="E308" s="99">
        <v>142.4</v>
      </c>
      <c r="F308" s="99">
        <v>36.85</v>
      </c>
      <c r="G308" s="99">
        <v>18.72</v>
      </c>
      <c r="H308" s="99">
        <v>13.68</v>
      </c>
      <c r="I308" s="100"/>
      <c r="J308" s="97">
        <v>244.46</v>
      </c>
      <c r="K308" s="97">
        <v>249.35</v>
      </c>
      <c r="L308" s="101"/>
      <c r="M308" s="102">
        <v>47.5</v>
      </c>
      <c r="N308" s="102">
        <v>296.85000000000002</v>
      </c>
    </row>
    <row r="309" spans="1:14" x14ac:dyDescent="0.25">
      <c r="A309" s="95">
        <v>1316351034</v>
      </c>
      <c r="B309" s="96" t="s">
        <v>458</v>
      </c>
      <c r="C309" s="97">
        <v>240.27</v>
      </c>
      <c r="D309" s="98">
        <v>1.1149</v>
      </c>
      <c r="E309" s="99">
        <v>130.43</v>
      </c>
      <c r="F309" s="99">
        <v>36.85</v>
      </c>
      <c r="G309" s="99">
        <v>21.97</v>
      </c>
      <c r="H309" s="99">
        <v>13.68</v>
      </c>
      <c r="I309" s="100"/>
      <c r="J309" s="97">
        <v>234.38</v>
      </c>
      <c r="K309" s="97">
        <v>240.27</v>
      </c>
      <c r="L309" s="101"/>
      <c r="M309" s="102">
        <v>47.5</v>
      </c>
      <c r="N309" s="102">
        <v>287.77</v>
      </c>
    </row>
    <row r="310" spans="1:14" x14ac:dyDescent="0.25">
      <c r="A310" s="95">
        <v>1437564739</v>
      </c>
      <c r="B310" s="96" t="s">
        <v>459</v>
      </c>
      <c r="C310" s="97">
        <v>248.56</v>
      </c>
      <c r="D310" s="98">
        <v>1.2762</v>
      </c>
      <c r="E310" s="99">
        <v>143.78</v>
      </c>
      <c r="F310" s="99">
        <v>36.85</v>
      </c>
      <c r="G310" s="99">
        <v>22.17</v>
      </c>
      <c r="H310" s="99">
        <v>13.68</v>
      </c>
      <c r="I310" s="100"/>
      <c r="J310" s="97">
        <v>250.03</v>
      </c>
      <c r="K310" s="97">
        <v>250.03</v>
      </c>
      <c r="L310" s="101"/>
      <c r="M310" s="102">
        <v>47.5</v>
      </c>
      <c r="N310" s="102">
        <v>297.52999999999997</v>
      </c>
    </row>
    <row r="311" spans="1:14" x14ac:dyDescent="0.25">
      <c r="A311" s="101">
        <v>1649685132</v>
      </c>
      <c r="B311" s="96" t="s">
        <v>460</v>
      </c>
      <c r="C311" s="97">
        <v>241.7</v>
      </c>
      <c r="D311" s="98">
        <v>1.1614</v>
      </c>
      <c r="E311" s="99">
        <v>135.05000000000001</v>
      </c>
      <c r="F311" s="99">
        <v>36.85</v>
      </c>
      <c r="G311" s="99">
        <v>21.98</v>
      </c>
      <c r="H311" s="99">
        <v>13.68</v>
      </c>
      <c r="I311" s="100"/>
      <c r="J311" s="97">
        <v>239.73</v>
      </c>
      <c r="K311" s="97">
        <v>241.7</v>
      </c>
      <c r="L311" s="101"/>
      <c r="M311" s="102">
        <v>47.5</v>
      </c>
      <c r="N311" s="102">
        <v>289.2</v>
      </c>
    </row>
    <row r="312" spans="1:14" x14ac:dyDescent="0.25">
      <c r="A312" s="101">
        <v>1063838381</v>
      </c>
      <c r="B312" s="96" t="s">
        <v>461</v>
      </c>
      <c r="C312" s="97">
        <v>244.7</v>
      </c>
      <c r="D312" s="98">
        <v>1.3185</v>
      </c>
      <c r="E312" s="99">
        <v>146.09</v>
      </c>
      <c r="F312" s="99">
        <v>36.85</v>
      </c>
      <c r="G312" s="99">
        <v>18.059999999999999</v>
      </c>
      <c r="H312" s="99">
        <v>13.68</v>
      </c>
      <c r="I312" s="100"/>
      <c r="J312" s="97">
        <v>247.96</v>
      </c>
      <c r="K312" s="97">
        <v>247.96</v>
      </c>
      <c r="L312" s="101"/>
      <c r="M312" s="102">
        <v>47.5</v>
      </c>
      <c r="N312" s="102">
        <v>295.46000000000004</v>
      </c>
    </row>
    <row r="313" spans="1:14" x14ac:dyDescent="0.25">
      <c r="A313" s="101">
        <v>1003869983</v>
      </c>
      <c r="B313" s="96" t="s">
        <v>462</v>
      </c>
      <c r="C313" s="97">
        <v>218.71</v>
      </c>
      <c r="D313" s="98">
        <v>0.97409999999999997</v>
      </c>
      <c r="E313" s="99">
        <v>121.24</v>
      </c>
      <c r="F313" s="99">
        <v>36.85</v>
      </c>
      <c r="G313" s="99">
        <v>8.1300000000000008</v>
      </c>
      <c r="H313" s="99">
        <v>13.68</v>
      </c>
      <c r="I313" s="100"/>
      <c r="J313" s="97">
        <v>207.78</v>
      </c>
      <c r="K313" s="97">
        <v>218.71</v>
      </c>
      <c r="L313" s="101"/>
      <c r="M313" s="102">
        <v>47.5</v>
      </c>
      <c r="N313" s="102">
        <v>266.21000000000004</v>
      </c>
    </row>
    <row r="314" spans="1:14" x14ac:dyDescent="0.25">
      <c r="A314" s="95">
        <v>1093708497</v>
      </c>
      <c r="B314" s="96" t="s">
        <v>463</v>
      </c>
      <c r="C314" s="97">
        <v>238.09</v>
      </c>
      <c r="D314" s="98">
        <v>1.1548</v>
      </c>
      <c r="E314" s="99">
        <v>134.6</v>
      </c>
      <c r="F314" s="99">
        <v>36.85</v>
      </c>
      <c r="G314" s="99">
        <v>12.75</v>
      </c>
      <c r="H314" s="99">
        <v>13.68</v>
      </c>
      <c r="I314" s="100"/>
      <c r="J314" s="97">
        <v>228.55</v>
      </c>
      <c r="K314" s="97">
        <v>238.09</v>
      </c>
      <c r="L314" s="101"/>
      <c r="M314" s="102">
        <v>47.5</v>
      </c>
      <c r="N314" s="102">
        <v>285.59000000000003</v>
      </c>
    </row>
    <row r="315" spans="1:14" x14ac:dyDescent="0.25">
      <c r="A315" s="95">
        <v>1295733517</v>
      </c>
      <c r="B315" s="96" t="s">
        <v>464</v>
      </c>
      <c r="C315" s="97">
        <v>252.11</v>
      </c>
      <c r="D315" s="98">
        <v>1.2948</v>
      </c>
      <c r="E315" s="99">
        <v>146.38</v>
      </c>
      <c r="F315" s="99">
        <v>36.85</v>
      </c>
      <c r="G315" s="99">
        <v>15.87</v>
      </c>
      <c r="H315" s="99">
        <v>13.68</v>
      </c>
      <c r="I315" s="100"/>
      <c r="J315" s="97">
        <v>245.76</v>
      </c>
      <c r="K315" s="97">
        <v>252.11</v>
      </c>
      <c r="L315" s="101"/>
      <c r="M315" s="102">
        <v>47.5</v>
      </c>
      <c r="N315" s="102">
        <v>299.61</v>
      </c>
    </row>
    <row r="316" spans="1:14" x14ac:dyDescent="0.25">
      <c r="A316" s="95">
        <v>1649268335</v>
      </c>
      <c r="B316" s="96" t="s">
        <v>465</v>
      </c>
      <c r="C316" s="97">
        <v>231.92</v>
      </c>
      <c r="D316" s="98">
        <v>1.2048000000000001</v>
      </c>
      <c r="E316" s="99">
        <v>139.47</v>
      </c>
      <c r="F316" s="99">
        <v>36.85</v>
      </c>
      <c r="G316" s="99">
        <v>7.81</v>
      </c>
      <c r="H316" s="99">
        <v>7.18</v>
      </c>
      <c r="I316" s="100"/>
      <c r="J316" s="97">
        <v>220.96</v>
      </c>
      <c r="K316" s="97">
        <v>231.92</v>
      </c>
      <c r="L316" s="101"/>
      <c r="M316" s="102">
        <v>47.5</v>
      </c>
      <c r="N316" s="102">
        <v>279.41999999999996</v>
      </c>
    </row>
    <row r="317" spans="1:14" x14ac:dyDescent="0.25">
      <c r="A317" s="95">
        <v>1861504946</v>
      </c>
      <c r="B317" s="96" t="s">
        <v>466</v>
      </c>
      <c r="C317" s="97">
        <v>249.41</v>
      </c>
      <c r="D317" s="98">
        <v>1.2343</v>
      </c>
      <c r="E317" s="99">
        <v>141.62</v>
      </c>
      <c r="F317" s="99">
        <v>36.85</v>
      </c>
      <c r="G317" s="99">
        <v>25.64</v>
      </c>
      <c r="H317" s="99">
        <v>13.68</v>
      </c>
      <c r="I317" s="100"/>
      <c r="J317" s="97">
        <v>251.55</v>
      </c>
      <c r="K317" s="97">
        <v>251.55</v>
      </c>
      <c r="L317" s="101"/>
      <c r="M317" s="102">
        <v>47.5</v>
      </c>
      <c r="N317" s="102">
        <v>299.05</v>
      </c>
    </row>
    <row r="318" spans="1:14" x14ac:dyDescent="0.25">
      <c r="A318" s="95">
        <v>1053395210</v>
      </c>
      <c r="B318" s="96" t="s">
        <v>467</v>
      </c>
      <c r="C318" s="97">
        <v>222.71</v>
      </c>
      <c r="D318" s="98">
        <v>1.0379</v>
      </c>
      <c r="E318" s="99">
        <v>126.49</v>
      </c>
      <c r="F318" s="99">
        <v>36.85</v>
      </c>
      <c r="G318" s="99">
        <v>7.95</v>
      </c>
      <c r="H318" s="99">
        <v>13.68</v>
      </c>
      <c r="I318" s="100"/>
      <c r="J318" s="97">
        <v>213.64</v>
      </c>
      <c r="K318" s="97">
        <v>222.71</v>
      </c>
      <c r="L318" s="101"/>
      <c r="M318" s="102">
        <v>47.5</v>
      </c>
      <c r="N318" s="102">
        <v>270.21000000000004</v>
      </c>
    </row>
    <row r="319" spans="1:14" x14ac:dyDescent="0.25">
      <c r="A319" s="95">
        <v>1043263981</v>
      </c>
      <c r="B319" s="101" t="s">
        <v>468</v>
      </c>
      <c r="C319" s="97">
        <v>225.8</v>
      </c>
      <c r="D319" s="98">
        <v>1.1227</v>
      </c>
      <c r="E319" s="99">
        <v>133.16999999999999</v>
      </c>
      <c r="F319" s="99">
        <v>36.85</v>
      </c>
      <c r="G319" s="99">
        <v>13.44</v>
      </c>
      <c r="H319" s="99">
        <v>13.68</v>
      </c>
      <c r="I319" s="100"/>
      <c r="J319" s="97">
        <v>227.7</v>
      </c>
      <c r="K319" s="97">
        <v>227.7</v>
      </c>
      <c r="L319" s="101"/>
      <c r="M319" s="102">
        <v>47.5</v>
      </c>
      <c r="N319" s="102">
        <v>275.2</v>
      </c>
    </row>
    <row r="320" spans="1:14" x14ac:dyDescent="0.25">
      <c r="A320" s="95">
        <v>1003205337</v>
      </c>
      <c r="B320" s="96" t="s">
        <v>469</v>
      </c>
      <c r="C320" s="97">
        <v>252.45</v>
      </c>
      <c r="D320" s="98">
        <v>1.1976</v>
      </c>
      <c r="E320" s="99">
        <v>138.85</v>
      </c>
      <c r="F320" s="99">
        <v>36.85</v>
      </c>
      <c r="G320" s="99">
        <v>31.76</v>
      </c>
      <c r="H320" s="99">
        <v>13.68</v>
      </c>
      <c r="I320" s="100"/>
      <c r="J320" s="97">
        <v>255.42</v>
      </c>
      <c r="K320" s="97">
        <v>255.42</v>
      </c>
      <c r="L320" s="101"/>
      <c r="M320" s="102">
        <v>47.5</v>
      </c>
      <c r="N320" s="102">
        <v>302.91999999999996</v>
      </c>
    </row>
    <row r="321" spans="1:14" x14ac:dyDescent="0.25">
      <c r="A321" s="95">
        <v>1184712580</v>
      </c>
      <c r="B321" s="96" t="s">
        <v>470</v>
      </c>
      <c r="C321" s="97">
        <v>229.42</v>
      </c>
      <c r="D321" s="98">
        <v>1.1011</v>
      </c>
      <c r="E321" s="99">
        <v>133.22999999999999</v>
      </c>
      <c r="F321" s="99">
        <v>36.85</v>
      </c>
      <c r="G321" s="99">
        <v>18.09</v>
      </c>
      <c r="H321" s="99">
        <v>0</v>
      </c>
      <c r="I321" s="100"/>
      <c r="J321" s="97">
        <v>217.34</v>
      </c>
      <c r="K321" s="97">
        <v>229.42</v>
      </c>
      <c r="L321" s="101"/>
      <c r="M321" s="102">
        <v>47.5</v>
      </c>
      <c r="N321" s="102">
        <v>276.91999999999996</v>
      </c>
    </row>
    <row r="322" spans="1:14" x14ac:dyDescent="0.25">
      <c r="A322" s="95">
        <v>1407843097</v>
      </c>
      <c r="B322" s="101" t="s">
        <v>471</v>
      </c>
      <c r="C322" s="97">
        <v>237.33</v>
      </c>
      <c r="D322" s="98">
        <v>1.2513000000000001</v>
      </c>
      <c r="E322" s="99">
        <v>144.72999999999999</v>
      </c>
      <c r="F322" s="99">
        <v>36.85</v>
      </c>
      <c r="G322" s="99">
        <v>22.86</v>
      </c>
      <c r="H322" s="99">
        <v>0</v>
      </c>
      <c r="I322" s="100"/>
      <c r="J322" s="97">
        <v>236.13</v>
      </c>
      <c r="K322" s="97">
        <v>237.33</v>
      </c>
      <c r="L322" s="101"/>
      <c r="M322" s="102">
        <v>47.5</v>
      </c>
      <c r="N322" s="102">
        <v>284.83000000000004</v>
      </c>
    </row>
    <row r="323" spans="1:14" x14ac:dyDescent="0.25">
      <c r="A323" s="95">
        <v>1891346797</v>
      </c>
      <c r="B323" s="96" t="s">
        <v>472</v>
      </c>
      <c r="C323" s="97">
        <v>241.18</v>
      </c>
      <c r="D323" s="98">
        <v>1.1143000000000001</v>
      </c>
      <c r="E323" s="99">
        <v>132.41999999999999</v>
      </c>
      <c r="F323" s="99">
        <v>36.85</v>
      </c>
      <c r="G323" s="99">
        <v>23.69</v>
      </c>
      <c r="H323" s="99">
        <v>13.68</v>
      </c>
      <c r="I323" s="100"/>
      <c r="J323" s="97">
        <v>238.67</v>
      </c>
      <c r="K323" s="97">
        <v>241.18</v>
      </c>
      <c r="L323" s="101"/>
      <c r="M323" s="102">
        <v>47.5</v>
      </c>
      <c r="N323" s="102">
        <v>288.68</v>
      </c>
    </row>
    <row r="324" spans="1:14" x14ac:dyDescent="0.25">
      <c r="A324" s="95">
        <v>1629511597</v>
      </c>
      <c r="B324" s="96" t="s">
        <v>473</v>
      </c>
      <c r="C324" s="97">
        <v>203.75</v>
      </c>
      <c r="D324" s="98">
        <v>0.86719999999999997</v>
      </c>
      <c r="E324" s="99">
        <v>113.92</v>
      </c>
      <c r="F324" s="99">
        <v>36.85</v>
      </c>
      <c r="G324" s="99">
        <v>9.85</v>
      </c>
      <c r="H324" s="99">
        <v>13.68</v>
      </c>
      <c r="I324" s="100"/>
      <c r="J324" s="97">
        <v>201.32</v>
      </c>
      <c r="K324" s="97">
        <v>203.75</v>
      </c>
      <c r="L324" s="101"/>
      <c r="M324" s="102">
        <v>47.5</v>
      </c>
      <c r="N324" s="102">
        <v>251.25</v>
      </c>
    </row>
    <row r="325" spans="1:14" x14ac:dyDescent="0.25">
      <c r="A325" s="95">
        <v>1164725198</v>
      </c>
      <c r="B325" s="96" t="s">
        <v>474</v>
      </c>
      <c r="C325" s="97">
        <v>257.22000000000003</v>
      </c>
      <c r="D325" s="98">
        <v>1.4363999999999999</v>
      </c>
      <c r="E325" s="99">
        <v>158.29</v>
      </c>
      <c r="F325" s="99">
        <v>36.85</v>
      </c>
      <c r="G325" s="99">
        <v>13.72</v>
      </c>
      <c r="H325" s="99">
        <v>13.68</v>
      </c>
      <c r="I325" s="100"/>
      <c r="J325" s="97">
        <v>257.02999999999997</v>
      </c>
      <c r="K325" s="97">
        <v>257.22000000000003</v>
      </c>
      <c r="L325" s="101"/>
      <c r="M325" s="102">
        <v>47.5</v>
      </c>
      <c r="N325" s="102">
        <v>304.72000000000003</v>
      </c>
    </row>
    <row r="326" spans="1:14" x14ac:dyDescent="0.25">
      <c r="A326" s="95">
        <v>1710244827</v>
      </c>
      <c r="B326" s="96" t="s">
        <v>475</v>
      </c>
      <c r="C326" s="97">
        <v>281.39</v>
      </c>
      <c r="D326" s="98">
        <v>1.3788</v>
      </c>
      <c r="E326" s="99">
        <v>156.86000000000001</v>
      </c>
      <c r="F326" s="99">
        <v>36.85</v>
      </c>
      <c r="G326" s="99">
        <v>35.76</v>
      </c>
      <c r="H326" s="99">
        <v>13.68</v>
      </c>
      <c r="I326" s="100"/>
      <c r="J326" s="97">
        <v>280.83999999999997</v>
      </c>
      <c r="K326" s="97">
        <v>281.39</v>
      </c>
      <c r="L326" s="101"/>
      <c r="M326" s="102">
        <v>47.5</v>
      </c>
      <c r="N326" s="102">
        <v>328.89</v>
      </c>
    </row>
    <row r="327" spans="1:14" x14ac:dyDescent="0.25">
      <c r="A327" s="95">
        <v>1821414269</v>
      </c>
      <c r="B327" s="96" t="s">
        <v>476</v>
      </c>
      <c r="C327" s="97">
        <v>247.48</v>
      </c>
      <c r="D327" s="98">
        <v>1.2612000000000001</v>
      </c>
      <c r="E327" s="99">
        <v>140.37</v>
      </c>
      <c r="F327" s="99">
        <v>36.85</v>
      </c>
      <c r="G327" s="99">
        <v>18.54</v>
      </c>
      <c r="H327" s="99">
        <v>13.68</v>
      </c>
      <c r="I327" s="100"/>
      <c r="J327" s="97">
        <v>241.9</v>
      </c>
      <c r="K327" s="97">
        <v>247.48</v>
      </c>
      <c r="L327" s="101"/>
      <c r="M327" s="102">
        <v>47.5</v>
      </c>
      <c r="N327" s="102">
        <v>294.98</v>
      </c>
    </row>
    <row r="328" spans="1:14" x14ac:dyDescent="0.25">
      <c r="A328" s="95">
        <v>1225588536</v>
      </c>
      <c r="B328" s="96" t="s">
        <v>477</v>
      </c>
      <c r="C328" s="97">
        <v>248.96</v>
      </c>
      <c r="D328" s="98">
        <v>1.2423999999999999</v>
      </c>
      <c r="E328" s="99">
        <v>140.54</v>
      </c>
      <c r="F328" s="99">
        <v>36.85</v>
      </c>
      <c r="G328" s="99">
        <v>20.43</v>
      </c>
      <c r="H328" s="99">
        <v>13.68</v>
      </c>
      <c r="I328" s="100"/>
      <c r="J328" s="97">
        <v>244.28</v>
      </c>
      <c r="K328" s="97">
        <v>248.96</v>
      </c>
      <c r="L328" s="101"/>
      <c r="M328" s="102">
        <v>47.5</v>
      </c>
      <c r="N328" s="102">
        <v>296.46000000000004</v>
      </c>
    </row>
    <row r="329" spans="1:14" x14ac:dyDescent="0.25">
      <c r="A329" s="101">
        <v>1346851052</v>
      </c>
      <c r="B329" s="96" t="s">
        <v>478</v>
      </c>
      <c r="C329" s="97">
        <v>249.53</v>
      </c>
      <c r="D329" s="98">
        <v>1.2375</v>
      </c>
      <c r="E329" s="99">
        <v>142.07</v>
      </c>
      <c r="F329" s="99">
        <v>36.85</v>
      </c>
      <c r="G329" s="99">
        <v>11.84</v>
      </c>
      <c r="H329" s="99">
        <v>13.68</v>
      </c>
      <c r="I329" s="100"/>
      <c r="J329" s="97">
        <v>236.13</v>
      </c>
      <c r="K329" s="97">
        <v>249.53</v>
      </c>
      <c r="L329" s="101"/>
      <c r="M329" s="102">
        <v>47.5</v>
      </c>
      <c r="N329" s="102">
        <v>297.02999999999997</v>
      </c>
    </row>
    <row r="330" spans="1:14" x14ac:dyDescent="0.25">
      <c r="A330" s="95">
        <v>1174149934</v>
      </c>
      <c r="B330" s="96" t="s">
        <v>479</v>
      </c>
      <c r="C330" s="97">
        <v>231.52</v>
      </c>
      <c r="D330" s="98">
        <v>1.1688924274286907</v>
      </c>
      <c r="E330" s="99">
        <v>135.38999999999999</v>
      </c>
      <c r="F330" s="99">
        <v>36.85</v>
      </c>
      <c r="G330" s="99">
        <v>12.44</v>
      </c>
      <c r="H330" s="99">
        <v>13.68</v>
      </c>
      <c r="I330" s="100"/>
      <c r="J330" s="97">
        <v>229.11</v>
      </c>
      <c r="K330" s="97">
        <v>231.52</v>
      </c>
      <c r="L330" s="101"/>
      <c r="M330" s="102">
        <v>47.5</v>
      </c>
      <c r="N330" s="102">
        <v>279.02</v>
      </c>
    </row>
    <row r="331" spans="1:14" x14ac:dyDescent="0.25">
      <c r="A331" s="103">
        <v>1922611102</v>
      </c>
      <c r="B331" s="103" t="s">
        <v>480</v>
      </c>
      <c r="C331" s="97">
        <v>237.01</v>
      </c>
      <c r="D331" s="98">
        <v>1.2094</v>
      </c>
      <c r="E331" s="99">
        <v>141.6</v>
      </c>
      <c r="F331" s="99">
        <v>36.85</v>
      </c>
      <c r="G331" s="99">
        <v>7.81</v>
      </c>
      <c r="H331" s="99">
        <v>7.18</v>
      </c>
      <c r="I331" s="100"/>
      <c r="J331" s="97">
        <v>223.42</v>
      </c>
      <c r="K331" s="97">
        <v>237.01</v>
      </c>
      <c r="L331" s="101"/>
      <c r="M331" s="102">
        <v>47.5</v>
      </c>
      <c r="N331" s="102">
        <v>284.51</v>
      </c>
    </row>
    <row r="332" spans="1:14" x14ac:dyDescent="0.25">
      <c r="A332" s="103">
        <v>1861003485</v>
      </c>
      <c r="B332" s="103" t="s">
        <v>481</v>
      </c>
      <c r="C332" s="97">
        <v>240.1</v>
      </c>
      <c r="D332" s="98">
        <v>1.2057</v>
      </c>
      <c r="E332" s="99">
        <v>139.38</v>
      </c>
      <c r="F332" s="99">
        <v>36.85</v>
      </c>
      <c r="G332" s="99">
        <v>8.9499999999999993</v>
      </c>
      <c r="H332" s="99">
        <v>13.68</v>
      </c>
      <c r="I332" s="100"/>
      <c r="J332" s="97">
        <v>229.68</v>
      </c>
      <c r="K332" s="97">
        <v>240.1</v>
      </c>
      <c r="L332" s="101"/>
      <c r="M332" s="102">
        <v>47.5</v>
      </c>
      <c r="N332" s="102">
        <v>287.60000000000002</v>
      </c>
    </row>
    <row r="333" spans="1:14" x14ac:dyDescent="0.25">
      <c r="A333" s="95">
        <v>1669083291</v>
      </c>
      <c r="B333" s="96" t="s">
        <v>482</v>
      </c>
      <c r="C333" s="97">
        <v>232.27</v>
      </c>
      <c r="D333" s="98">
        <v>1.0904</v>
      </c>
      <c r="E333" s="99">
        <v>129.87</v>
      </c>
      <c r="F333" s="99">
        <v>36.85</v>
      </c>
      <c r="G333" s="99">
        <v>7.95</v>
      </c>
      <c r="H333" s="99">
        <v>13.68</v>
      </c>
      <c r="I333" s="100"/>
      <c r="J333" s="97">
        <v>217.54</v>
      </c>
      <c r="K333" s="97">
        <v>232.27</v>
      </c>
      <c r="L333" s="101"/>
      <c r="M333" s="102">
        <v>47.5</v>
      </c>
      <c r="N333" s="102">
        <v>279.77</v>
      </c>
    </row>
    <row r="334" spans="1:14" x14ac:dyDescent="0.25">
      <c r="A334" s="95">
        <v>1699313544</v>
      </c>
      <c r="B334" s="96" t="s">
        <v>483</v>
      </c>
      <c r="C334" s="97">
        <v>249.2</v>
      </c>
      <c r="D334" s="98">
        <v>1.0186999999999999</v>
      </c>
      <c r="E334" s="99">
        <v>124.79</v>
      </c>
      <c r="F334" s="99">
        <v>36.85</v>
      </c>
      <c r="G334" s="99">
        <v>18.02</v>
      </c>
      <c r="H334" s="99">
        <v>13.68</v>
      </c>
      <c r="I334" s="100"/>
      <c r="J334" s="97">
        <v>223.31</v>
      </c>
      <c r="K334" s="97">
        <v>249.2</v>
      </c>
      <c r="L334" s="101"/>
      <c r="M334" s="102">
        <v>47.5</v>
      </c>
      <c r="N334" s="102">
        <v>296.7</v>
      </c>
    </row>
    <row r="335" spans="1:14" x14ac:dyDescent="0.25">
      <c r="A335" s="103">
        <v>1336602358</v>
      </c>
      <c r="B335" s="103" t="s">
        <v>484</v>
      </c>
      <c r="C335" s="97">
        <v>237.11</v>
      </c>
      <c r="D335" s="98">
        <v>1.1299999999999999</v>
      </c>
      <c r="E335" s="99">
        <v>134.03</v>
      </c>
      <c r="F335" s="99">
        <v>36.85</v>
      </c>
      <c r="G335" s="99">
        <v>18.63</v>
      </c>
      <c r="H335" s="99">
        <v>13.68</v>
      </c>
      <c r="I335" s="100"/>
      <c r="J335" s="97">
        <v>234.68</v>
      </c>
      <c r="K335" s="97">
        <v>237.11</v>
      </c>
      <c r="L335" s="101"/>
      <c r="M335" s="102">
        <v>47.5</v>
      </c>
      <c r="N335" s="102">
        <v>284.61</v>
      </c>
    </row>
    <row r="336" spans="1:14" x14ac:dyDescent="0.25">
      <c r="A336" s="95">
        <v>1144868092</v>
      </c>
      <c r="B336" s="96" t="s">
        <v>485</v>
      </c>
      <c r="C336" s="97">
        <v>239</v>
      </c>
      <c r="D336" s="98">
        <v>1.1134999999999999</v>
      </c>
      <c r="E336" s="99">
        <v>133.02000000000001</v>
      </c>
      <c r="F336" s="99">
        <v>36.85</v>
      </c>
      <c r="G336" s="99">
        <v>16.48</v>
      </c>
      <c r="H336" s="99">
        <v>13.68</v>
      </c>
      <c r="I336" s="100"/>
      <c r="J336" s="97">
        <v>231.03</v>
      </c>
      <c r="K336" s="97">
        <v>239</v>
      </c>
      <c r="L336" s="101"/>
      <c r="M336" s="102">
        <v>47.5</v>
      </c>
      <c r="N336" s="102">
        <v>286.5</v>
      </c>
    </row>
    <row r="337" spans="1:14" x14ac:dyDescent="0.25">
      <c r="A337" s="95">
        <v>1821551797</v>
      </c>
      <c r="B337" s="96" t="s">
        <v>486</v>
      </c>
      <c r="C337" s="97">
        <v>231.43</v>
      </c>
      <c r="D337" s="98">
        <v>1.1921999999999999</v>
      </c>
      <c r="E337" s="99">
        <v>137.57</v>
      </c>
      <c r="F337" s="99">
        <v>36.85</v>
      </c>
      <c r="G337" s="99">
        <v>10.52</v>
      </c>
      <c r="H337" s="99">
        <v>7.18</v>
      </c>
      <c r="I337" s="100"/>
      <c r="J337" s="97">
        <v>221.9</v>
      </c>
      <c r="K337" s="97">
        <v>231.43</v>
      </c>
      <c r="L337" s="101"/>
      <c r="M337" s="102">
        <v>47.5</v>
      </c>
      <c r="N337" s="102">
        <v>278.93</v>
      </c>
    </row>
    <row r="338" spans="1:14" x14ac:dyDescent="0.25">
      <c r="A338" s="95">
        <v>1194381681</v>
      </c>
      <c r="B338" s="96" t="s">
        <v>487</v>
      </c>
      <c r="C338" s="97">
        <v>237.77</v>
      </c>
      <c r="D338" s="98">
        <v>1.1845000000000001</v>
      </c>
      <c r="E338" s="99">
        <v>137.41</v>
      </c>
      <c r="F338" s="99">
        <v>36.85</v>
      </c>
      <c r="G338" s="99">
        <v>16.420000000000002</v>
      </c>
      <c r="H338" s="99">
        <v>13.68</v>
      </c>
      <c r="I338" s="100"/>
      <c r="J338" s="97">
        <v>236.04</v>
      </c>
      <c r="K338" s="97">
        <v>237.77</v>
      </c>
      <c r="L338" s="101"/>
      <c r="M338" s="102">
        <v>47.5</v>
      </c>
      <c r="N338" s="102">
        <v>285.27</v>
      </c>
    </row>
    <row r="339" spans="1:14" x14ac:dyDescent="0.25">
      <c r="A339" s="95">
        <v>1528544145</v>
      </c>
      <c r="B339" s="96" t="s">
        <v>488</v>
      </c>
      <c r="C339" s="97">
        <v>256.08999999999997</v>
      </c>
      <c r="D339" s="98">
        <v>1.3976</v>
      </c>
      <c r="E339" s="99">
        <v>152.68</v>
      </c>
      <c r="F339" s="99">
        <v>36.85</v>
      </c>
      <c r="G339" s="99">
        <v>16.100000000000001</v>
      </c>
      <c r="H339" s="99">
        <v>13.68</v>
      </c>
      <c r="I339" s="100"/>
      <c r="J339" s="97">
        <v>253.3</v>
      </c>
      <c r="K339" s="97">
        <v>256.08999999999997</v>
      </c>
      <c r="L339" s="101"/>
      <c r="M339" s="102">
        <v>47.5</v>
      </c>
      <c r="N339" s="102">
        <v>303.58999999999997</v>
      </c>
    </row>
    <row r="340" spans="1:14" x14ac:dyDescent="0.25">
      <c r="A340" s="95">
        <v>1699336776</v>
      </c>
      <c r="B340" s="96" t="s">
        <v>489</v>
      </c>
      <c r="C340" s="97">
        <v>235.86</v>
      </c>
      <c r="D340" s="98">
        <v>1.0740000000000001</v>
      </c>
      <c r="E340" s="99">
        <v>128.75</v>
      </c>
      <c r="F340" s="99">
        <v>36.85</v>
      </c>
      <c r="G340" s="99">
        <v>8.1300000000000008</v>
      </c>
      <c r="H340" s="99">
        <v>13.68</v>
      </c>
      <c r="I340" s="100"/>
      <c r="J340" s="97">
        <v>216.46</v>
      </c>
      <c r="K340" s="97">
        <v>235.86</v>
      </c>
      <c r="L340" s="101"/>
      <c r="M340" s="102">
        <v>47.5</v>
      </c>
      <c r="N340" s="102">
        <v>283.36</v>
      </c>
    </row>
    <row r="341" spans="1:14" x14ac:dyDescent="0.25">
      <c r="A341" s="95">
        <v>1215982525</v>
      </c>
      <c r="B341" s="96" t="s">
        <v>490</v>
      </c>
      <c r="C341" s="97">
        <v>244.05</v>
      </c>
      <c r="D341" s="98">
        <v>1.1776</v>
      </c>
      <c r="E341" s="99">
        <v>138.34</v>
      </c>
      <c r="F341" s="99">
        <v>36.85</v>
      </c>
      <c r="G341" s="99">
        <v>18.47</v>
      </c>
      <c r="H341" s="99">
        <v>13.68</v>
      </c>
      <c r="I341" s="100"/>
      <c r="J341" s="97">
        <v>239.48</v>
      </c>
      <c r="K341" s="97">
        <v>244.05</v>
      </c>
      <c r="L341" s="101"/>
      <c r="M341" s="102">
        <v>47.5</v>
      </c>
      <c r="N341" s="102">
        <v>291.55</v>
      </c>
    </row>
    <row r="342" spans="1:14" x14ac:dyDescent="0.25">
      <c r="A342" s="95">
        <v>1427003110</v>
      </c>
      <c r="B342" s="96" t="s">
        <v>491</v>
      </c>
      <c r="C342" s="97">
        <v>234.44</v>
      </c>
      <c r="D342" s="98">
        <v>1.0713999999999999</v>
      </c>
      <c r="E342" s="99">
        <v>129.03</v>
      </c>
      <c r="F342" s="99">
        <v>36.85</v>
      </c>
      <c r="G342" s="99">
        <v>16.48</v>
      </c>
      <c r="H342" s="99">
        <v>13.68</v>
      </c>
      <c r="I342" s="100"/>
      <c r="J342" s="97">
        <v>226.43</v>
      </c>
      <c r="K342" s="97">
        <v>234.44</v>
      </c>
      <c r="L342" s="101"/>
      <c r="M342" s="102">
        <v>47.5</v>
      </c>
      <c r="N342" s="102">
        <v>281.94</v>
      </c>
    </row>
    <row r="343" spans="1:14" x14ac:dyDescent="0.25">
      <c r="A343" s="95">
        <v>1598710949</v>
      </c>
      <c r="B343" s="96" t="s">
        <v>492</v>
      </c>
      <c r="C343" s="97">
        <v>235.82</v>
      </c>
      <c r="D343" s="98">
        <v>1.1682999999999999</v>
      </c>
      <c r="E343" s="99">
        <v>135.86000000000001</v>
      </c>
      <c r="F343" s="99">
        <v>36.85</v>
      </c>
      <c r="G343" s="99">
        <v>16.04</v>
      </c>
      <c r="H343" s="99">
        <v>13.68</v>
      </c>
      <c r="I343" s="100"/>
      <c r="J343" s="97">
        <v>233.81</v>
      </c>
      <c r="K343" s="97">
        <v>235.82</v>
      </c>
      <c r="L343" s="101"/>
      <c r="M343" s="102">
        <v>47.5</v>
      </c>
      <c r="N343" s="102">
        <v>283.32</v>
      </c>
    </row>
    <row r="344" spans="1:14" x14ac:dyDescent="0.25">
      <c r="A344" s="95">
        <v>1770538092</v>
      </c>
      <c r="B344" s="96" t="s">
        <v>493</v>
      </c>
      <c r="C344" s="97">
        <v>246.52</v>
      </c>
      <c r="D344" s="98">
        <v>1.1347</v>
      </c>
      <c r="E344" s="99">
        <v>134.18</v>
      </c>
      <c r="F344" s="99">
        <v>36.85</v>
      </c>
      <c r="G344" s="99">
        <v>11.85</v>
      </c>
      <c r="H344" s="99">
        <v>13.68</v>
      </c>
      <c r="I344" s="100"/>
      <c r="J344" s="97">
        <v>227.03</v>
      </c>
      <c r="K344" s="97">
        <v>246.52</v>
      </c>
      <c r="L344" s="101"/>
      <c r="M344" s="102">
        <v>47.5</v>
      </c>
      <c r="N344" s="102">
        <v>294.02</v>
      </c>
    </row>
    <row r="345" spans="1:14" x14ac:dyDescent="0.25">
      <c r="A345" s="95">
        <v>1851836118</v>
      </c>
      <c r="B345" s="96" t="s">
        <v>494</v>
      </c>
      <c r="C345" s="97">
        <v>230.2</v>
      </c>
      <c r="D345" s="98">
        <v>1.0442</v>
      </c>
      <c r="E345" s="99">
        <v>126.78</v>
      </c>
      <c r="F345" s="99">
        <v>36.85</v>
      </c>
      <c r="G345" s="99">
        <v>11.73</v>
      </c>
      <c r="H345" s="99">
        <v>13.68</v>
      </c>
      <c r="I345" s="100"/>
      <c r="J345" s="97">
        <v>218.34</v>
      </c>
      <c r="K345" s="97">
        <v>230.2</v>
      </c>
      <c r="L345" s="101"/>
      <c r="M345" s="102">
        <v>47.5</v>
      </c>
      <c r="N345" s="102">
        <v>277.7</v>
      </c>
    </row>
    <row r="346" spans="1:14" x14ac:dyDescent="0.25">
      <c r="A346" s="95">
        <v>1871548487</v>
      </c>
      <c r="B346" s="96" t="s">
        <v>495</v>
      </c>
      <c r="C346" s="97">
        <v>231.82</v>
      </c>
      <c r="D346" s="98">
        <v>1.0486</v>
      </c>
      <c r="E346" s="99">
        <v>126.69</v>
      </c>
      <c r="F346" s="99">
        <v>36.85</v>
      </c>
      <c r="G346" s="99">
        <v>19.29</v>
      </c>
      <c r="H346" s="99">
        <v>13.68</v>
      </c>
      <c r="I346" s="100"/>
      <c r="J346" s="97">
        <v>226.97</v>
      </c>
      <c r="K346" s="97">
        <v>231.82</v>
      </c>
      <c r="L346" s="101"/>
      <c r="M346" s="102">
        <v>47.5</v>
      </c>
      <c r="N346" s="102">
        <v>279.32</v>
      </c>
    </row>
    <row r="347" spans="1:14" x14ac:dyDescent="0.25">
      <c r="A347" s="95">
        <v>1467407775</v>
      </c>
      <c r="B347" s="96" t="s">
        <v>496</v>
      </c>
      <c r="C347" s="97">
        <v>241.35</v>
      </c>
      <c r="D347" s="98">
        <v>1.1006</v>
      </c>
      <c r="E347" s="99">
        <v>131.29</v>
      </c>
      <c r="F347" s="99">
        <v>36.85</v>
      </c>
      <c r="G347" s="99">
        <v>21.74</v>
      </c>
      <c r="H347" s="99">
        <v>13.68</v>
      </c>
      <c r="I347" s="100"/>
      <c r="J347" s="97">
        <v>235.11</v>
      </c>
      <c r="K347" s="97">
        <v>241.35</v>
      </c>
      <c r="L347" s="101"/>
      <c r="M347" s="102">
        <v>47.5</v>
      </c>
      <c r="N347" s="102">
        <v>288.85000000000002</v>
      </c>
    </row>
    <row r="348" spans="1:14" x14ac:dyDescent="0.25">
      <c r="A348" s="95">
        <v>1548293988</v>
      </c>
      <c r="B348" s="96" t="s">
        <v>497</v>
      </c>
      <c r="C348" s="97">
        <v>280.88</v>
      </c>
      <c r="D348" s="98">
        <v>1.4946999999999999</v>
      </c>
      <c r="E348" s="99">
        <v>156.09</v>
      </c>
      <c r="F348" s="99">
        <v>36.85</v>
      </c>
      <c r="G348" s="99">
        <v>31.4</v>
      </c>
      <c r="H348" s="99">
        <v>13.68</v>
      </c>
      <c r="I348" s="100"/>
      <c r="J348" s="97">
        <v>274.91000000000003</v>
      </c>
      <c r="K348" s="97">
        <v>280.88</v>
      </c>
      <c r="L348" s="101"/>
      <c r="M348" s="102">
        <v>47.5</v>
      </c>
      <c r="N348" s="102">
        <v>328.38</v>
      </c>
    </row>
    <row r="349" spans="1:14" x14ac:dyDescent="0.25">
      <c r="A349" s="95">
        <v>1417368143</v>
      </c>
      <c r="B349" s="96" t="s">
        <v>498</v>
      </c>
      <c r="C349" s="97">
        <v>268.94</v>
      </c>
      <c r="D349" s="98">
        <v>1.3317000000000001</v>
      </c>
      <c r="E349" s="99">
        <v>148.24</v>
      </c>
      <c r="F349" s="99">
        <v>36.85</v>
      </c>
      <c r="G349" s="99">
        <v>27.18</v>
      </c>
      <c r="H349" s="99">
        <v>13.68</v>
      </c>
      <c r="I349" s="100"/>
      <c r="J349" s="97">
        <v>260.97000000000003</v>
      </c>
      <c r="K349" s="97">
        <v>268.94</v>
      </c>
      <c r="L349" s="101"/>
      <c r="M349" s="102">
        <v>47.5</v>
      </c>
      <c r="N349" s="102">
        <v>316.44</v>
      </c>
    </row>
    <row r="350" spans="1:14" x14ac:dyDescent="0.25">
      <c r="A350" s="95">
        <v>1962505313</v>
      </c>
      <c r="B350" s="96" t="s">
        <v>499</v>
      </c>
      <c r="C350" s="97">
        <v>251.79</v>
      </c>
      <c r="D350" s="98">
        <v>1.2905</v>
      </c>
      <c r="E350" s="99">
        <v>146.21</v>
      </c>
      <c r="F350" s="99">
        <v>36.85</v>
      </c>
      <c r="G350" s="99">
        <v>15.57</v>
      </c>
      <c r="H350" s="99">
        <v>13.68</v>
      </c>
      <c r="I350" s="100"/>
      <c r="J350" s="97">
        <v>245.22</v>
      </c>
      <c r="K350" s="97">
        <v>251.79</v>
      </c>
      <c r="L350" s="101"/>
      <c r="M350" s="102">
        <v>47.5</v>
      </c>
      <c r="N350" s="102">
        <v>299.28999999999996</v>
      </c>
    </row>
    <row r="351" spans="1:14" x14ac:dyDescent="0.25">
      <c r="A351" s="95">
        <v>1881993079</v>
      </c>
      <c r="B351" s="96" t="s">
        <v>500</v>
      </c>
      <c r="C351" s="97">
        <v>254.65</v>
      </c>
      <c r="D351" s="98">
        <v>1.1067</v>
      </c>
      <c r="E351" s="99">
        <v>133.24</v>
      </c>
      <c r="F351" s="99">
        <v>36.85</v>
      </c>
      <c r="G351" s="99">
        <v>27.41</v>
      </c>
      <c r="H351" s="99">
        <v>13.68</v>
      </c>
      <c r="I351" s="100"/>
      <c r="J351" s="97">
        <v>243.91</v>
      </c>
      <c r="K351" s="97">
        <v>254.65</v>
      </c>
      <c r="L351" s="101"/>
      <c r="M351" s="102">
        <v>47.5</v>
      </c>
      <c r="N351" s="102">
        <v>302.14999999999998</v>
      </c>
    </row>
    <row r="352" spans="1:14" x14ac:dyDescent="0.25">
      <c r="A352" s="95">
        <v>1255379293</v>
      </c>
      <c r="B352" s="96" t="s">
        <v>501</v>
      </c>
      <c r="C352" s="97">
        <v>241.42</v>
      </c>
      <c r="D352" s="98">
        <v>1.1395</v>
      </c>
      <c r="E352" s="99">
        <v>134.68</v>
      </c>
      <c r="F352" s="99">
        <v>36.85</v>
      </c>
      <c r="G352" s="99">
        <v>13.61</v>
      </c>
      <c r="H352" s="99">
        <v>13.68</v>
      </c>
      <c r="I352" s="100"/>
      <c r="J352" s="97">
        <v>229.64</v>
      </c>
      <c r="K352" s="97">
        <v>241.42</v>
      </c>
      <c r="L352" s="101"/>
      <c r="M352" s="102">
        <v>47.5</v>
      </c>
      <c r="N352" s="102">
        <v>288.91999999999996</v>
      </c>
    </row>
    <row r="353" spans="1:14" x14ac:dyDescent="0.25">
      <c r="A353" s="95">
        <v>1366529406</v>
      </c>
      <c r="B353" s="96" t="s">
        <v>502</v>
      </c>
      <c r="C353" s="97">
        <v>233.7</v>
      </c>
      <c r="D353" s="98">
        <v>1.0546</v>
      </c>
      <c r="E353" s="99">
        <v>127.52</v>
      </c>
      <c r="F353" s="99">
        <v>36.85</v>
      </c>
      <c r="G353" s="99">
        <v>17.48</v>
      </c>
      <c r="H353" s="99">
        <v>0</v>
      </c>
      <c r="I353" s="100"/>
      <c r="J353" s="97">
        <v>210.04</v>
      </c>
      <c r="K353" s="97">
        <v>233.7</v>
      </c>
      <c r="L353" s="101"/>
      <c r="M353" s="102">
        <v>47.5</v>
      </c>
      <c r="N353" s="102">
        <v>281.2</v>
      </c>
    </row>
    <row r="354" spans="1:14" x14ac:dyDescent="0.25">
      <c r="A354" s="95">
        <v>1598704504</v>
      </c>
      <c r="B354" s="96" t="s">
        <v>503</v>
      </c>
      <c r="C354" s="97">
        <v>234.29</v>
      </c>
      <c r="D354" s="98">
        <v>1.0822000000000001</v>
      </c>
      <c r="E354" s="99">
        <v>130</v>
      </c>
      <c r="F354" s="99">
        <v>36.85</v>
      </c>
      <c r="G354" s="99">
        <v>21.67</v>
      </c>
      <c r="H354" s="99">
        <v>13.68</v>
      </c>
      <c r="I354" s="100"/>
      <c r="J354" s="97">
        <v>233.54</v>
      </c>
      <c r="K354" s="97">
        <v>234.29</v>
      </c>
      <c r="L354" s="101"/>
      <c r="M354" s="102">
        <v>47.5</v>
      </c>
      <c r="N354" s="102">
        <v>281.78999999999996</v>
      </c>
    </row>
    <row r="355" spans="1:14" x14ac:dyDescent="0.25">
      <c r="A355" s="95">
        <v>1669613071</v>
      </c>
      <c r="B355" s="96" t="s">
        <v>504</v>
      </c>
      <c r="C355" s="97">
        <v>253.94</v>
      </c>
      <c r="D355" s="98">
        <v>1.2724</v>
      </c>
      <c r="E355" s="99">
        <v>144.5</v>
      </c>
      <c r="F355" s="99">
        <v>36.85</v>
      </c>
      <c r="G355" s="99">
        <v>18.940000000000001</v>
      </c>
      <c r="H355" s="99">
        <v>13.68</v>
      </c>
      <c r="I355" s="100"/>
      <c r="J355" s="97">
        <v>247.14</v>
      </c>
      <c r="K355" s="97">
        <v>253.94</v>
      </c>
      <c r="L355" s="101"/>
      <c r="M355" s="102">
        <v>47.5</v>
      </c>
      <c r="N355" s="102">
        <v>301.44</v>
      </c>
    </row>
    <row r="356" spans="1:14" x14ac:dyDescent="0.25">
      <c r="A356" s="95">
        <v>1881648350</v>
      </c>
      <c r="B356" s="96" t="s">
        <v>505</v>
      </c>
      <c r="C356" s="97">
        <v>241.18</v>
      </c>
      <c r="D356" s="98">
        <v>1.0541</v>
      </c>
      <c r="E356" s="99">
        <v>127.36</v>
      </c>
      <c r="F356" s="99">
        <v>36.85</v>
      </c>
      <c r="G356" s="99">
        <v>27.51</v>
      </c>
      <c r="H356" s="99">
        <v>13.68</v>
      </c>
      <c r="I356" s="100"/>
      <c r="J356" s="97">
        <v>237.24</v>
      </c>
      <c r="K356" s="97">
        <v>241.18</v>
      </c>
      <c r="L356" s="101"/>
      <c r="M356" s="102">
        <v>47.5</v>
      </c>
      <c r="N356" s="102">
        <v>288.68</v>
      </c>
    </row>
    <row r="357" spans="1:14" x14ac:dyDescent="0.25">
      <c r="A357" s="95">
        <v>1669410312</v>
      </c>
      <c r="B357" s="101" t="s">
        <v>506</v>
      </c>
      <c r="C357" s="97">
        <v>238.01</v>
      </c>
      <c r="D357" s="98">
        <v>1.1589</v>
      </c>
      <c r="E357" s="99">
        <v>136.13999999999999</v>
      </c>
      <c r="F357" s="99">
        <v>36.85</v>
      </c>
      <c r="G357" s="99">
        <v>12.57</v>
      </c>
      <c r="H357" s="99">
        <v>13.68</v>
      </c>
      <c r="I357" s="100"/>
      <c r="J357" s="97">
        <v>230.12</v>
      </c>
      <c r="K357" s="97">
        <v>238.01</v>
      </c>
      <c r="L357" s="101"/>
      <c r="M357" s="102">
        <v>47.5</v>
      </c>
      <c r="N357" s="102">
        <v>285.51</v>
      </c>
    </row>
    <row r="358" spans="1:14" x14ac:dyDescent="0.25">
      <c r="A358" s="95">
        <v>1356387153</v>
      </c>
      <c r="B358" s="96" t="s">
        <v>507</v>
      </c>
      <c r="C358" s="97">
        <v>247.29</v>
      </c>
      <c r="D358" s="98">
        <v>1.2532000000000001</v>
      </c>
      <c r="E358" s="99">
        <v>143.06</v>
      </c>
      <c r="F358" s="99">
        <v>36.85</v>
      </c>
      <c r="G358" s="99">
        <v>13.12</v>
      </c>
      <c r="H358" s="99">
        <v>13.68</v>
      </c>
      <c r="I358" s="100"/>
      <c r="J358" s="97">
        <v>238.75</v>
      </c>
      <c r="K358" s="97">
        <v>247.29</v>
      </c>
      <c r="L358" s="101"/>
      <c r="M358" s="102">
        <v>47.5</v>
      </c>
      <c r="N358" s="102">
        <v>294.78999999999996</v>
      </c>
    </row>
    <row r="359" spans="1:14" x14ac:dyDescent="0.25">
      <c r="A359" s="95">
        <v>1184705048</v>
      </c>
      <c r="B359" s="96" t="s">
        <v>508</v>
      </c>
      <c r="C359" s="97">
        <v>221.61</v>
      </c>
      <c r="D359" s="98">
        <v>0.96399999999999997</v>
      </c>
      <c r="E359" s="99">
        <v>120.43</v>
      </c>
      <c r="F359" s="99">
        <v>36.85</v>
      </c>
      <c r="G359" s="99">
        <v>9.76</v>
      </c>
      <c r="H359" s="99">
        <v>13.68</v>
      </c>
      <c r="I359" s="100"/>
      <c r="J359" s="97">
        <v>208.73</v>
      </c>
      <c r="K359" s="97">
        <v>221.61</v>
      </c>
      <c r="L359" s="101"/>
      <c r="M359" s="102">
        <v>47.5</v>
      </c>
      <c r="N359" s="102">
        <v>269.11</v>
      </c>
    </row>
    <row r="360" spans="1:14" x14ac:dyDescent="0.25">
      <c r="A360" s="95">
        <v>1386187813</v>
      </c>
      <c r="B360" s="96" t="s">
        <v>509</v>
      </c>
      <c r="C360" s="97">
        <v>234.57</v>
      </c>
      <c r="D360" s="98">
        <v>1.0526</v>
      </c>
      <c r="E360" s="99">
        <v>127.35</v>
      </c>
      <c r="F360" s="99">
        <v>36.85</v>
      </c>
      <c r="G360" s="99">
        <v>12.15</v>
      </c>
      <c r="H360" s="99">
        <v>13.68</v>
      </c>
      <c r="I360" s="100"/>
      <c r="J360" s="97">
        <v>219.48</v>
      </c>
      <c r="K360" s="97">
        <v>234.57</v>
      </c>
      <c r="L360" s="101"/>
      <c r="M360" s="102">
        <v>47.5</v>
      </c>
      <c r="N360" s="102">
        <v>282.07</v>
      </c>
    </row>
    <row r="361" spans="1:14" x14ac:dyDescent="0.25">
      <c r="A361" s="95">
        <v>1952354565</v>
      </c>
      <c r="B361" s="96" t="s">
        <v>510</v>
      </c>
      <c r="C361" s="97">
        <v>232.09</v>
      </c>
      <c r="D361" s="98">
        <v>1.1071</v>
      </c>
      <c r="E361" s="99">
        <v>132.66</v>
      </c>
      <c r="F361" s="99">
        <v>36.85</v>
      </c>
      <c r="G361" s="99">
        <v>10.69</v>
      </c>
      <c r="H361" s="99">
        <v>7.18</v>
      </c>
      <c r="I361" s="100"/>
      <c r="J361" s="97">
        <v>216.42</v>
      </c>
      <c r="K361" s="97">
        <v>232.09</v>
      </c>
      <c r="L361" s="101"/>
      <c r="M361" s="102">
        <v>47.5</v>
      </c>
      <c r="N361" s="102">
        <v>279.59000000000003</v>
      </c>
    </row>
    <row r="362" spans="1:14" x14ac:dyDescent="0.25">
      <c r="A362" s="95">
        <v>1912323635</v>
      </c>
      <c r="B362" s="96" t="s">
        <v>511</v>
      </c>
      <c r="C362" s="97">
        <v>244.54</v>
      </c>
      <c r="D362" s="98">
        <v>1.2021999999999999</v>
      </c>
      <c r="E362" s="99">
        <v>139.19</v>
      </c>
      <c r="F362" s="99">
        <v>36.85</v>
      </c>
      <c r="G362" s="99">
        <v>32.299999999999997</v>
      </c>
      <c r="H362" s="99">
        <v>0</v>
      </c>
      <c r="I362" s="100"/>
      <c r="J362" s="97">
        <v>240.63</v>
      </c>
      <c r="K362" s="97">
        <v>244.54</v>
      </c>
      <c r="L362" s="101"/>
      <c r="M362" s="102">
        <v>47.5</v>
      </c>
      <c r="N362" s="102">
        <v>292.03999999999996</v>
      </c>
    </row>
    <row r="363" spans="1:14" x14ac:dyDescent="0.25">
      <c r="A363" s="95">
        <v>1912902230</v>
      </c>
      <c r="B363" s="96" t="s">
        <v>512</v>
      </c>
      <c r="C363" s="97">
        <v>243.08</v>
      </c>
      <c r="D363" s="98">
        <v>1.0868</v>
      </c>
      <c r="E363" s="99">
        <v>129.81</v>
      </c>
      <c r="F363" s="99">
        <v>36.85</v>
      </c>
      <c r="G363" s="99">
        <v>27.6</v>
      </c>
      <c r="H363" s="99">
        <v>13.68</v>
      </c>
      <c r="I363" s="100"/>
      <c r="J363" s="97">
        <v>240.17</v>
      </c>
      <c r="K363" s="97">
        <v>243.08</v>
      </c>
      <c r="L363" s="101"/>
      <c r="M363" s="102">
        <v>47.5</v>
      </c>
      <c r="N363" s="102">
        <v>290.58000000000004</v>
      </c>
    </row>
    <row r="364" spans="1:14" x14ac:dyDescent="0.25">
      <c r="A364" s="95">
        <v>1194028118</v>
      </c>
      <c r="B364" s="101" t="s">
        <v>513</v>
      </c>
      <c r="C364" s="97">
        <v>263.35000000000002</v>
      </c>
      <c r="D364" s="98">
        <v>1.1715</v>
      </c>
      <c r="E364" s="99">
        <v>136.87</v>
      </c>
      <c r="F364" s="99">
        <v>36.85</v>
      </c>
      <c r="G364" s="99">
        <v>29.5</v>
      </c>
      <c r="H364" s="99">
        <v>13.68</v>
      </c>
      <c r="I364" s="100"/>
      <c r="J364" s="97">
        <v>250.52</v>
      </c>
      <c r="K364" s="97">
        <v>263.35000000000002</v>
      </c>
      <c r="L364" s="101"/>
      <c r="M364" s="102">
        <v>47.5</v>
      </c>
      <c r="N364" s="102">
        <v>310.85000000000002</v>
      </c>
    </row>
    <row r="365" spans="1:14" x14ac:dyDescent="0.25">
      <c r="A365" s="95">
        <v>1215931977</v>
      </c>
      <c r="B365" s="96" t="s">
        <v>514</v>
      </c>
      <c r="C365" s="97">
        <v>263.63</v>
      </c>
      <c r="D365" s="98">
        <v>1.1970000000000001</v>
      </c>
      <c r="E365" s="99">
        <v>139.47999999999999</v>
      </c>
      <c r="F365" s="99">
        <v>36.85</v>
      </c>
      <c r="G365" s="99">
        <v>28.25</v>
      </c>
      <c r="H365" s="99">
        <v>13.68</v>
      </c>
      <c r="I365" s="100"/>
      <c r="J365" s="97">
        <v>252.09</v>
      </c>
      <c r="K365" s="97">
        <v>263.63</v>
      </c>
      <c r="L365" s="101"/>
      <c r="M365" s="102">
        <v>47.5</v>
      </c>
      <c r="N365" s="102">
        <v>311.13</v>
      </c>
    </row>
    <row r="366" spans="1:14" x14ac:dyDescent="0.25">
      <c r="A366" s="95">
        <v>1508864323</v>
      </c>
      <c r="B366" s="101" t="s">
        <v>515</v>
      </c>
      <c r="C366" s="97">
        <v>255.16</v>
      </c>
      <c r="D366" s="98">
        <v>1.1668000000000001</v>
      </c>
      <c r="E366" s="99">
        <v>137.32</v>
      </c>
      <c r="F366" s="99">
        <v>36.85</v>
      </c>
      <c r="G366" s="99">
        <v>31.18</v>
      </c>
      <c r="H366" s="99">
        <v>13.68</v>
      </c>
      <c r="I366" s="100"/>
      <c r="J366" s="97">
        <v>252.98</v>
      </c>
      <c r="K366" s="97">
        <v>255.16</v>
      </c>
      <c r="L366" s="101"/>
      <c r="M366" s="102">
        <v>47.5</v>
      </c>
      <c r="N366" s="102">
        <v>302.65999999999997</v>
      </c>
    </row>
    <row r="367" spans="1:14" x14ac:dyDescent="0.25">
      <c r="A367" s="95">
        <v>1427052067</v>
      </c>
      <c r="B367" s="96" t="s">
        <v>516</v>
      </c>
      <c r="C367" s="97">
        <v>247.77</v>
      </c>
      <c r="D367" s="98">
        <v>1.2404999999999999</v>
      </c>
      <c r="E367" s="99">
        <v>145.16999999999999</v>
      </c>
      <c r="F367" s="99">
        <v>36.85</v>
      </c>
      <c r="G367" s="99">
        <v>24.23</v>
      </c>
      <c r="H367" s="99">
        <v>13.68</v>
      </c>
      <c r="I367" s="100"/>
      <c r="J367" s="97">
        <v>254.02</v>
      </c>
      <c r="K367" s="97">
        <v>254.02</v>
      </c>
      <c r="L367" s="101"/>
      <c r="M367" s="102">
        <v>47.5</v>
      </c>
      <c r="N367" s="102">
        <v>301.52</v>
      </c>
    </row>
    <row r="368" spans="1:14" x14ac:dyDescent="0.25">
      <c r="A368" s="95">
        <v>1669449799</v>
      </c>
      <c r="B368" s="96" t="s">
        <v>517</v>
      </c>
      <c r="C368" s="97">
        <v>214.39</v>
      </c>
      <c r="D368" s="98">
        <v>0.94540000000000002</v>
      </c>
      <c r="E368" s="99">
        <v>118.87</v>
      </c>
      <c r="F368" s="99">
        <v>36.85</v>
      </c>
      <c r="G368" s="99">
        <v>33.06</v>
      </c>
      <c r="H368" s="99">
        <v>0</v>
      </c>
      <c r="I368" s="100"/>
      <c r="J368" s="97">
        <v>218.04</v>
      </c>
      <c r="K368" s="97">
        <v>218.04</v>
      </c>
      <c r="L368" s="101"/>
      <c r="M368" s="102">
        <v>47.5</v>
      </c>
      <c r="N368" s="102">
        <v>265.53999999999996</v>
      </c>
    </row>
    <row r="369" spans="1:14" x14ac:dyDescent="0.25">
      <c r="A369" s="95">
        <v>1720088339</v>
      </c>
      <c r="B369" s="96" t="s">
        <v>518</v>
      </c>
      <c r="C369" s="97">
        <v>222.18</v>
      </c>
      <c r="D369" s="98">
        <v>1.0241</v>
      </c>
      <c r="E369" s="99">
        <v>125.16</v>
      </c>
      <c r="F369" s="99">
        <v>36.85</v>
      </c>
      <c r="G369" s="99">
        <v>11.34</v>
      </c>
      <c r="H369" s="99">
        <v>13.68</v>
      </c>
      <c r="I369" s="100"/>
      <c r="J369" s="97">
        <v>216.02</v>
      </c>
      <c r="K369" s="97">
        <v>222.18</v>
      </c>
      <c r="L369" s="101"/>
      <c r="M369" s="102">
        <v>47.5</v>
      </c>
      <c r="N369" s="102">
        <v>269.68</v>
      </c>
    </row>
    <row r="370" spans="1:14" x14ac:dyDescent="0.25">
      <c r="A370" s="95">
        <v>1225279755</v>
      </c>
      <c r="B370" s="96" t="s">
        <v>519</v>
      </c>
      <c r="C370" s="97">
        <v>243.35</v>
      </c>
      <c r="D370" s="98">
        <v>1.2763</v>
      </c>
      <c r="E370" s="99">
        <v>145.88</v>
      </c>
      <c r="F370" s="99">
        <v>36.85</v>
      </c>
      <c r="G370" s="99">
        <v>12.06</v>
      </c>
      <c r="H370" s="99">
        <v>13.68</v>
      </c>
      <c r="I370" s="100"/>
      <c r="J370" s="97">
        <v>240.78</v>
      </c>
      <c r="K370" s="97">
        <v>243.35</v>
      </c>
      <c r="L370" s="101"/>
      <c r="M370" s="102">
        <v>47.5</v>
      </c>
      <c r="N370" s="102">
        <v>290.85000000000002</v>
      </c>
    </row>
    <row r="371" spans="1:14" x14ac:dyDescent="0.25">
      <c r="A371" s="95">
        <v>1235370750</v>
      </c>
      <c r="B371" s="101" t="s">
        <v>520</v>
      </c>
      <c r="C371" s="97">
        <v>257.7</v>
      </c>
      <c r="D371" s="98">
        <v>1.35</v>
      </c>
      <c r="E371" s="99">
        <v>149</v>
      </c>
      <c r="F371" s="99">
        <v>36.85</v>
      </c>
      <c r="G371" s="99">
        <v>22.4</v>
      </c>
      <c r="H371" s="99">
        <v>13.68</v>
      </c>
      <c r="I371" s="100"/>
      <c r="J371" s="97">
        <v>256.33</v>
      </c>
      <c r="K371" s="97">
        <v>257.7</v>
      </c>
      <c r="L371" s="101"/>
      <c r="M371" s="102">
        <v>47.5</v>
      </c>
      <c r="N371" s="102">
        <v>305.2</v>
      </c>
    </row>
    <row r="372" spans="1:14" x14ac:dyDescent="0.25">
      <c r="A372" s="95">
        <v>1497996920</v>
      </c>
      <c r="B372" s="96" t="s">
        <v>521</v>
      </c>
      <c r="C372" s="97">
        <v>249.13</v>
      </c>
      <c r="D372" s="98">
        <v>1.3129</v>
      </c>
      <c r="E372" s="99">
        <v>149.44999999999999</v>
      </c>
      <c r="F372" s="99">
        <v>36.85</v>
      </c>
      <c r="G372" s="99">
        <v>10.7</v>
      </c>
      <c r="H372" s="99">
        <v>13.68</v>
      </c>
      <c r="I372" s="100"/>
      <c r="J372" s="97">
        <v>243.34</v>
      </c>
      <c r="K372" s="97">
        <v>249.13</v>
      </c>
      <c r="L372" s="101"/>
      <c r="M372" s="102">
        <v>47.5</v>
      </c>
      <c r="N372" s="102">
        <v>296.63</v>
      </c>
    </row>
    <row r="373" spans="1:14" x14ac:dyDescent="0.25">
      <c r="A373" s="95">
        <v>1295704997</v>
      </c>
      <c r="B373" s="96" t="s">
        <v>522</v>
      </c>
      <c r="C373" s="97">
        <v>253.37</v>
      </c>
      <c r="D373" s="98">
        <v>1.2194</v>
      </c>
      <c r="E373" s="99">
        <v>140.85</v>
      </c>
      <c r="F373" s="99">
        <v>36.85</v>
      </c>
      <c r="G373" s="99">
        <v>21.33</v>
      </c>
      <c r="H373" s="99">
        <v>13.68</v>
      </c>
      <c r="I373" s="100"/>
      <c r="J373" s="97">
        <v>245.68</v>
      </c>
      <c r="K373" s="97">
        <v>253.37</v>
      </c>
      <c r="L373" s="101"/>
      <c r="M373" s="102">
        <v>47.5</v>
      </c>
      <c r="N373" s="102">
        <v>300.87</v>
      </c>
    </row>
    <row r="374" spans="1:14" x14ac:dyDescent="0.25">
      <c r="A374" s="95">
        <v>1629047279</v>
      </c>
      <c r="B374" s="96" t="s">
        <v>523</v>
      </c>
      <c r="C374" s="97">
        <v>249.87</v>
      </c>
      <c r="D374" s="98">
        <v>1.3745000000000001</v>
      </c>
      <c r="E374" s="99">
        <v>152.21</v>
      </c>
      <c r="F374" s="99">
        <v>36.85</v>
      </c>
      <c r="G374" s="99">
        <v>11.82</v>
      </c>
      <c r="H374" s="99">
        <v>13.68</v>
      </c>
      <c r="I374" s="100"/>
      <c r="J374" s="97">
        <v>247.82</v>
      </c>
      <c r="K374" s="97">
        <v>249.87</v>
      </c>
      <c r="L374" s="101"/>
      <c r="M374" s="102">
        <v>47.5</v>
      </c>
      <c r="N374" s="102">
        <v>297.37</v>
      </c>
    </row>
    <row r="375" spans="1:14" x14ac:dyDescent="0.25">
      <c r="A375" s="95">
        <v>1144299702</v>
      </c>
      <c r="B375" s="96" t="s">
        <v>524</v>
      </c>
      <c r="C375" s="97">
        <v>253.63</v>
      </c>
      <c r="D375" s="98">
        <v>1.2454000000000001</v>
      </c>
      <c r="E375" s="99">
        <v>144.06</v>
      </c>
      <c r="F375" s="99">
        <v>36.85</v>
      </c>
      <c r="G375" s="99">
        <v>17.77</v>
      </c>
      <c r="H375" s="99">
        <v>13.68</v>
      </c>
      <c r="I375" s="100"/>
      <c r="J375" s="97">
        <v>245.28</v>
      </c>
      <c r="K375" s="97">
        <v>253.63</v>
      </c>
      <c r="L375" s="101"/>
      <c r="M375" s="102">
        <v>47.5</v>
      </c>
      <c r="N375" s="102">
        <v>301.13</v>
      </c>
    </row>
    <row r="376" spans="1:14" x14ac:dyDescent="0.25">
      <c r="A376" s="95">
        <v>1437484672</v>
      </c>
      <c r="B376" s="96" t="s">
        <v>525</v>
      </c>
      <c r="C376" s="97">
        <v>255.36</v>
      </c>
      <c r="D376" s="98">
        <v>1.2782</v>
      </c>
      <c r="E376" s="99">
        <v>144.94</v>
      </c>
      <c r="F376" s="99">
        <v>36.85</v>
      </c>
      <c r="G376" s="99">
        <v>20.239999999999998</v>
      </c>
      <c r="H376" s="99">
        <v>13.68</v>
      </c>
      <c r="I376" s="100"/>
      <c r="J376" s="97">
        <v>249.16</v>
      </c>
      <c r="K376" s="97">
        <v>255.36</v>
      </c>
      <c r="L376" s="101"/>
      <c r="M376" s="102">
        <v>47.5</v>
      </c>
      <c r="N376" s="102">
        <v>302.86</v>
      </c>
    </row>
    <row r="377" spans="1:14" x14ac:dyDescent="0.25">
      <c r="A377" s="95">
        <v>1942279609</v>
      </c>
      <c r="B377" s="96" t="s">
        <v>526</v>
      </c>
      <c r="C377" s="97">
        <v>240.12</v>
      </c>
      <c r="D377" s="98">
        <v>1.3262</v>
      </c>
      <c r="E377" s="99">
        <v>147.80000000000001</v>
      </c>
      <c r="F377" s="99">
        <v>36.85</v>
      </c>
      <c r="G377" s="99">
        <v>8.1300000000000008</v>
      </c>
      <c r="H377" s="99">
        <v>13.68</v>
      </c>
      <c r="I377" s="100"/>
      <c r="J377" s="97">
        <v>238.46</v>
      </c>
      <c r="K377" s="97">
        <v>240.12</v>
      </c>
      <c r="L377" s="101"/>
      <c r="M377" s="102">
        <v>47.5</v>
      </c>
      <c r="N377" s="102">
        <v>287.62</v>
      </c>
    </row>
    <row r="378" spans="1:14" x14ac:dyDescent="0.25">
      <c r="A378" s="95">
        <v>1114996758</v>
      </c>
      <c r="B378" s="96" t="s">
        <v>527</v>
      </c>
      <c r="C378" s="97">
        <v>249.32</v>
      </c>
      <c r="D378" s="98">
        <v>1.3416999999999999</v>
      </c>
      <c r="E378" s="99">
        <v>149.38</v>
      </c>
      <c r="F378" s="99">
        <v>36.85</v>
      </c>
      <c r="G378" s="99">
        <v>16.8</v>
      </c>
      <c r="H378" s="99">
        <v>13.68</v>
      </c>
      <c r="I378" s="100"/>
      <c r="J378" s="97">
        <v>250.3</v>
      </c>
      <c r="K378" s="97">
        <v>250.3</v>
      </c>
      <c r="L378" s="101"/>
      <c r="M378" s="102">
        <v>47.5</v>
      </c>
      <c r="N378" s="102">
        <v>297.8</v>
      </c>
    </row>
    <row r="379" spans="1:14" x14ac:dyDescent="0.25">
      <c r="A379" s="95">
        <v>1902875578</v>
      </c>
      <c r="B379" s="101" t="s">
        <v>528</v>
      </c>
      <c r="C379" s="97">
        <v>257.35000000000002</v>
      </c>
      <c r="D379" s="98">
        <v>1.4278999999999999</v>
      </c>
      <c r="E379" s="99">
        <v>156.82</v>
      </c>
      <c r="F379" s="99">
        <v>36.85</v>
      </c>
      <c r="G379" s="99">
        <v>15.78</v>
      </c>
      <c r="H379" s="99">
        <v>13.68</v>
      </c>
      <c r="I379" s="100"/>
      <c r="J379" s="97">
        <v>257.72000000000003</v>
      </c>
      <c r="K379" s="97">
        <v>257.72000000000003</v>
      </c>
      <c r="L379" s="101"/>
      <c r="M379" s="102">
        <v>47.5</v>
      </c>
      <c r="N379" s="102">
        <v>305.22000000000003</v>
      </c>
    </row>
    <row r="380" spans="1:14" x14ac:dyDescent="0.25">
      <c r="A380" s="95">
        <v>1588805014</v>
      </c>
      <c r="B380" s="96" t="s">
        <v>529</v>
      </c>
      <c r="C380" s="97">
        <v>261.77999999999997</v>
      </c>
      <c r="D380" s="98">
        <v>1.2648999999999999</v>
      </c>
      <c r="E380" s="99">
        <v>143.94</v>
      </c>
      <c r="F380" s="99">
        <v>36.85</v>
      </c>
      <c r="G380" s="99">
        <v>26.57</v>
      </c>
      <c r="H380" s="99">
        <v>13.68</v>
      </c>
      <c r="I380" s="100"/>
      <c r="J380" s="97">
        <v>255.3</v>
      </c>
      <c r="K380" s="97">
        <v>261.77999999999997</v>
      </c>
      <c r="L380" s="101"/>
      <c r="M380" s="102">
        <v>47.5</v>
      </c>
      <c r="N380" s="102">
        <v>309.27999999999997</v>
      </c>
    </row>
    <row r="381" spans="1:14" x14ac:dyDescent="0.25">
      <c r="A381" s="95">
        <v>1669408969</v>
      </c>
      <c r="B381" s="96" t="s">
        <v>530</v>
      </c>
      <c r="C381" s="97">
        <v>218.13</v>
      </c>
      <c r="D381" s="98">
        <v>1.0262</v>
      </c>
      <c r="E381" s="99">
        <v>125.26</v>
      </c>
      <c r="F381" s="99">
        <v>36.85</v>
      </c>
      <c r="G381" s="99">
        <v>18.690000000000001</v>
      </c>
      <c r="H381" s="99">
        <v>7.18</v>
      </c>
      <c r="I381" s="100"/>
      <c r="J381" s="97">
        <v>217.12</v>
      </c>
      <c r="K381" s="97">
        <v>218.13</v>
      </c>
      <c r="L381" s="101"/>
      <c r="M381" s="102">
        <v>47.5</v>
      </c>
      <c r="N381" s="102">
        <v>265.63</v>
      </c>
    </row>
    <row r="382" spans="1:14" x14ac:dyDescent="0.25">
      <c r="A382" s="95">
        <v>1689640583</v>
      </c>
      <c r="B382" s="96" t="s">
        <v>531</v>
      </c>
      <c r="C382" s="97">
        <v>259.86</v>
      </c>
      <c r="D382" s="98">
        <v>1.4181999999999999</v>
      </c>
      <c r="E382" s="99">
        <v>155.77000000000001</v>
      </c>
      <c r="F382" s="99">
        <v>36.85</v>
      </c>
      <c r="G382" s="99">
        <v>11.54</v>
      </c>
      <c r="H382" s="99">
        <v>13.68</v>
      </c>
      <c r="I382" s="100"/>
      <c r="J382" s="97">
        <v>251.61</v>
      </c>
      <c r="K382" s="97">
        <v>259.86</v>
      </c>
      <c r="L382" s="101"/>
      <c r="M382" s="102">
        <v>47.5</v>
      </c>
      <c r="N382" s="102">
        <v>307.36</v>
      </c>
    </row>
    <row r="383" spans="1:14" x14ac:dyDescent="0.25">
      <c r="A383" s="95">
        <v>1831125285</v>
      </c>
      <c r="B383" s="101" t="s">
        <v>532</v>
      </c>
      <c r="C383" s="97">
        <v>233.31</v>
      </c>
      <c r="D383" s="98">
        <v>1.0336000000000001</v>
      </c>
      <c r="E383" s="99">
        <v>125.91</v>
      </c>
      <c r="F383" s="99">
        <v>36.85</v>
      </c>
      <c r="G383" s="99">
        <v>12.44</v>
      </c>
      <c r="H383" s="99">
        <v>13.68</v>
      </c>
      <c r="I383" s="100"/>
      <c r="J383" s="97">
        <v>218.16</v>
      </c>
      <c r="K383" s="97">
        <v>233.31</v>
      </c>
      <c r="L383" s="101"/>
      <c r="M383" s="102">
        <v>47.5</v>
      </c>
      <c r="N383" s="102">
        <v>280.81</v>
      </c>
    </row>
    <row r="384" spans="1:14" x14ac:dyDescent="0.25">
      <c r="A384" s="95">
        <v>1871063214</v>
      </c>
      <c r="B384" s="96" t="s">
        <v>533</v>
      </c>
      <c r="C384" s="97">
        <v>219.29</v>
      </c>
      <c r="D384" s="98">
        <v>0.95089999999999997</v>
      </c>
      <c r="E384" s="99">
        <v>119.19</v>
      </c>
      <c r="F384" s="99">
        <v>36.85</v>
      </c>
      <c r="G384" s="99">
        <v>14.32</v>
      </c>
      <c r="H384" s="99">
        <v>13.68</v>
      </c>
      <c r="I384" s="100"/>
      <c r="J384" s="97">
        <v>212.57</v>
      </c>
      <c r="K384" s="97">
        <v>219.29</v>
      </c>
      <c r="L384" s="101"/>
      <c r="M384" s="102">
        <v>47.5</v>
      </c>
      <c r="N384" s="102">
        <v>266.78999999999996</v>
      </c>
    </row>
    <row r="385" spans="1:14" x14ac:dyDescent="0.25">
      <c r="A385" s="95">
        <v>1629515499</v>
      </c>
      <c r="B385" s="96" t="s">
        <v>534</v>
      </c>
      <c r="C385" s="97">
        <v>246.44</v>
      </c>
      <c r="D385" s="98">
        <v>1.1675</v>
      </c>
      <c r="E385" s="99">
        <v>136.76</v>
      </c>
      <c r="F385" s="99">
        <v>36.85</v>
      </c>
      <c r="G385" s="99">
        <v>15.64</v>
      </c>
      <c r="H385" s="99">
        <v>13.68</v>
      </c>
      <c r="I385" s="100"/>
      <c r="J385" s="97">
        <v>234.38</v>
      </c>
      <c r="K385" s="97">
        <v>246.44</v>
      </c>
      <c r="L385" s="101"/>
      <c r="M385" s="102">
        <v>47.5</v>
      </c>
      <c r="N385" s="102">
        <v>293.94</v>
      </c>
    </row>
    <row r="386" spans="1:14" x14ac:dyDescent="0.25">
      <c r="A386" s="95">
        <v>1134660103</v>
      </c>
      <c r="B386" s="96" t="s">
        <v>535</v>
      </c>
      <c r="C386" s="97">
        <v>265.41000000000003</v>
      </c>
      <c r="D386" s="98">
        <v>1.3895999999999999</v>
      </c>
      <c r="E386" s="99">
        <v>156.07</v>
      </c>
      <c r="F386" s="99">
        <v>36.85</v>
      </c>
      <c r="G386" s="99">
        <v>21.47</v>
      </c>
      <c r="H386" s="99">
        <v>13.68</v>
      </c>
      <c r="I386" s="100"/>
      <c r="J386" s="97">
        <v>263.42</v>
      </c>
      <c r="K386" s="97">
        <v>265.41000000000003</v>
      </c>
      <c r="L386" s="101"/>
      <c r="M386" s="102">
        <v>47.5</v>
      </c>
      <c r="N386" s="102">
        <v>312.91000000000003</v>
      </c>
    </row>
    <row r="387" spans="1:14" x14ac:dyDescent="0.25">
      <c r="A387" s="95">
        <v>1447736087</v>
      </c>
      <c r="B387" s="96" t="s">
        <v>536</v>
      </c>
      <c r="C387" s="97">
        <v>230.76</v>
      </c>
      <c r="D387" s="98">
        <v>1.2101</v>
      </c>
      <c r="E387" s="99">
        <v>137.22</v>
      </c>
      <c r="F387" s="99">
        <v>36.85</v>
      </c>
      <c r="G387" s="99">
        <v>8.6300000000000008</v>
      </c>
      <c r="H387" s="99">
        <v>13.68</v>
      </c>
      <c r="I387" s="100"/>
      <c r="J387" s="97">
        <v>226.82</v>
      </c>
      <c r="K387" s="97">
        <v>230.76</v>
      </c>
      <c r="L387" s="101"/>
      <c r="M387" s="102">
        <v>47.5</v>
      </c>
      <c r="N387" s="102">
        <v>278.26</v>
      </c>
    </row>
    <row r="388" spans="1:14" x14ac:dyDescent="0.25">
      <c r="A388" s="95">
        <v>1659319366</v>
      </c>
      <c r="B388" s="96" t="s">
        <v>537</v>
      </c>
      <c r="C388" s="97">
        <v>236.06</v>
      </c>
      <c r="D388" s="98">
        <v>1.2152000000000001</v>
      </c>
      <c r="E388" s="99">
        <v>140.86000000000001</v>
      </c>
      <c r="F388" s="99">
        <v>36.85</v>
      </c>
      <c r="G388" s="99">
        <v>7.92</v>
      </c>
      <c r="H388" s="99">
        <v>13.68</v>
      </c>
      <c r="I388" s="100"/>
      <c r="J388" s="97">
        <v>230.2</v>
      </c>
      <c r="K388" s="97">
        <v>236.06</v>
      </c>
      <c r="L388" s="101"/>
      <c r="M388" s="102">
        <v>47.5</v>
      </c>
      <c r="N388" s="102">
        <v>283.56</v>
      </c>
    </row>
    <row r="389" spans="1:14" x14ac:dyDescent="0.25">
      <c r="A389" s="95">
        <v>1972050276</v>
      </c>
      <c r="B389" s="96" t="s">
        <v>538</v>
      </c>
      <c r="C389" s="97">
        <v>222.09</v>
      </c>
      <c r="D389" s="98">
        <v>1.1893</v>
      </c>
      <c r="E389" s="99">
        <v>138.38999999999999</v>
      </c>
      <c r="F389" s="99">
        <v>36.85</v>
      </c>
      <c r="G389" s="99">
        <v>8.0399999999999991</v>
      </c>
      <c r="H389" s="99">
        <v>13.68</v>
      </c>
      <c r="I389" s="100"/>
      <c r="J389" s="97">
        <v>227.49</v>
      </c>
      <c r="K389" s="97">
        <v>227.49</v>
      </c>
      <c r="L389" s="101"/>
      <c r="M389" s="102">
        <v>47.5</v>
      </c>
      <c r="N389" s="102">
        <v>274.99</v>
      </c>
    </row>
    <row r="390" spans="1:14" x14ac:dyDescent="0.25">
      <c r="A390" s="95">
        <v>1023386190</v>
      </c>
      <c r="B390" s="96" t="s">
        <v>539</v>
      </c>
      <c r="C390" s="97">
        <v>232.62</v>
      </c>
      <c r="D390" s="98">
        <v>1.0386</v>
      </c>
      <c r="E390" s="99">
        <v>126.28</v>
      </c>
      <c r="F390" s="99">
        <v>36.85</v>
      </c>
      <c r="G390" s="99">
        <v>11.18</v>
      </c>
      <c r="H390" s="99">
        <v>13.68</v>
      </c>
      <c r="I390" s="100"/>
      <c r="J390" s="97">
        <v>217.13</v>
      </c>
      <c r="K390" s="97">
        <v>232.62</v>
      </c>
      <c r="L390" s="101"/>
      <c r="M390" s="102">
        <v>47.5</v>
      </c>
      <c r="N390" s="102">
        <v>280.12</v>
      </c>
    </row>
    <row r="391" spans="1:14" x14ac:dyDescent="0.25">
      <c r="A391" s="95">
        <v>1154369841</v>
      </c>
      <c r="B391" s="96" t="s">
        <v>540</v>
      </c>
      <c r="C391" s="97">
        <v>237.98</v>
      </c>
      <c r="D391" s="98">
        <v>1.161</v>
      </c>
      <c r="E391" s="99">
        <v>137.30000000000001</v>
      </c>
      <c r="F391" s="99">
        <v>36.85</v>
      </c>
      <c r="G391" s="99">
        <v>13.5</v>
      </c>
      <c r="H391" s="99">
        <v>13.68</v>
      </c>
      <c r="I391" s="100"/>
      <c r="J391" s="97">
        <v>232.54</v>
      </c>
      <c r="K391" s="97">
        <v>237.98</v>
      </c>
      <c r="L391" s="101"/>
      <c r="M391" s="102">
        <v>47.5</v>
      </c>
      <c r="N391" s="102">
        <v>285.48</v>
      </c>
    </row>
    <row r="392" spans="1:14" x14ac:dyDescent="0.25">
      <c r="A392" s="95">
        <v>1639153919</v>
      </c>
      <c r="B392" s="96" t="s">
        <v>541</v>
      </c>
      <c r="C392" s="97">
        <v>222.04</v>
      </c>
      <c r="D392" s="98">
        <v>1.0633999999999999</v>
      </c>
      <c r="E392" s="99">
        <v>127.3</v>
      </c>
      <c r="F392" s="99">
        <v>36.85</v>
      </c>
      <c r="G392" s="99">
        <v>21.01</v>
      </c>
      <c r="H392" s="99">
        <v>0</v>
      </c>
      <c r="I392" s="100"/>
      <c r="J392" s="97">
        <v>213.86</v>
      </c>
      <c r="K392" s="97">
        <v>222.04</v>
      </c>
      <c r="L392" s="101"/>
      <c r="M392" s="102">
        <v>47.5</v>
      </c>
      <c r="N392" s="102">
        <v>269.53999999999996</v>
      </c>
    </row>
    <row r="393" spans="1:14" x14ac:dyDescent="0.25">
      <c r="A393" s="95">
        <v>1043314602</v>
      </c>
      <c r="B393" s="96" t="s">
        <v>542</v>
      </c>
      <c r="C393" s="97">
        <v>263.2</v>
      </c>
      <c r="D393" s="98">
        <v>1.3629</v>
      </c>
      <c r="E393" s="99">
        <v>153.82</v>
      </c>
      <c r="F393" s="99">
        <v>36.85</v>
      </c>
      <c r="G393" s="99">
        <v>23.35</v>
      </c>
      <c r="H393" s="99">
        <v>13.68</v>
      </c>
      <c r="I393" s="100"/>
      <c r="J393" s="97">
        <v>262.99</v>
      </c>
      <c r="K393" s="97">
        <v>263.2</v>
      </c>
      <c r="L393" s="101"/>
      <c r="M393" s="102">
        <v>47.5</v>
      </c>
      <c r="N393" s="102">
        <v>310.7</v>
      </c>
    </row>
    <row r="394" spans="1:14" x14ac:dyDescent="0.25">
      <c r="A394" s="95">
        <v>1891740544</v>
      </c>
      <c r="B394" s="96" t="s">
        <v>543</v>
      </c>
      <c r="C394" s="97">
        <v>243.65</v>
      </c>
      <c r="D394" s="98">
        <v>1.1366000000000001</v>
      </c>
      <c r="E394" s="99">
        <v>133.4</v>
      </c>
      <c r="F394" s="99">
        <v>36.85</v>
      </c>
      <c r="G394" s="99">
        <v>26.97</v>
      </c>
      <c r="H394" s="99">
        <v>13.68</v>
      </c>
      <c r="I394" s="100"/>
      <c r="J394" s="97">
        <v>243.59</v>
      </c>
      <c r="K394" s="97">
        <v>243.65</v>
      </c>
      <c r="L394" s="101"/>
      <c r="M394" s="102">
        <v>47.5</v>
      </c>
      <c r="N394" s="102">
        <v>291.14999999999998</v>
      </c>
    </row>
    <row r="395" spans="1:14" x14ac:dyDescent="0.25">
      <c r="A395" s="95">
        <v>1700821865</v>
      </c>
      <c r="B395" s="96" t="s">
        <v>544</v>
      </c>
      <c r="C395" s="97">
        <v>247.54</v>
      </c>
      <c r="D395" s="98">
        <v>1.2582</v>
      </c>
      <c r="E395" s="99">
        <v>144.33000000000001</v>
      </c>
      <c r="F395" s="99">
        <v>36.85</v>
      </c>
      <c r="G395" s="99">
        <v>14.86</v>
      </c>
      <c r="H395" s="99">
        <v>13.68</v>
      </c>
      <c r="I395" s="100"/>
      <c r="J395" s="97">
        <v>242.23</v>
      </c>
      <c r="K395" s="97">
        <v>247.54</v>
      </c>
      <c r="L395" s="101"/>
      <c r="M395" s="102">
        <v>47.5</v>
      </c>
      <c r="N395" s="102">
        <v>295.03999999999996</v>
      </c>
    </row>
    <row r="396" spans="1:14" x14ac:dyDescent="0.25">
      <c r="A396" s="95">
        <v>1184650541</v>
      </c>
      <c r="B396" s="96" t="s">
        <v>545</v>
      </c>
      <c r="C396" s="97">
        <v>231.49</v>
      </c>
      <c r="D396" s="98">
        <v>1.329</v>
      </c>
      <c r="E396" s="99">
        <v>147.38</v>
      </c>
      <c r="F396" s="99">
        <v>36.85</v>
      </c>
      <c r="G396" s="99">
        <v>10.71</v>
      </c>
      <c r="H396" s="99">
        <v>7.18</v>
      </c>
      <c r="I396" s="100"/>
      <c r="J396" s="97">
        <v>233.45</v>
      </c>
      <c r="K396" s="97">
        <v>233.45</v>
      </c>
      <c r="L396" s="101"/>
      <c r="M396" s="102">
        <v>47.5</v>
      </c>
      <c r="N396" s="102">
        <v>280.95</v>
      </c>
    </row>
    <row r="397" spans="1:14" x14ac:dyDescent="0.25">
      <c r="A397" s="95">
        <v>1902853781</v>
      </c>
      <c r="B397" s="101" t="s">
        <v>546</v>
      </c>
      <c r="C397" s="97">
        <v>263.33999999999997</v>
      </c>
      <c r="D397" s="98">
        <v>1.3121</v>
      </c>
      <c r="E397" s="99">
        <v>147.63999999999999</v>
      </c>
      <c r="F397" s="99">
        <v>36.85</v>
      </c>
      <c r="G397" s="99">
        <v>28.55</v>
      </c>
      <c r="H397" s="99">
        <v>13.68</v>
      </c>
      <c r="I397" s="100"/>
      <c r="J397" s="97">
        <v>261.86</v>
      </c>
      <c r="K397" s="97">
        <v>263.33999999999997</v>
      </c>
      <c r="L397" s="101"/>
      <c r="M397" s="102">
        <v>47.5</v>
      </c>
      <c r="N397" s="102">
        <v>310.83999999999997</v>
      </c>
    </row>
    <row r="398" spans="1:14" x14ac:dyDescent="0.25">
      <c r="A398" s="95">
        <v>1235264219</v>
      </c>
      <c r="B398" s="96" t="s">
        <v>547</v>
      </c>
      <c r="C398" s="97">
        <v>233.08</v>
      </c>
      <c r="D398" s="98">
        <v>1.1259999999999999</v>
      </c>
      <c r="E398" s="99">
        <v>134.61000000000001</v>
      </c>
      <c r="F398" s="99">
        <v>36.85</v>
      </c>
      <c r="G398" s="99">
        <v>16.010000000000002</v>
      </c>
      <c r="H398" s="99">
        <v>0</v>
      </c>
      <c r="I398" s="100"/>
      <c r="J398" s="97">
        <v>216.53</v>
      </c>
      <c r="K398" s="97">
        <v>233.08</v>
      </c>
      <c r="L398" s="101"/>
      <c r="M398" s="102">
        <v>47.5</v>
      </c>
      <c r="N398" s="102">
        <v>280.58000000000004</v>
      </c>
    </row>
    <row r="399" spans="1:14" x14ac:dyDescent="0.25">
      <c r="A399" s="95">
        <v>1366577355</v>
      </c>
      <c r="B399" s="96" t="s">
        <v>548</v>
      </c>
      <c r="C399" s="97">
        <v>212.19</v>
      </c>
      <c r="D399" s="98">
        <v>1.0595000000000001</v>
      </c>
      <c r="E399" s="99">
        <v>128.43</v>
      </c>
      <c r="F399" s="99">
        <v>36.85</v>
      </c>
      <c r="G399" s="99">
        <v>17.32</v>
      </c>
      <c r="H399" s="99">
        <v>0</v>
      </c>
      <c r="I399" s="100"/>
      <c r="J399" s="97">
        <v>210.9</v>
      </c>
      <c r="K399" s="97">
        <v>212.19</v>
      </c>
      <c r="L399" s="101"/>
      <c r="M399" s="102">
        <v>47.5</v>
      </c>
      <c r="N399" s="102">
        <v>259.69</v>
      </c>
    </row>
    <row r="400" spans="1:14" x14ac:dyDescent="0.25">
      <c r="A400" s="95">
        <v>1033244090</v>
      </c>
      <c r="B400" s="96" t="s">
        <v>549</v>
      </c>
      <c r="C400" s="97">
        <v>233.43</v>
      </c>
      <c r="D400" s="98">
        <v>1.1471</v>
      </c>
      <c r="E400" s="99">
        <v>135.96</v>
      </c>
      <c r="F400" s="99">
        <v>36.85</v>
      </c>
      <c r="G400" s="99">
        <v>13.96</v>
      </c>
      <c r="H400" s="99">
        <v>13.68</v>
      </c>
      <c r="I400" s="100"/>
      <c r="J400" s="97">
        <v>231.52</v>
      </c>
      <c r="K400" s="97">
        <v>233.43</v>
      </c>
      <c r="L400" s="101"/>
      <c r="M400" s="102">
        <v>47.5</v>
      </c>
      <c r="N400" s="102">
        <v>280.93</v>
      </c>
    </row>
    <row r="401" spans="1:14" x14ac:dyDescent="0.25">
      <c r="A401" s="95">
        <v>1770618720</v>
      </c>
      <c r="B401" s="96" t="s">
        <v>550</v>
      </c>
      <c r="C401" s="97">
        <v>253.67</v>
      </c>
      <c r="D401" s="98">
        <v>1.2710999999999999</v>
      </c>
      <c r="E401" s="99">
        <v>147.12</v>
      </c>
      <c r="F401" s="99">
        <v>36.85</v>
      </c>
      <c r="G401" s="99">
        <v>24.04</v>
      </c>
      <c r="H401" s="99">
        <v>13.68</v>
      </c>
      <c r="I401" s="100"/>
      <c r="J401" s="97">
        <v>256.05</v>
      </c>
      <c r="K401" s="97">
        <v>256.05</v>
      </c>
      <c r="L401" s="101"/>
      <c r="M401" s="102">
        <v>47.5</v>
      </c>
      <c r="N401" s="102">
        <v>303.55</v>
      </c>
    </row>
    <row r="402" spans="1:14" x14ac:dyDescent="0.25">
      <c r="A402" s="95">
        <v>1356476311</v>
      </c>
      <c r="B402" s="96" t="s">
        <v>551</v>
      </c>
      <c r="C402" s="97">
        <v>222.68</v>
      </c>
      <c r="D402" s="98">
        <v>1.1218999999999999</v>
      </c>
      <c r="E402" s="99">
        <v>132.87</v>
      </c>
      <c r="F402" s="99">
        <v>36.85</v>
      </c>
      <c r="G402" s="99">
        <v>23.5</v>
      </c>
      <c r="H402" s="99">
        <v>0</v>
      </c>
      <c r="I402" s="100"/>
      <c r="J402" s="97">
        <v>223.17</v>
      </c>
      <c r="K402" s="97">
        <v>223.17</v>
      </c>
      <c r="L402" s="101"/>
      <c r="M402" s="102">
        <v>47.5</v>
      </c>
      <c r="N402" s="102">
        <v>270.66999999999996</v>
      </c>
    </row>
    <row r="403" spans="1:14" x14ac:dyDescent="0.25">
      <c r="A403" s="95">
        <v>1124342241</v>
      </c>
      <c r="B403" s="96" t="s">
        <v>552</v>
      </c>
      <c r="C403" s="97">
        <v>258.83999999999997</v>
      </c>
      <c r="D403" s="98">
        <v>1.2750999999999999</v>
      </c>
      <c r="E403" s="99">
        <v>144.71</v>
      </c>
      <c r="F403" s="99">
        <v>36.85</v>
      </c>
      <c r="G403" s="99">
        <v>30.02</v>
      </c>
      <c r="H403" s="99">
        <v>13.68</v>
      </c>
      <c r="I403" s="100"/>
      <c r="J403" s="97">
        <v>260.18</v>
      </c>
      <c r="K403" s="97">
        <v>260.18</v>
      </c>
      <c r="L403" s="101"/>
      <c r="M403" s="102">
        <v>47.5</v>
      </c>
      <c r="N403" s="102">
        <v>307.68</v>
      </c>
    </row>
    <row r="404" spans="1:14" x14ac:dyDescent="0.25">
      <c r="A404" s="95">
        <v>1548230188</v>
      </c>
      <c r="B404" s="96" t="s">
        <v>553</v>
      </c>
      <c r="C404" s="97">
        <v>203.19</v>
      </c>
      <c r="D404" s="98">
        <v>0.92410000000000003</v>
      </c>
      <c r="E404" s="99">
        <v>116.41</v>
      </c>
      <c r="F404" s="99">
        <v>36.85</v>
      </c>
      <c r="G404" s="99">
        <v>12.44</v>
      </c>
      <c r="H404" s="99">
        <v>0</v>
      </c>
      <c r="I404" s="100"/>
      <c r="J404" s="97">
        <v>191.38</v>
      </c>
      <c r="K404" s="97">
        <v>203.19</v>
      </c>
      <c r="L404" s="101"/>
      <c r="M404" s="102">
        <v>47.5</v>
      </c>
      <c r="N404" s="102">
        <v>250.69</v>
      </c>
    </row>
    <row r="405" spans="1:14" x14ac:dyDescent="0.25">
      <c r="A405" s="95">
        <v>1285656272</v>
      </c>
      <c r="B405" s="96" t="s">
        <v>554</v>
      </c>
      <c r="C405" s="97">
        <v>268.45999999999998</v>
      </c>
      <c r="D405" s="98">
        <v>0.92720000000000002</v>
      </c>
      <c r="E405" s="99">
        <v>118.39</v>
      </c>
      <c r="F405" s="99">
        <v>36.85</v>
      </c>
      <c r="G405" s="99">
        <v>16.07</v>
      </c>
      <c r="H405" s="99">
        <v>0</v>
      </c>
      <c r="I405" s="100"/>
      <c r="J405" s="97">
        <v>197.86</v>
      </c>
      <c r="K405" s="97">
        <v>268.45999999999998</v>
      </c>
      <c r="L405" s="101"/>
      <c r="M405" s="102">
        <v>47.5</v>
      </c>
      <c r="N405" s="102">
        <v>315.95999999999998</v>
      </c>
    </row>
    <row r="406" spans="1:14" x14ac:dyDescent="0.25">
      <c r="A406" s="95">
        <v>1528606225</v>
      </c>
      <c r="B406" s="101" t="s">
        <v>555</v>
      </c>
      <c r="C406" s="97">
        <v>263.25</v>
      </c>
      <c r="D406" s="98">
        <v>1.4124000000000001</v>
      </c>
      <c r="E406" s="99">
        <v>152.07</v>
      </c>
      <c r="F406" s="99">
        <v>36.85</v>
      </c>
      <c r="G406" s="99">
        <v>24.52</v>
      </c>
      <c r="H406" s="99">
        <v>13.68</v>
      </c>
      <c r="I406" s="100"/>
      <c r="J406" s="97">
        <v>262.32</v>
      </c>
      <c r="K406" s="97">
        <v>263.25</v>
      </c>
      <c r="L406" s="101"/>
      <c r="M406" s="102">
        <v>47.5</v>
      </c>
      <c r="N406" s="102">
        <v>310.75</v>
      </c>
    </row>
    <row r="407" spans="1:14" x14ac:dyDescent="0.25">
      <c r="A407" s="95">
        <v>1508802497</v>
      </c>
      <c r="B407" s="96" t="s">
        <v>556</v>
      </c>
      <c r="C407" s="97">
        <v>225.58</v>
      </c>
      <c r="D407" s="98">
        <v>1.1821999999999999</v>
      </c>
      <c r="E407" s="99">
        <v>136.83000000000001</v>
      </c>
      <c r="F407" s="99">
        <v>36.85</v>
      </c>
      <c r="G407" s="99">
        <v>10.06</v>
      </c>
      <c r="H407" s="99">
        <v>7.18</v>
      </c>
      <c r="I407" s="100"/>
      <c r="J407" s="97">
        <v>220.51</v>
      </c>
      <c r="K407" s="97">
        <v>225.58</v>
      </c>
      <c r="L407" s="101"/>
      <c r="M407" s="102">
        <v>47.5</v>
      </c>
      <c r="N407" s="102">
        <v>273.08000000000004</v>
      </c>
    </row>
    <row r="408" spans="1:14" x14ac:dyDescent="0.25">
      <c r="A408" s="95">
        <v>1629425491</v>
      </c>
      <c r="B408" s="101" t="s">
        <v>557</v>
      </c>
      <c r="C408" s="97">
        <v>242.3</v>
      </c>
      <c r="D408" s="98">
        <v>1.2562</v>
      </c>
      <c r="E408" s="99">
        <v>146.49</v>
      </c>
      <c r="F408" s="99">
        <v>36.85</v>
      </c>
      <c r="G408" s="99">
        <v>8.49</v>
      </c>
      <c r="H408" s="99">
        <v>13.68</v>
      </c>
      <c r="I408" s="100"/>
      <c r="J408" s="97">
        <v>237.36</v>
      </c>
      <c r="K408" s="97">
        <v>242.3</v>
      </c>
      <c r="L408" s="101"/>
      <c r="M408" s="102">
        <v>47.5</v>
      </c>
      <c r="N408" s="102">
        <v>289.8</v>
      </c>
    </row>
    <row r="409" spans="1:14" x14ac:dyDescent="0.25">
      <c r="A409" s="95">
        <v>1629016340</v>
      </c>
      <c r="B409" s="96" t="s">
        <v>558</v>
      </c>
      <c r="C409" s="97">
        <v>238.96</v>
      </c>
      <c r="D409" s="98">
        <v>1.1845000000000001</v>
      </c>
      <c r="E409" s="99">
        <v>138.75</v>
      </c>
      <c r="F409" s="99">
        <v>36.85</v>
      </c>
      <c r="G409" s="99">
        <v>12</v>
      </c>
      <c r="H409" s="99">
        <v>13.68</v>
      </c>
      <c r="I409" s="100"/>
      <c r="J409" s="97">
        <v>232.48</v>
      </c>
      <c r="K409" s="97">
        <v>238.96</v>
      </c>
      <c r="L409" s="101"/>
      <c r="M409" s="102">
        <v>47.5</v>
      </c>
      <c r="N409" s="102">
        <v>286.46000000000004</v>
      </c>
    </row>
    <row r="410" spans="1:14" x14ac:dyDescent="0.25">
      <c r="A410" s="95">
        <v>1215979059</v>
      </c>
      <c r="B410" s="96" t="s">
        <v>559</v>
      </c>
      <c r="C410" s="97">
        <v>243.23</v>
      </c>
      <c r="D410" s="98">
        <v>1.0774999999999999</v>
      </c>
      <c r="E410" s="99">
        <v>129.25</v>
      </c>
      <c r="F410" s="99">
        <v>36.85</v>
      </c>
      <c r="G410" s="99">
        <v>22.63</v>
      </c>
      <c r="H410" s="99">
        <v>13.68</v>
      </c>
      <c r="I410" s="100"/>
      <c r="J410" s="97">
        <v>233.78</v>
      </c>
      <c r="K410" s="97">
        <v>243.23</v>
      </c>
      <c r="L410" s="101"/>
      <c r="M410" s="102">
        <v>47.5</v>
      </c>
      <c r="N410" s="102">
        <v>290.73</v>
      </c>
    </row>
    <row r="411" spans="1:14" x14ac:dyDescent="0.25">
      <c r="A411" s="95">
        <v>1700812146</v>
      </c>
      <c r="B411" s="96" t="s">
        <v>560</v>
      </c>
      <c r="C411" s="97">
        <v>243.95</v>
      </c>
      <c r="D411" s="98">
        <v>1.1919999999999999</v>
      </c>
      <c r="E411" s="99">
        <v>137.84</v>
      </c>
      <c r="F411" s="99">
        <v>36.85</v>
      </c>
      <c r="G411" s="99">
        <v>16.36</v>
      </c>
      <c r="H411" s="99">
        <v>13.68</v>
      </c>
      <c r="I411" s="100"/>
      <c r="J411" s="97">
        <v>236.46</v>
      </c>
      <c r="K411" s="97">
        <v>243.95</v>
      </c>
      <c r="L411" s="101"/>
      <c r="M411" s="102">
        <v>47.5</v>
      </c>
      <c r="N411" s="102">
        <v>291.45</v>
      </c>
    </row>
    <row r="412" spans="1:14" x14ac:dyDescent="0.25">
      <c r="A412" s="95">
        <v>1750703278</v>
      </c>
      <c r="B412" s="96" t="s">
        <v>561</v>
      </c>
      <c r="C412" s="97">
        <v>230.2</v>
      </c>
      <c r="D412" s="98">
        <v>1.0911</v>
      </c>
      <c r="E412" s="99">
        <v>130.24</v>
      </c>
      <c r="F412" s="99">
        <v>36.85</v>
      </c>
      <c r="G412" s="99">
        <v>16.829999999999998</v>
      </c>
      <c r="H412" s="99">
        <v>13.68</v>
      </c>
      <c r="I412" s="100"/>
      <c r="J412" s="97">
        <v>228.23</v>
      </c>
      <c r="K412" s="97">
        <v>230.2</v>
      </c>
      <c r="L412" s="101"/>
      <c r="M412" s="102">
        <v>47.5</v>
      </c>
      <c r="N412" s="102">
        <v>277.7</v>
      </c>
    </row>
    <row r="413" spans="1:14" x14ac:dyDescent="0.25">
      <c r="A413" s="95">
        <v>1992793962</v>
      </c>
      <c r="B413" s="96" t="s">
        <v>562</v>
      </c>
      <c r="C413" s="97">
        <v>255.36</v>
      </c>
      <c r="D413" s="98">
        <v>1.3656999999999999</v>
      </c>
      <c r="E413" s="99">
        <v>151.27000000000001</v>
      </c>
      <c r="F413" s="99">
        <v>36.85</v>
      </c>
      <c r="G413" s="99">
        <v>17.89</v>
      </c>
      <c r="H413" s="99">
        <v>13.68</v>
      </c>
      <c r="I413" s="100"/>
      <c r="J413" s="97">
        <v>253.74</v>
      </c>
      <c r="K413" s="97">
        <v>255.36</v>
      </c>
      <c r="L413" s="101"/>
      <c r="M413" s="102">
        <v>47.5</v>
      </c>
      <c r="N413" s="102">
        <v>302.86</v>
      </c>
    </row>
    <row r="414" spans="1:14" x14ac:dyDescent="0.25">
      <c r="A414" s="95">
        <v>1528040888</v>
      </c>
      <c r="B414" s="96" t="s">
        <v>563</v>
      </c>
      <c r="C414" s="97">
        <v>225.31</v>
      </c>
      <c r="D414" s="98">
        <v>1.0041</v>
      </c>
      <c r="E414" s="99">
        <v>123.49</v>
      </c>
      <c r="F414" s="99">
        <v>36.85</v>
      </c>
      <c r="G414" s="99">
        <v>19.45</v>
      </c>
      <c r="H414" s="99">
        <v>13.68</v>
      </c>
      <c r="I414" s="100"/>
      <c r="J414" s="97">
        <v>223.46</v>
      </c>
      <c r="K414" s="97">
        <v>225.31</v>
      </c>
      <c r="L414" s="101"/>
      <c r="M414" s="102">
        <v>47.5</v>
      </c>
      <c r="N414" s="102">
        <v>272.81</v>
      </c>
    </row>
    <row r="415" spans="1:14" x14ac:dyDescent="0.25">
      <c r="A415" s="95">
        <v>1467016105</v>
      </c>
      <c r="B415" s="96" t="s">
        <v>564</v>
      </c>
      <c r="C415" s="97">
        <v>242.88</v>
      </c>
      <c r="D415" s="98">
        <v>1.1664000000000001</v>
      </c>
      <c r="E415" s="99">
        <v>136.16999999999999</v>
      </c>
      <c r="F415" s="99">
        <v>36.85</v>
      </c>
      <c r="G415" s="99">
        <v>15.94</v>
      </c>
      <c r="H415" s="99">
        <v>13.68</v>
      </c>
      <c r="I415" s="100"/>
      <c r="J415" s="97">
        <v>234.05</v>
      </c>
      <c r="K415" s="97">
        <v>242.88</v>
      </c>
      <c r="L415" s="101"/>
      <c r="M415" s="102">
        <v>47.5</v>
      </c>
      <c r="N415" s="102">
        <v>290.38</v>
      </c>
    </row>
    <row r="416" spans="1:14" x14ac:dyDescent="0.25">
      <c r="A416" s="95">
        <v>1023481520</v>
      </c>
      <c r="B416" s="96" t="s">
        <v>565</v>
      </c>
      <c r="C416" s="97">
        <v>259.31</v>
      </c>
      <c r="D416" s="98">
        <v>1.0936999999999999</v>
      </c>
      <c r="E416" s="99">
        <v>130.53</v>
      </c>
      <c r="F416" s="99">
        <v>36.85</v>
      </c>
      <c r="G416" s="99">
        <v>36.93</v>
      </c>
      <c r="H416" s="99">
        <v>13.68</v>
      </c>
      <c r="I416" s="100"/>
      <c r="J416" s="97">
        <v>251.78</v>
      </c>
      <c r="K416" s="97">
        <v>259.31</v>
      </c>
      <c r="L416" s="101"/>
      <c r="M416" s="102">
        <v>47.5</v>
      </c>
      <c r="N416" s="102">
        <v>306.81</v>
      </c>
    </row>
    <row r="417" spans="1:14" x14ac:dyDescent="0.25">
      <c r="A417" s="95">
        <v>1174178313</v>
      </c>
      <c r="B417" s="96" t="s">
        <v>566</v>
      </c>
      <c r="C417" s="97">
        <v>235.84</v>
      </c>
      <c r="D417" s="98">
        <v>1.1469</v>
      </c>
      <c r="E417" s="99">
        <v>134.46</v>
      </c>
      <c r="F417" s="99">
        <v>36.85</v>
      </c>
      <c r="G417" s="99">
        <v>8.6300000000000008</v>
      </c>
      <c r="H417" s="99">
        <v>13.68</v>
      </c>
      <c r="I417" s="100"/>
      <c r="J417" s="97">
        <v>223.63</v>
      </c>
      <c r="K417" s="97">
        <v>235.84</v>
      </c>
      <c r="L417" s="101"/>
      <c r="M417" s="102">
        <v>47.5</v>
      </c>
      <c r="N417" s="102">
        <v>283.34000000000003</v>
      </c>
    </row>
    <row r="418" spans="1:14" x14ac:dyDescent="0.25">
      <c r="A418" s="95">
        <v>1164848503</v>
      </c>
      <c r="B418" s="96" t="s">
        <v>567</v>
      </c>
      <c r="C418" s="97">
        <v>239.7</v>
      </c>
      <c r="D418" s="98">
        <v>1.2999000000000001</v>
      </c>
      <c r="E418" s="99">
        <v>142.65</v>
      </c>
      <c r="F418" s="99">
        <v>36.85</v>
      </c>
      <c r="G418" s="99">
        <v>16.760000000000002</v>
      </c>
      <c r="H418" s="99">
        <v>13.68</v>
      </c>
      <c r="I418" s="100"/>
      <c r="J418" s="97">
        <v>242.48</v>
      </c>
      <c r="K418" s="97">
        <v>242.48</v>
      </c>
      <c r="L418" s="101"/>
      <c r="M418" s="102">
        <v>47.5</v>
      </c>
      <c r="N418" s="102">
        <v>289.98</v>
      </c>
    </row>
    <row r="419" spans="1:14" ht="14.4" x14ac:dyDescent="0.3">
      <c r="A419" s="83"/>
      <c r="B419" s="83"/>
      <c r="C419" s="83"/>
      <c r="D419" s="83"/>
      <c r="E419" s="83"/>
      <c r="F419" s="83"/>
      <c r="G419" s="83"/>
      <c r="H419" s="83"/>
      <c r="I419" s="83"/>
      <c r="J419" s="83"/>
      <c r="K419" s="83"/>
      <c r="L419" s="83"/>
      <c r="M419" s="83"/>
      <c r="N419" s="83"/>
    </row>
    <row r="420" spans="1:14" ht="14.4" x14ac:dyDescent="0.3">
      <c r="A420" s="83"/>
      <c r="B420" s="83"/>
      <c r="C420" s="83"/>
      <c r="D420" s="83"/>
      <c r="E420" s="83"/>
      <c r="F420" s="83"/>
      <c r="G420" s="83"/>
      <c r="H420" s="83"/>
      <c r="I420" s="83"/>
      <c r="J420" s="83"/>
      <c r="K420" s="83"/>
      <c r="L420" s="83"/>
      <c r="M420" s="83"/>
      <c r="N420" s="83"/>
    </row>
    <row r="421" spans="1:14" ht="14.4" x14ac:dyDescent="0.3">
      <c r="A421" s="83"/>
      <c r="B421" s="83"/>
      <c r="C421" s="83"/>
      <c r="D421" s="83"/>
      <c r="E421" s="83"/>
      <c r="F421" s="83"/>
      <c r="G421" s="83"/>
      <c r="H421" s="83"/>
      <c r="I421" s="83"/>
      <c r="J421" s="83"/>
      <c r="K421" s="83"/>
      <c r="L421" s="83"/>
      <c r="M421" s="83"/>
      <c r="N421" s="83"/>
    </row>
    <row r="422" spans="1:14" x14ac:dyDescent="0.25">
      <c r="A422" s="221" t="s">
        <v>568</v>
      </c>
      <c r="B422" s="222"/>
      <c r="C422" s="222"/>
      <c r="D422" s="222"/>
      <c r="E422" s="222"/>
      <c r="F422" s="222"/>
      <c r="G422" s="222"/>
      <c r="H422" s="222"/>
      <c r="I422" s="222"/>
      <c r="J422" s="222"/>
      <c r="K422" s="222"/>
      <c r="L422" s="222"/>
      <c r="M422" s="222"/>
      <c r="N422" s="222"/>
    </row>
    <row r="423" spans="1:14" x14ac:dyDescent="0.25">
      <c r="A423" s="223"/>
      <c r="B423" s="224"/>
      <c r="C423" s="224"/>
      <c r="D423" s="224"/>
      <c r="E423" s="224"/>
      <c r="F423" s="224"/>
      <c r="G423" s="224"/>
      <c r="H423" s="224"/>
      <c r="I423" s="224"/>
      <c r="J423" s="224"/>
      <c r="K423" s="224"/>
      <c r="L423" s="224"/>
      <c r="M423" s="224"/>
      <c r="N423" s="224"/>
    </row>
    <row r="424" spans="1:14" x14ac:dyDescent="0.25">
      <c r="A424" s="225" t="s">
        <v>163</v>
      </c>
      <c r="B424" s="226"/>
      <c r="C424" s="226"/>
      <c r="D424" s="226"/>
      <c r="E424" s="226"/>
      <c r="F424" s="226"/>
      <c r="G424" s="226"/>
      <c r="H424" s="226"/>
      <c r="I424" s="226"/>
      <c r="J424" s="227"/>
      <c r="K424" s="227"/>
      <c r="L424" s="87"/>
      <c r="M424" s="228" t="s">
        <v>569</v>
      </c>
      <c r="N424" s="229"/>
    </row>
    <row r="425" spans="1:14" ht="79.2" x14ac:dyDescent="0.25">
      <c r="A425" s="88" t="s">
        <v>66</v>
      </c>
      <c r="B425" s="88" t="s">
        <v>26</v>
      </c>
      <c r="C425" s="89" t="s">
        <v>589</v>
      </c>
      <c r="D425" s="90" t="s">
        <v>582</v>
      </c>
      <c r="E425" s="90" t="s">
        <v>583</v>
      </c>
      <c r="F425" s="90" t="s">
        <v>584</v>
      </c>
      <c r="G425" s="90" t="s">
        <v>585</v>
      </c>
      <c r="H425" s="90" t="s">
        <v>586</v>
      </c>
      <c r="I425" s="91"/>
      <c r="J425" s="92" t="s">
        <v>590</v>
      </c>
      <c r="K425" s="93" t="s">
        <v>591</v>
      </c>
      <c r="L425" s="93"/>
      <c r="M425" s="94" t="s">
        <v>570</v>
      </c>
      <c r="N425" s="94" t="s">
        <v>571</v>
      </c>
    </row>
    <row r="426" spans="1:14" ht="14.4" x14ac:dyDescent="0.3">
      <c r="A426" s="95">
        <v>1720085293</v>
      </c>
      <c r="B426" s="96" t="s">
        <v>572</v>
      </c>
      <c r="C426" s="97">
        <v>230.39</v>
      </c>
      <c r="D426" s="98">
        <v>1.1996</v>
      </c>
      <c r="E426" s="104">
        <v>139.63999999999999</v>
      </c>
      <c r="F426" s="104">
        <v>36.85</v>
      </c>
      <c r="G426" s="104">
        <v>8.77</v>
      </c>
      <c r="H426" s="104">
        <v>13.68</v>
      </c>
      <c r="I426" s="100"/>
      <c r="J426" s="97">
        <v>229.78</v>
      </c>
      <c r="K426" s="97">
        <v>230.39</v>
      </c>
      <c r="L426" s="83"/>
      <c r="M426" s="102">
        <v>317.02999999999997</v>
      </c>
      <c r="N426" s="102">
        <v>878.03</v>
      </c>
    </row>
    <row r="427" spans="1:14" ht="14.4" x14ac:dyDescent="0.3">
      <c r="A427" s="83"/>
      <c r="B427" s="83"/>
      <c r="C427" s="83"/>
      <c r="D427" s="83"/>
      <c r="E427" s="83"/>
      <c r="F427" s="83"/>
      <c r="G427" s="83"/>
      <c r="H427" s="83"/>
      <c r="I427" s="83"/>
      <c r="J427" s="83"/>
      <c r="K427" s="83"/>
      <c r="L427" s="83"/>
      <c r="M427" s="83"/>
      <c r="N427" s="83"/>
    </row>
    <row r="428" spans="1:14" ht="14.4" x14ac:dyDescent="0.3">
      <c r="A428" s="83"/>
      <c r="B428" s="83"/>
      <c r="C428" s="83"/>
      <c r="D428" s="83"/>
      <c r="E428" s="83"/>
      <c r="F428" s="83"/>
      <c r="G428" s="83"/>
      <c r="H428" s="83"/>
      <c r="I428" s="83"/>
      <c r="J428" s="83"/>
      <c r="K428" s="83"/>
      <c r="L428" s="83"/>
      <c r="M428" s="83"/>
      <c r="N428" s="83"/>
    </row>
    <row r="430" spans="1:14" ht="13.8" x14ac:dyDescent="0.25">
      <c r="A430" s="230" t="s">
        <v>573</v>
      </c>
      <c r="B430" s="231"/>
      <c r="C430" s="231"/>
      <c r="D430" s="231"/>
      <c r="E430" s="231"/>
      <c r="F430" s="231"/>
      <c r="G430" s="231"/>
      <c r="H430" s="231"/>
      <c r="I430" s="231"/>
      <c r="J430" s="231"/>
      <c r="K430" s="231"/>
      <c r="L430" s="231"/>
      <c r="M430" s="231"/>
      <c r="N430" s="231"/>
    </row>
    <row r="431" spans="1:14" ht="13.8" x14ac:dyDescent="0.25">
      <c r="A431" s="232" t="s">
        <v>159</v>
      </c>
      <c r="B431" s="233"/>
      <c r="C431" s="233"/>
      <c r="D431" s="233"/>
      <c r="E431" s="233"/>
      <c r="F431" s="233"/>
      <c r="G431" s="233"/>
      <c r="H431" s="233"/>
      <c r="I431" s="233"/>
      <c r="J431" s="233"/>
      <c r="K431" s="233"/>
      <c r="L431" s="233"/>
      <c r="M431" s="233"/>
      <c r="N431" s="233"/>
    </row>
    <row r="432" spans="1:14" ht="14.4" x14ac:dyDescent="0.3">
      <c r="A432" s="217" t="s">
        <v>574</v>
      </c>
      <c r="B432" s="218"/>
      <c r="C432" s="218"/>
      <c r="D432" s="218"/>
      <c r="E432" s="218"/>
      <c r="F432" s="218"/>
      <c r="G432" s="218"/>
      <c r="H432" s="218"/>
      <c r="I432" s="218"/>
      <c r="J432" s="218"/>
      <c r="K432" s="218"/>
      <c r="L432" s="218"/>
      <c r="M432" s="218"/>
      <c r="N432" s="218"/>
    </row>
    <row r="433" spans="1:14" ht="14.4" x14ac:dyDescent="0.3">
      <c r="A433" s="110"/>
      <c r="B433" s="111"/>
      <c r="C433" s="111"/>
      <c r="D433" s="111"/>
      <c r="E433" s="111"/>
      <c r="F433" s="111"/>
      <c r="G433" s="111"/>
      <c r="H433" s="111"/>
      <c r="I433" s="111"/>
      <c r="J433" s="111"/>
      <c r="K433" s="111"/>
      <c r="L433" s="111"/>
      <c r="M433" s="219" t="s">
        <v>164</v>
      </c>
      <c r="N433" s="220"/>
    </row>
    <row r="434" spans="1:14" ht="79.2" x14ac:dyDescent="0.25">
      <c r="A434" s="88" t="s">
        <v>66</v>
      </c>
      <c r="B434" s="88" t="s">
        <v>26</v>
      </c>
      <c r="C434" s="89" t="s">
        <v>165</v>
      </c>
      <c r="D434" s="90" t="s">
        <v>166</v>
      </c>
      <c r="E434" s="90" t="s">
        <v>167</v>
      </c>
      <c r="F434" s="90" t="s">
        <v>168</v>
      </c>
      <c r="G434" s="90" t="s">
        <v>169</v>
      </c>
      <c r="H434" s="90" t="s">
        <v>170</v>
      </c>
      <c r="I434" s="91"/>
      <c r="J434" s="92" t="s">
        <v>575</v>
      </c>
      <c r="K434" s="105" t="s">
        <v>576</v>
      </c>
      <c r="L434" s="93"/>
      <c r="M434" s="106" t="s">
        <v>171</v>
      </c>
      <c r="N434" s="106" t="s">
        <v>172</v>
      </c>
    </row>
    <row r="435" spans="1:14" x14ac:dyDescent="0.25">
      <c r="A435" s="101">
        <v>1073168316</v>
      </c>
      <c r="B435" s="101" t="s">
        <v>577</v>
      </c>
      <c r="C435" s="107">
        <v>409.71</v>
      </c>
      <c r="D435" s="108" t="s">
        <v>578</v>
      </c>
      <c r="E435" s="108" t="s">
        <v>578</v>
      </c>
      <c r="F435" s="108" t="s">
        <v>578</v>
      </c>
      <c r="G435" s="108" t="s">
        <v>578</v>
      </c>
      <c r="H435" s="108" t="s">
        <v>578</v>
      </c>
      <c r="I435" s="109"/>
      <c r="J435" s="104">
        <v>473.22</v>
      </c>
      <c r="K435" s="104">
        <v>473.22</v>
      </c>
      <c r="L435" s="104"/>
      <c r="M435" s="104">
        <v>47.5</v>
      </c>
      <c r="N435" s="104">
        <v>520.72</v>
      </c>
    </row>
  </sheetData>
  <mergeCells count="20">
    <mergeCell ref="A16:N16"/>
    <mergeCell ref="A9:N9"/>
    <mergeCell ref="A10:N10"/>
    <mergeCell ref="A12:N12"/>
    <mergeCell ref="A14:N14"/>
    <mergeCell ref="A15:N15"/>
    <mergeCell ref="A17:N17"/>
    <mergeCell ref="A19:N19"/>
    <mergeCell ref="A20:N20"/>
    <mergeCell ref="A21:N21"/>
    <mergeCell ref="A22:K22"/>
    <mergeCell ref="M22:N22"/>
    <mergeCell ref="A432:N432"/>
    <mergeCell ref="M433:N433"/>
    <mergeCell ref="A422:N422"/>
    <mergeCell ref="A423:N423"/>
    <mergeCell ref="A424:K424"/>
    <mergeCell ref="M424:N424"/>
    <mergeCell ref="A430:N430"/>
    <mergeCell ref="A431:N4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sheetPr>
  <dimension ref="A2:P36"/>
  <sheetViews>
    <sheetView workbookViewId="0">
      <selection activeCell="A3" sqref="A3"/>
    </sheetView>
  </sheetViews>
  <sheetFormatPr defaultRowHeight="13.2" x14ac:dyDescent="0.25"/>
  <cols>
    <col min="1" max="1" width="35.5546875" customWidth="1"/>
    <col min="2" max="2" width="15.6640625" customWidth="1"/>
    <col min="3" max="4" width="12.88671875" customWidth="1"/>
    <col min="6" max="7" width="3.6640625" customWidth="1"/>
    <col min="8" max="8" width="36.109375" customWidth="1"/>
    <col min="9" max="9" width="11" bestFit="1" customWidth="1"/>
    <col min="10" max="10" width="3.6640625" customWidth="1"/>
    <col min="11" max="11" width="2.6640625" customWidth="1"/>
    <col min="12" max="12" width="3.21875" customWidth="1"/>
    <col min="13" max="13" width="3.6640625" customWidth="1"/>
    <col min="14" max="14" width="35.88671875" customWidth="1"/>
    <col min="15" max="15" width="10.5546875" customWidth="1"/>
    <col min="16" max="16" width="2.88671875" customWidth="1"/>
  </cols>
  <sheetData>
    <row r="2" spans="1:16" ht="13.8" thickBot="1" x14ac:dyDescent="0.3">
      <c r="A2" s="9" t="s">
        <v>67</v>
      </c>
    </row>
    <row r="3" spans="1:16" ht="13.8" thickTop="1" x14ac:dyDescent="0.25">
      <c r="A3" s="56"/>
      <c r="B3" s="57"/>
      <c r="C3" s="192"/>
      <c r="D3" s="25"/>
      <c r="E3" s="25"/>
      <c r="F3" s="13"/>
      <c r="G3" s="14"/>
      <c r="H3" s="14"/>
      <c r="I3" s="14"/>
      <c r="J3" s="15"/>
      <c r="L3" s="13"/>
      <c r="M3" s="14"/>
      <c r="N3" s="14"/>
      <c r="O3" s="14"/>
      <c r="P3" s="15"/>
    </row>
    <row r="4" spans="1:16" x14ac:dyDescent="0.25">
      <c r="F4" s="205" t="s">
        <v>600</v>
      </c>
      <c r="G4" s="206"/>
      <c r="H4" s="206"/>
      <c r="I4" s="206"/>
      <c r="J4" s="207"/>
      <c r="L4" s="205" t="s">
        <v>35</v>
      </c>
      <c r="M4" s="206"/>
      <c r="N4" s="206"/>
      <c r="O4" s="206"/>
      <c r="P4" s="207"/>
    </row>
    <row r="5" spans="1:16" x14ac:dyDescent="0.25">
      <c r="B5" s="197"/>
      <c r="F5" s="205" t="s">
        <v>35</v>
      </c>
      <c r="G5" s="206"/>
      <c r="H5" s="206"/>
      <c r="I5" s="206"/>
      <c r="J5" s="207"/>
      <c r="L5" s="208" t="s">
        <v>605</v>
      </c>
      <c r="M5" s="209"/>
      <c r="N5" s="209"/>
      <c r="O5" s="209"/>
      <c r="P5" s="210"/>
    </row>
    <row r="6" spans="1:16" ht="13.8" thickBot="1" x14ac:dyDescent="0.3">
      <c r="A6" s="9" t="s">
        <v>601</v>
      </c>
      <c r="B6" s="54"/>
      <c r="F6" s="205" t="str">
        <f>IF('New Facilities'!C2&lt;&gt;"New","","For a 'new' facility - one without a 2005 Medicaid cost report")</f>
        <v/>
      </c>
      <c r="G6" s="206"/>
      <c r="H6" s="206"/>
      <c r="I6" s="206"/>
      <c r="J6" s="207"/>
      <c r="L6" s="208" t="str">
        <f>+F6</f>
        <v/>
      </c>
      <c r="M6" s="209"/>
      <c r="N6" s="209"/>
      <c r="O6" s="209"/>
      <c r="P6" s="210"/>
    </row>
    <row r="7" spans="1:16" ht="13.8" thickTop="1" x14ac:dyDescent="0.25">
      <c r="A7" s="165" t="str">
        <f>IF(B6="","","NPI Confirmation:")</f>
        <v/>
      </c>
      <c r="B7" t="str">
        <f>IF(B6="","",CONCATENATE("This facility has ",'FRV Rate Calculation'!C7," beds and is in ZIP Code ",'FRV Rate Calculation'!C6,"."))</f>
        <v/>
      </c>
      <c r="D7" s="19"/>
      <c r="F7" s="13"/>
      <c r="G7" s="14"/>
      <c r="H7" s="14"/>
      <c r="I7" s="14"/>
      <c r="J7" s="15"/>
      <c r="L7" s="13"/>
      <c r="M7" s="14"/>
      <c r="N7" s="14"/>
      <c r="O7" s="14"/>
      <c r="P7" s="15"/>
    </row>
    <row r="8" spans="1:16" x14ac:dyDescent="0.25">
      <c r="D8" s="19"/>
      <c r="F8" s="40" t="s">
        <v>48</v>
      </c>
      <c r="G8" s="4"/>
      <c r="H8" s="4" t="s">
        <v>43</v>
      </c>
      <c r="I8" s="22" t="e">
        <f>+B9</f>
        <v>#N/A</v>
      </c>
      <c r="J8" s="21"/>
      <c r="L8" s="40" t="s">
        <v>48</v>
      </c>
      <c r="M8" s="4"/>
      <c r="N8" s="4" t="s">
        <v>43</v>
      </c>
      <c r="O8" s="22">
        <f>+B10</f>
        <v>0</v>
      </c>
      <c r="P8" s="21"/>
    </row>
    <row r="9" spans="1:16" x14ac:dyDescent="0.25">
      <c r="A9" s="9" t="s">
        <v>810</v>
      </c>
      <c r="B9" s="171" t="e">
        <f>VLOOKUP($B$6,'Lookup Info'!$A$2:$K$399,11,FALSE)</f>
        <v>#N/A</v>
      </c>
      <c r="D9" s="26"/>
      <c r="F9" s="40" t="s">
        <v>49</v>
      </c>
      <c r="G9" s="4"/>
      <c r="H9" s="4" t="s">
        <v>42</v>
      </c>
      <c r="I9" s="24" t="e">
        <f>VLOOKUP(B6,'Lookup Info'!A2:D399,2,FALSE)</f>
        <v>#N/A</v>
      </c>
      <c r="J9" s="21"/>
      <c r="L9" s="40" t="s">
        <v>49</v>
      </c>
      <c r="M9" s="4"/>
      <c r="N9" s="4" t="s">
        <v>42</v>
      </c>
      <c r="O9" s="24" t="e">
        <f>+I9</f>
        <v>#N/A</v>
      </c>
      <c r="P9" s="21"/>
    </row>
    <row r="10" spans="1:16" x14ac:dyDescent="0.25">
      <c r="A10" s="37" t="s">
        <v>602</v>
      </c>
      <c r="B10" s="117"/>
      <c r="C10" s="118" t="s">
        <v>608</v>
      </c>
      <c r="D10" s="19"/>
      <c r="F10" s="40"/>
      <c r="G10" s="4"/>
      <c r="H10" s="4"/>
      <c r="I10" s="4"/>
      <c r="J10" s="21"/>
      <c r="L10" s="40"/>
      <c r="M10" s="4"/>
      <c r="N10" s="4"/>
      <c r="O10" s="4"/>
      <c r="P10" s="21"/>
    </row>
    <row r="11" spans="1:16" x14ac:dyDescent="0.25">
      <c r="C11" s="19"/>
      <c r="D11" s="19"/>
      <c r="F11" s="40" t="str">
        <f>IF('New Facilities'!$C$2&lt;&gt;"New","c","c1")</f>
        <v>c</v>
      </c>
      <c r="G11" s="4"/>
      <c r="H11" s="39" t="str">
        <f>IF('New Facilities'!$C$2&lt;&gt;"New","Direct Neutralized Rate Cap","Average Direct Rate")</f>
        <v>Direct Neutralized Rate Cap</v>
      </c>
      <c r="I11" s="44">
        <f>IF('New Facilities'!$C$2&lt;&gt;"New",123.29,'New Facilities'!G4)</f>
        <v>123.29</v>
      </c>
      <c r="J11" s="21"/>
      <c r="L11" s="40" t="str">
        <f>+F11</f>
        <v>c</v>
      </c>
      <c r="M11" s="4"/>
      <c r="N11" s="39" t="str">
        <f>+H11</f>
        <v>Direct Neutralized Rate Cap</v>
      </c>
      <c r="O11" s="36">
        <f>+I11</f>
        <v>123.29</v>
      </c>
      <c r="P11" s="21"/>
    </row>
    <row r="12" spans="1:16" ht="12.75" customHeight="1" x14ac:dyDescent="0.25">
      <c r="A12" s="9"/>
      <c r="C12" s="19"/>
      <c r="D12" s="1"/>
      <c r="F12" s="40" t="str">
        <f>IF('New Facilities'!$C$2&lt;&gt;"New","","c2")</f>
        <v/>
      </c>
      <c r="G12" s="4"/>
      <c r="H12" s="39" t="str">
        <f>IF('New Facilities'!$C$2&lt;&gt;"New","","Average Case-Mix")</f>
        <v/>
      </c>
      <c r="I12" s="191" t="str">
        <f>IF('New Facilities'!$C$2&lt;&gt;"New","",'New Facilities'!G5)</f>
        <v/>
      </c>
      <c r="J12" s="21"/>
      <c r="L12" s="41" t="str">
        <f>+F12</f>
        <v/>
      </c>
      <c r="M12" s="4"/>
      <c r="N12" s="5" t="str">
        <f>+H12</f>
        <v/>
      </c>
      <c r="O12" s="22" t="str">
        <f>IF('New Facilities'!C2&lt;&gt;"New","",'Rate Calculation'!I12)</f>
        <v/>
      </c>
      <c r="P12" s="21"/>
    </row>
    <row r="13" spans="1:16" x14ac:dyDescent="0.25">
      <c r="A13" s="37" t="s">
        <v>47</v>
      </c>
      <c r="B13" s="169" t="e">
        <f>+'FRV Rate Calculation'!C42</f>
        <v>#N/A</v>
      </c>
      <c r="C13" s="19"/>
      <c r="D13" s="1"/>
      <c r="F13" s="40" t="s">
        <v>51</v>
      </c>
      <c r="G13" s="4"/>
      <c r="H13" s="39" t="str">
        <f>IF('New Facilities'!$C$2&lt;&gt;"New","CMI Portion of Rate Cap (b*c)","CMI Portion of Avg Direct Rate (b*c1)")</f>
        <v>CMI Portion of Rate Cap (b*c)</v>
      </c>
      <c r="I13" s="36" t="e">
        <f>+I11*I9</f>
        <v>#N/A</v>
      </c>
      <c r="J13" s="21"/>
      <c r="L13" s="40" t="s">
        <v>51</v>
      </c>
      <c r="M13" s="4"/>
      <c r="N13" s="39" t="str">
        <f>IF('New Facilities'!$C$2&lt;&gt;"New","CMI Portion of Rate Cap (b*c)","CMI Portion of Avg Direct Rate (b*c1)")</f>
        <v>CMI Portion of Rate Cap (b*c)</v>
      </c>
      <c r="O13" s="36" t="e">
        <f>+O11*O9</f>
        <v>#N/A</v>
      </c>
      <c r="P13" s="21"/>
    </row>
    <row r="14" spans="1:16" x14ac:dyDescent="0.25">
      <c r="A14" s="35" t="s">
        <v>45</v>
      </c>
      <c r="B14" s="169" t="e">
        <f>VLOOKUP($B$6,'Lookup Info'!$A$2:$J$399,10,FALSE)</f>
        <v>#N/A</v>
      </c>
      <c r="C14" s="19"/>
      <c r="D14" s="1"/>
      <c r="F14" s="40" t="s">
        <v>52</v>
      </c>
      <c r="G14" s="5"/>
      <c r="H14" s="39" t="str">
        <f>IF('New Facilities'!$C$2&lt;&gt;"New","Non-CMI Portion of Rate Cap (c-d)","Non-CMI Portion of Avg Direct Rate (C1-d)")</f>
        <v>Non-CMI Portion of Rate Cap (c-d)</v>
      </c>
      <c r="I14" s="36" t="e">
        <f>+ROUND(I11-I13,4)</f>
        <v>#N/A</v>
      </c>
      <c r="J14" s="21"/>
      <c r="L14" s="40" t="s">
        <v>52</v>
      </c>
      <c r="M14" s="5"/>
      <c r="N14" s="39" t="str">
        <f>IF('New Facilities'!$C$2&lt;&gt;"New","Non-CMI Portion of Rate Cap (c-d)","Non-CMI Portion of Avg Direct Rate (C1-d)")</f>
        <v>Non-CMI Portion of Rate Cap (c-d)</v>
      </c>
      <c r="O14" s="36" t="e">
        <f>+ROUND(O11-O13,4)</f>
        <v>#N/A</v>
      </c>
      <c r="P14" s="21"/>
    </row>
    <row r="15" spans="1:16" x14ac:dyDescent="0.25">
      <c r="C15" s="1"/>
      <c r="D15" s="1"/>
      <c r="F15" s="40" t="s">
        <v>53</v>
      </c>
      <c r="G15" s="4"/>
      <c r="H15" s="38" t="str">
        <f>IF('New Facilities'!$C$2&lt;&gt;"New","2005 Based Direct Rate (a*d+e)","Direct Rate (d*a/c2) ****")</f>
        <v>2005 Based Direct Rate (a*d+e)</v>
      </c>
      <c r="I15" s="44" t="e">
        <f>IF('New Facilities'!$C$2&lt;&gt;"New",ROUND(I13*I8+I14,2),'Rate Calculation'!I13*'Rate Calculation'!I8/'Rate Calculation'!I12+'Rate Calculation'!I14)</f>
        <v>#N/A</v>
      </c>
      <c r="J15" s="21"/>
      <c r="L15" s="40" t="s">
        <v>53</v>
      </c>
      <c r="M15" s="4"/>
      <c r="N15" s="38" t="str">
        <f>IF('New Facilities'!$C$2&lt;&gt;"New","2005 Based Direct Rate (a*d+e)","Direct Rate (d*a/c2) ****")</f>
        <v>2005 Based Direct Rate (a*d+e)</v>
      </c>
      <c r="O15" s="44" t="e">
        <f>IF('New Facilities'!$C$2&lt;&gt;"New",ROUND(O13*O8+O14,2),'Rate Calculation'!O13*'Rate Calculation'!O8/'Rate Calculation'!O12+'Rate Calculation'!O14)</f>
        <v>#N/A</v>
      </c>
      <c r="P15" s="21"/>
    </row>
    <row r="16" spans="1:16" x14ac:dyDescent="0.25">
      <c r="C16" s="23"/>
      <c r="D16" s="1"/>
      <c r="F16" s="20"/>
      <c r="G16" s="4"/>
      <c r="H16" s="4"/>
      <c r="I16" s="4"/>
      <c r="J16" s="21"/>
      <c r="L16" s="20"/>
      <c r="M16" s="4"/>
      <c r="N16" s="4"/>
      <c r="O16" s="4"/>
      <c r="P16" s="21"/>
    </row>
    <row r="17" spans="1:16" x14ac:dyDescent="0.25">
      <c r="A17" s="201" t="s">
        <v>607</v>
      </c>
      <c r="B17" s="202"/>
      <c r="C17" s="202"/>
      <c r="D17" s="199"/>
      <c r="F17" s="40" t="s">
        <v>54</v>
      </c>
      <c r="G17" s="5"/>
      <c r="H17" s="39" t="s">
        <v>44</v>
      </c>
      <c r="I17" s="44">
        <v>36.85</v>
      </c>
      <c r="J17" s="21"/>
      <c r="L17" s="40" t="s">
        <v>54</v>
      </c>
      <c r="M17" s="5"/>
      <c r="N17" s="39" t="s">
        <v>44</v>
      </c>
      <c r="O17" s="44">
        <v>36.85</v>
      </c>
      <c r="P17" s="21"/>
    </row>
    <row r="18" spans="1:16" x14ac:dyDescent="0.25">
      <c r="A18" s="202"/>
      <c r="B18" s="202"/>
      <c r="C18" s="202"/>
      <c r="D18" s="199"/>
      <c r="F18" s="40" t="s">
        <v>55</v>
      </c>
      <c r="G18" s="5"/>
      <c r="H18" s="39" t="s">
        <v>36</v>
      </c>
      <c r="I18" s="45" t="e">
        <f>+B13</f>
        <v>#N/A</v>
      </c>
      <c r="J18" s="21"/>
      <c r="L18" s="40" t="s">
        <v>55</v>
      </c>
      <c r="M18" s="5"/>
      <c r="N18" s="39" t="s">
        <v>36</v>
      </c>
      <c r="O18" s="45" t="e">
        <f>+'FRV Rate Calculation'!F42</f>
        <v>#N/A</v>
      </c>
      <c r="P18" s="21"/>
    </row>
    <row r="19" spans="1:16" x14ac:dyDescent="0.25">
      <c r="F19" s="40" t="s">
        <v>56</v>
      </c>
      <c r="G19" s="5"/>
      <c r="H19" s="39" t="s">
        <v>37</v>
      </c>
      <c r="I19" s="46" t="e">
        <f>+B14</f>
        <v>#N/A</v>
      </c>
      <c r="J19" s="21"/>
      <c r="L19" s="40" t="s">
        <v>56</v>
      </c>
      <c r="M19" s="5"/>
      <c r="N19" s="39" t="s">
        <v>37</v>
      </c>
      <c r="O19" s="46" t="e">
        <f>+I19</f>
        <v>#N/A</v>
      </c>
      <c r="P19" s="21"/>
    </row>
    <row r="20" spans="1:16" ht="13.2" customHeight="1" x14ac:dyDescent="0.25">
      <c r="A20" s="201" t="s">
        <v>808</v>
      </c>
      <c r="B20" s="202"/>
      <c r="C20" s="202"/>
      <c r="D20" s="199"/>
      <c r="F20" s="40" t="s">
        <v>92</v>
      </c>
      <c r="G20" s="4"/>
      <c r="H20" s="39" t="s">
        <v>57</v>
      </c>
      <c r="I20" s="44" t="e">
        <f>SUM(I15:I19)</f>
        <v>#N/A</v>
      </c>
      <c r="J20" s="21"/>
      <c r="L20" s="41"/>
      <c r="M20" s="4"/>
      <c r="N20" s="39" t="s">
        <v>57</v>
      </c>
      <c r="O20" s="44" t="e">
        <f>SUM(O15:O19)</f>
        <v>#N/A</v>
      </c>
      <c r="P20" s="21"/>
    </row>
    <row r="21" spans="1:16" ht="26.4" customHeight="1" x14ac:dyDescent="0.25">
      <c r="A21" s="202"/>
      <c r="B21" s="202"/>
      <c r="C21" s="202"/>
      <c r="D21" s="199"/>
      <c r="F21" s="40" t="s">
        <v>93</v>
      </c>
      <c r="G21" s="5"/>
      <c r="H21" s="38" t="s">
        <v>65</v>
      </c>
      <c r="I21" s="47">
        <v>0.05</v>
      </c>
      <c r="J21" s="21"/>
      <c r="L21" s="41"/>
      <c r="M21" s="5"/>
      <c r="N21" s="38"/>
      <c r="O21" s="47"/>
      <c r="P21" s="21"/>
    </row>
    <row r="22" spans="1:16" x14ac:dyDescent="0.25">
      <c r="A22" s="1"/>
      <c r="B22" s="1"/>
      <c r="C22" s="1"/>
      <c r="D22" s="1"/>
      <c r="F22" s="40" t="s">
        <v>98</v>
      </c>
      <c r="G22" s="5"/>
      <c r="H22" s="38" t="s">
        <v>65</v>
      </c>
      <c r="I22" s="48">
        <v>0.1</v>
      </c>
      <c r="J22" s="21"/>
      <c r="L22" s="20"/>
      <c r="M22" s="5"/>
      <c r="N22" s="211" t="s">
        <v>603</v>
      </c>
      <c r="O22" s="193" t="str">
        <f>IF(B10="","n/a",O20-I20)</f>
        <v>n/a</v>
      </c>
      <c r="P22" s="21"/>
    </row>
    <row r="23" spans="1:16" x14ac:dyDescent="0.25">
      <c r="A23" s="35" t="s">
        <v>46</v>
      </c>
      <c r="B23" s="1"/>
      <c r="C23" s="1"/>
      <c r="D23" s="1"/>
      <c r="F23" s="40" t="s">
        <v>100</v>
      </c>
      <c r="G23" s="4"/>
      <c r="H23" s="38" t="s">
        <v>611</v>
      </c>
      <c r="I23" s="51" t="e">
        <f>+I20*1.05*1.1</f>
        <v>#N/A</v>
      </c>
      <c r="J23" s="21"/>
      <c r="L23" s="20"/>
      <c r="M23" s="4"/>
      <c r="N23" s="199"/>
      <c r="O23" s="51"/>
      <c r="P23" s="21"/>
    </row>
    <row r="24" spans="1:16" x14ac:dyDescent="0.25">
      <c r="A24" t="s">
        <v>38</v>
      </c>
      <c r="B24" s="1"/>
      <c r="C24" s="1"/>
      <c r="D24" s="1"/>
      <c r="F24" s="40" t="s">
        <v>103</v>
      </c>
      <c r="G24" s="4"/>
      <c r="H24" s="38" t="s">
        <v>802</v>
      </c>
      <c r="I24" s="51" t="e">
        <f>VLOOKUP(B6,'July 2022 Fee Schedule'!A24:C418,3,FALSE)</f>
        <v>#N/A</v>
      </c>
      <c r="J24" s="21"/>
      <c r="L24" s="20"/>
      <c r="M24" s="4"/>
      <c r="N24" s="38"/>
      <c r="O24" s="51"/>
      <c r="P24" s="21"/>
    </row>
    <row r="25" spans="1:16" x14ac:dyDescent="0.25">
      <c r="A25" s="37" t="s">
        <v>61</v>
      </c>
      <c r="B25" s="1"/>
      <c r="C25" s="1"/>
      <c r="D25" s="1"/>
      <c r="F25" s="40" t="s">
        <v>105</v>
      </c>
      <c r="G25" s="4"/>
      <c r="H25" s="38" t="s">
        <v>612</v>
      </c>
      <c r="I25" s="51" t="e">
        <f>MAX(I23:I24)</f>
        <v>#N/A</v>
      </c>
      <c r="J25" s="21"/>
      <c r="L25" s="20"/>
      <c r="M25" s="212" t="s">
        <v>606</v>
      </c>
      <c r="N25" s="212"/>
      <c r="O25" s="212"/>
      <c r="P25" s="21"/>
    </row>
    <row r="26" spans="1:16" x14ac:dyDescent="0.25">
      <c r="A26" s="37" t="s">
        <v>62</v>
      </c>
      <c r="B26" s="1"/>
      <c r="C26" s="1"/>
      <c r="D26" s="1"/>
      <c r="F26" s="40" t="s">
        <v>107</v>
      </c>
      <c r="H26" s="39" t="s">
        <v>610</v>
      </c>
      <c r="I26" s="116">
        <v>47.5</v>
      </c>
      <c r="J26" s="21"/>
      <c r="L26" s="20"/>
      <c r="M26" s="212"/>
      <c r="N26" s="212"/>
      <c r="O26" s="212"/>
      <c r="P26" s="21"/>
    </row>
    <row r="27" spans="1:16" ht="13.2" customHeight="1" thickBot="1" x14ac:dyDescent="0.3">
      <c r="A27" s="50" t="s">
        <v>614</v>
      </c>
      <c r="B27" s="1"/>
      <c r="C27" s="1"/>
      <c r="F27" s="40" t="s">
        <v>109</v>
      </c>
      <c r="H27" s="38" t="s">
        <v>613</v>
      </c>
      <c r="I27" s="115" t="e">
        <f>+I25+I26</f>
        <v>#N/A</v>
      </c>
      <c r="J27" s="21"/>
      <c r="L27" s="20"/>
      <c r="M27" s="202"/>
      <c r="N27" s="202"/>
      <c r="O27" s="202"/>
      <c r="P27" s="21"/>
    </row>
    <row r="28" spans="1:16" ht="13.8" thickTop="1" x14ac:dyDescent="0.25">
      <c r="A28" s="1"/>
      <c r="B28" s="1"/>
      <c r="C28" s="1"/>
      <c r="F28" s="20"/>
      <c r="J28" s="21"/>
      <c r="L28" s="20"/>
      <c r="P28" s="21"/>
    </row>
    <row r="29" spans="1:16" x14ac:dyDescent="0.25">
      <c r="A29" s="200" t="s">
        <v>829</v>
      </c>
      <c r="B29" s="199"/>
      <c r="C29" s="199"/>
      <c r="D29" s="199"/>
      <c r="F29" s="20"/>
      <c r="G29" s="212" t="s">
        <v>604</v>
      </c>
      <c r="H29" s="212"/>
      <c r="I29" s="212"/>
      <c r="J29" s="21"/>
      <c r="L29" s="20"/>
      <c r="P29" s="21"/>
    </row>
    <row r="30" spans="1:16" ht="24.6" customHeight="1" x14ac:dyDescent="0.25">
      <c r="A30" s="199"/>
      <c r="B30" s="199"/>
      <c r="C30" s="199"/>
      <c r="D30" s="199"/>
      <c r="F30" s="20"/>
      <c r="G30" s="212"/>
      <c r="H30" s="212"/>
      <c r="I30" s="212"/>
      <c r="J30" s="21"/>
      <c r="L30" s="20"/>
      <c r="P30" s="21"/>
    </row>
    <row r="31" spans="1:16" ht="13.8" thickBot="1" x14ac:dyDescent="0.3">
      <c r="A31" s="199"/>
      <c r="B31" s="199"/>
      <c r="C31" s="199"/>
      <c r="D31" s="199"/>
      <c r="F31" s="20"/>
      <c r="G31" s="119"/>
      <c r="H31" s="119"/>
      <c r="I31" s="119"/>
      <c r="J31" s="21"/>
      <c r="L31" s="16"/>
      <c r="M31" s="17"/>
      <c r="N31" s="17"/>
      <c r="O31" s="17"/>
      <c r="P31" s="18"/>
    </row>
    <row r="32" spans="1:16" ht="13.8" customHeight="1" thickTop="1" x14ac:dyDescent="0.25">
      <c r="F32" s="20"/>
      <c r="G32" s="203" t="e">
        <f>IF(I24&gt;I23,"Hold harmless caution:  The amount on line n is greater than the amount on line m.  You are receiving benefit from the 'rate hold harmless'.  The Medicaid rate without any COVID enhancements is shown on line j.","")</f>
        <v>#N/A</v>
      </c>
      <c r="H32" s="203"/>
      <c r="I32" s="203"/>
      <c r="J32" s="21"/>
    </row>
    <row r="33" spans="6:10" ht="13.2" customHeight="1" x14ac:dyDescent="0.25">
      <c r="F33" s="20"/>
      <c r="G33" s="203"/>
      <c r="H33" s="203"/>
      <c r="I33" s="203"/>
      <c r="J33" s="21"/>
    </row>
    <row r="34" spans="6:10" ht="22.2" customHeight="1" x14ac:dyDescent="0.25">
      <c r="F34" s="20"/>
      <c r="G34" s="204"/>
      <c r="H34" s="204"/>
      <c r="I34" s="204"/>
      <c r="J34" s="21"/>
    </row>
    <row r="35" spans="6:10" ht="13.8" thickBot="1" x14ac:dyDescent="0.3">
      <c r="F35" s="16"/>
      <c r="G35" s="17"/>
      <c r="H35" s="17"/>
      <c r="I35" s="17"/>
      <c r="J35" s="18"/>
    </row>
    <row r="36" spans="6:10" ht="13.8" thickTop="1" x14ac:dyDescent="0.25"/>
  </sheetData>
  <mergeCells count="13">
    <mergeCell ref="A17:D18"/>
    <mergeCell ref="A20:D21"/>
    <mergeCell ref="A29:D31"/>
    <mergeCell ref="G32:I34"/>
    <mergeCell ref="L4:P4"/>
    <mergeCell ref="L5:P5"/>
    <mergeCell ref="L6:P6"/>
    <mergeCell ref="N22:N23"/>
    <mergeCell ref="G29:I30"/>
    <mergeCell ref="M25:O27"/>
    <mergeCell ref="F4:J4"/>
    <mergeCell ref="F6:J6"/>
    <mergeCell ref="F5:J5"/>
  </mergeCells>
  <phoneticPr fontId="4" type="noConversion"/>
  <printOptions horizontalCentered="1" verticalCentered="1"/>
  <pageMargins left="0.75" right="0.75" top="1" bottom="1" header="0.5" footer="0.5"/>
  <pageSetup orientation="portrait" r:id="rId1"/>
  <headerFooter alignWithMargins="0"/>
  <ignoredErrors>
    <ignoredError sqref="B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955-E9A6-4EDB-98F4-65E538B96F09}">
  <sheetPr>
    <tabColor theme="3" tint="0.79998168889431442"/>
  </sheetPr>
  <dimension ref="A1:L31"/>
  <sheetViews>
    <sheetView workbookViewId="0">
      <selection activeCell="A3" sqref="A3"/>
    </sheetView>
  </sheetViews>
  <sheetFormatPr defaultRowHeight="13.2" x14ac:dyDescent="0.25"/>
  <cols>
    <col min="7" max="7" width="9.77734375" bestFit="1" customWidth="1"/>
  </cols>
  <sheetData>
    <row r="1" spans="1:12" x14ac:dyDescent="0.25">
      <c r="A1" s="37" t="s">
        <v>811</v>
      </c>
    </row>
    <row r="2" spans="1:12" x14ac:dyDescent="0.25">
      <c r="A2" s="152">
        <v>1730136250</v>
      </c>
      <c r="B2" s="37" t="s">
        <v>144</v>
      </c>
      <c r="C2" t="str">
        <f>IFERROR(VLOOKUP('Rate Calculation'!B6,'New Facilities'!A2:B41,2,FALSE),"old")</f>
        <v>old</v>
      </c>
    </row>
    <row r="3" spans="1:12" ht="14.4" x14ac:dyDescent="0.3">
      <c r="A3" s="152">
        <v>1861521635</v>
      </c>
      <c r="B3" s="37" t="s">
        <v>144</v>
      </c>
      <c r="E3" s="73"/>
      <c r="F3" s="173"/>
      <c r="G3" s="174">
        <v>44743</v>
      </c>
      <c r="H3" s="173"/>
    </row>
    <row r="4" spans="1:12" x14ac:dyDescent="0.25">
      <c r="A4" s="152">
        <v>1891908687</v>
      </c>
      <c r="B4" s="37" t="s">
        <v>144</v>
      </c>
      <c r="E4" t="s">
        <v>812</v>
      </c>
      <c r="F4" s="175"/>
      <c r="G4" s="175">
        <v>137.83000000000001</v>
      </c>
      <c r="H4" s="175"/>
      <c r="I4" s="176" t="s">
        <v>813</v>
      </c>
      <c r="J4" s="176"/>
      <c r="K4" s="176"/>
      <c r="L4" s="176"/>
    </row>
    <row r="5" spans="1:12" x14ac:dyDescent="0.25">
      <c r="A5" s="152">
        <v>1932368586</v>
      </c>
      <c r="B5" s="37" t="s">
        <v>144</v>
      </c>
      <c r="E5" t="s">
        <v>814</v>
      </c>
      <c r="F5" s="177"/>
      <c r="G5" s="177">
        <v>1.1841999999999999</v>
      </c>
      <c r="H5" s="178"/>
      <c r="I5" s="179" t="s">
        <v>815</v>
      </c>
      <c r="J5" s="179"/>
      <c r="K5" s="179"/>
      <c r="L5" s="179"/>
    </row>
    <row r="6" spans="1:12" x14ac:dyDescent="0.25">
      <c r="A6" s="152">
        <v>1306372230</v>
      </c>
      <c r="B6" s="37" t="s">
        <v>144</v>
      </c>
      <c r="E6" t="s">
        <v>816</v>
      </c>
      <c r="F6" s="180"/>
      <c r="G6" s="181">
        <v>0.65</v>
      </c>
      <c r="H6" s="182"/>
      <c r="I6" s="183" t="s">
        <v>817</v>
      </c>
      <c r="J6" s="183"/>
      <c r="K6" s="183"/>
      <c r="L6" s="183"/>
    </row>
    <row r="7" spans="1:12" x14ac:dyDescent="0.25">
      <c r="A7" s="152">
        <v>1437484672</v>
      </c>
      <c r="B7" s="37" t="s">
        <v>144</v>
      </c>
      <c r="E7" t="s">
        <v>818</v>
      </c>
      <c r="F7" s="184"/>
      <c r="G7" s="184">
        <f>+G4*G6</f>
        <v>89.589500000000015</v>
      </c>
      <c r="H7" s="52"/>
    </row>
    <row r="8" spans="1:12" x14ac:dyDescent="0.25">
      <c r="A8" s="152">
        <v>1982130811</v>
      </c>
      <c r="B8" s="37" t="s">
        <v>144</v>
      </c>
      <c r="E8" t="s">
        <v>819</v>
      </c>
      <c r="F8" s="184"/>
      <c r="G8" s="184">
        <f>+G4-G7</f>
        <v>48.240499999999997</v>
      </c>
      <c r="H8" s="52"/>
    </row>
    <row r="9" spans="1:12" x14ac:dyDescent="0.25">
      <c r="A9" s="152">
        <v>1124342241</v>
      </c>
      <c r="B9" s="37" t="s">
        <v>144</v>
      </c>
      <c r="E9" t="s">
        <v>820</v>
      </c>
      <c r="F9" s="185"/>
      <c r="G9" s="186">
        <v>1.2782</v>
      </c>
      <c r="H9" s="187" t="s">
        <v>821</v>
      </c>
      <c r="K9" s="27"/>
    </row>
    <row r="10" spans="1:12" x14ac:dyDescent="0.25">
      <c r="A10" s="152">
        <v>1669613071</v>
      </c>
      <c r="B10" s="37" t="s">
        <v>144</v>
      </c>
      <c r="E10" t="s">
        <v>822</v>
      </c>
      <c r="F10" s="51"/>
      <c r="G10" s="51">
        <f>+(G7*G9/G5+G8)</f>
        <v>144.94147863536568</v>
      </c>
      <c r="H10" s="27"/>
      <c r="I10" s="27"/>
      <c r="J10" s="7"/>
    </row>
    <row r="11" spans="1:12" x14ac:dyDescent="0.25">
      <c r="A11" s="152">
        <v>1518112036</v>
      </c>
      <c r="B11" s="37" t="s">
        <v>144</v>
      </c>
      <c r="E11" t="s">
        <v>44</v>
      </c>
      <c r="F11" s="51"/>
      <c r="G11" s="51">
        <v>36.81</v>
      </c>
      <c r="H11" s="27"/>
    </row>
    <row r="12" spans="1:12" ht="14.4" x14ac:dyDescent="0.3">
      <c r="A12" s="152">
        <v>1114463932</v>
      </c>
      <c r="B12" s="37" t="s">
        <v>144</v>
      </c>
      <c r="E12" s="73" t="s">
        <v>823</v>
      </c>
      <c r="F12" s="188"/>
      <c r="G12" s="188">
        <f>+G10+G11</f>
        <v>181.75147863536569</v>
      </c>
      <c r="H12" s="188"/>
      <c r="I12" s="27"/>
    </row>
    <row r="13" spans="1:12" x14ac:dyDescent="0.25">
      <c r="A13" s="152">
        <v>1194028118</v>
      </c>
      <c r="B13" s="37" t="s">
        <v>144</v>
      </c>
      <c r="E13" t="s">
        <v>824</v>
      </c>
      <c r="G13" s="189"/>
      <c r="H13" s="187" t="s">
        <v>825</v>
      </c>
    </row>
    <row r="14" spans="1:12" x14ac:dyDescent="0.25">
      <c r="A14" s="152">
        <v>1255682522</v>
      </c>
      <c r="B14" s="37" t="s">
        <v>144</v>
      </c>
      <c r="E14" t="s">
        <v>37</v>
      </c>
      <c r="G14" s="189"/>
      <c r="H14" s="187" t="s">
        <v>826</v>
      </c>
    </row>
    <row r="15" spans="1:12" ht="13.8" thickBot="1" x14ac:dyDescent="0.3">
      <c r="A15" s="152">
        <v>1588805014</v>
      </c>
      <c r="B15" s="37" t="s">
        <v>144</v>
      </c>
      <c r="E15" t="s">
        <v>827</v>
      </c>
      <c r="G15" s="190">
        <f>SUM(G12:G14)</f>
        <v>181.75147863536569</v>
      </c>
      <c r="I15" s="27"/>
    </row>
    <row r="16" spans="1:12" ht="13.8" thickTop="1" x14ac:dyDescent="0.25">
      <c r="A16" s="152">
        <v>1962832899</v>
      </c>
      <c r="B16" s="37" t="s">
        <v>144</v>
      </c>
    </row>
    <row r="17" spans="1:2" x14ac:dyDescent="0.25">
      <c r="A17" s="172">
        <v>1710312079</v>
      </c>
      <c r="B17" s="37" t="s">
        <v>144</v>
      </c>
    </row>
    <row r="18" spans="1:2" x14ac:dyDescent="0.25">
      <c r="A18" s="172">
        <v>1992106348</v>
      </c>
      <c r="B18" s="37" t="s">
        <v>144</v>
      </c>
    </row>
    <row r="19" spans="1:2" x14ac:dyDescent="0.25">
      <c r="A19" s="172">
        <v>1376932889</v>
      </c>
      <c r="B19" s="37" t="s">
        <v>144</v>
      </c>
    </row>
    <row r="20" spans="1:2" x14ac:dyDescent="0.25">
      <c r="A20" s="172">
        <v>1912323635</v>
      </c>
      <c r="B20" s="37" t="s">
        <v>144</v>
      </c>
    </row>
    <row r="21" spans="1:2" x14ac:dyDescent="0.25">
      <c r="A21" s="172">
        <v>1841697422</v>
      </c>
      <c r="B21" s="37" t="s">
        <v>144</v>
      </c>
    </row>
    <row r="22" spans="1:2" x14ac:dyDescent="0.25">
      <c r="A22" s="172">
        <v>1033611959</v>
      </c>
      <c r="B22" s="37" t="s">
        <v>144</v>
      </c>
    </row>
    <row r="23" spans="1:2" x14ac:dyDescent="0.25">
      <c r="A23" s="172">
        <v>1003205337</v>
      </c>
      <c r="B23" s="37" t="s">
        <v>144</v>
      </c>
    </row>
    <row r="24" spans="1:2" x14ac:dyDescent="0.25">
      <c r="A24" s="172">
        <v>1477137628</v>
      </c>
      <c r="B24" s="37" t="s">
        <v>144</v>
      </c>
    </row>
    <row r="25" spans="1:2" x14ac:dyDescent="0.25">
      <c r="A25" s="172">
        <v>1992998504</v>
      </c>
      <c r="B25" s="37" t="s">
        <v>144</v>
      </c>
    </row>
    <row r="26" spans="1:2" x14ac:dyDescent="0.25">
      <c r="A26" s="172">
        <v>1093228397</v>
      </c>
      <c r="B26" s="37" t="s">
        <v>144</v>
      </c>
    </row>
    <row r="27" spans="1:2" x14ac:dyDescent="0.25">
      <c r="A27" s="172">
        <v>1558872333</v>
      </c>
      <c r="B27" s="37" t="s">
        <v>144</v>
      </c>
    </row>
    <row r="28" spans="1:2" x14ac:dyDescent="0.25">
      <c r="A28" s="172">
        <v>1730183625</v>
      </c>
      <c r="B28" s="37" t="s">
        <v>144</v>
      </c>
    </row>
    <row r="29" spans="1:2" x14ac:dyDescent="0.25">
      <c r="A29" s="172">
        <v>1033611959</v>
      </c>
      <c r="B29" s="37" t="s">
        <v>144</v>
      </c>
    </row>
    <row r="30" spans="1:2" x14ac:dyDescent="0.25">
      <c r="A30" s="172"/>
      <c r="B30" s="37"/>
    </row>
    <row r="31" spans="1:2" x14ac:dyDescent="0.25">
      <c r="A31" s="196"/>
      <c r="B31"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pageSetUpPr fitToPage="1"/>
  </sheetPr>
  <dimension ref="A1:L22"/>
  <sheetViews>
    <sheetView workbookViewId="0"/>
  </sheetViews>
  <sheetFormatPr defaultRowHeight="13.2" x14ac:dyDescent="0.25"/>
  <cols>
    <col min="1" max="1" width="5.6640625" customWidth="1"/>
    <col min="2" max="2" width="24.44140625" bestFit="1" customWidth="1"/>
    <col min="8" max="8" width="8.88671875" customWidth="1"/>
    <col min="9" max="9" width="15" customWidth="1"/>
  </cols>
  <sheetData>
    <row r="1" spans="1:12" ht="22.8" x14ac:dyDescent="0.4">
      <c r="A1" s="10" t="s">
        <v>29</v>
      </c>
      <c r="B1" s="10"/>
      <c r="C1" s="10"/>
      <c r="D1" s="10"/>
      <c r="E1" s="10"/>
      <c r="F1" s="10"/>
      <c r="G1" s="10"/>
      <c r="H1" s="10"/>
      <c r="I1" s="10"/>
    </row>
    <row r="3" spans="1:12" ht="30.75" customHeight="1" x14ac:dyDescent="0.25">
      <c r="A3" s="198" t="s">
        <v>58</v>
      </c>
      <c r="B3" s="199"/>
      <c r="C3" s="199"/>
      <c r="D3" s="199"/>
      <c r="E3" s="199"/>
      <c r="F3" s="199"/>
      <c r="G3" s="199"/>
      <c r="H3" s="199"/>
      <c r="I3" s="199"/>
    </row>
    <row r="4" spans="1:12" ht="41.4" customHeight="1" x14ac:dyDescent="0.25">
      <c r="A4" s="198" t="s">
        <v>151</v>
      </c>
      <c r="B4" s="199"/>
      <c r="C4" s="199"/>
      <c r="D4" s="199"/>
      <c r="E4" s="199"/>
      <c r="F4" s="199"/>
      <c r="G4" s="199"/>
      <c r="H4" s="199"/>
      <c r="I4" s="199"/>
    </row>
    <row r="5" spans="1:12" ht="48" customHeight="1" x14ac:dyDescent="0.25">
      <c r="A5" s="198" t="s">
        <v>64</v>
      </c>
      <c r="B5" s="199"/>
      <c r="C5" s="199"/>
      <c r="D5" s="199"/>
      <c r="E5" s="199"/>
      <c r="F5" s="199"/>
      <c r="G5" s="199"/>
      <c r="H5" s="199"/>
      <c r="I5" s="199"/>
    </row>
    <row r="6" spans="1:12" ht="27.75" customHeight="1" x14ac:dyDescent="0.3">
      <c r="A6" s="12" t="s">
        <v>25</v>
      </c>
    </row>
    <row r="7" spans="1:12" ht="37.5" customHeight="1" x14ac:dyDescent="0.25">
      <c r="A7" s="214" t="s">
        <v>615</v>
      </c>
      <c r="B7" s="214"/>
      <c r="C7" s="214"/>
      <c r="D7" s="214"/>
      <c r="E7" s="214"/>
      <c r="F7" s="214"/>
      <c r="G7" s="214"/>
      <c r="H7" s="214"/>
      <c r="I7" s="214"/>
    </row>
    <row r="8" spans="1:12" ht="25.5" customHeight="1" x14ac:dyDescent="0.25">
      <c r="A8" s="9" t="s">
        <v>616</v>
      </c>
    </row>
    <row r="9" spans="1:12" ht="26.4" customHeight="1" x14ac:dyDescent="0.25">
      <c r="A9" s="199" t="s">
        <v>617</v>
      </c>
      <c r="B9" s="199"/>
      <c r="C9" s="199"/>
      <c r="D9" s="199"/>
      <c r="E9" s="199"/>
      <c r="F9" s="199"/>
      <c r="G9" s="199"/>
      <c r="H9" s="199"/>
      <c r="I9" s="199"/>
    </row>
    <row r="10" spans="1:12" ht="25.5" customHeight="1" x14ac:dyDescent="0.25">
      <c r="A10" s="37" t="s">
        <v>622</v>
      </c>
    </row>
    <row r="11" spans="1:12" x14ac:dyDescent="0.25">
      <c r="A11" s="58"/>
      <c r="B11" s="213" t="s">
        <v>618</v>
      </c>
      <c r="C11" s="199"/>
      <c r="D11" s="199"/>
      <c r="E11" s="199"/>
      <c r="F11" s="199"/>
      <c r="G11" s="199"/>
      <c r="H11" s="199"/>
      <c r="I11" s="199"/>
      <c r="J11" s="58"/>
      <c r="K11" s="58"/>
      <c r="L11" s="58"/>
    </row>
    <row r="12" spans="1:12" ht="26.4" customHeight="1" x14ac:dyDescent="0.25">
      <c r="A12" s="58"/>
      <c r="B12" s="213" t="s">
        <v>619</v>
      </c>
      <c r="C12" s="199"/>
      <c r="D12" s="199"/>
      <c r="E12" s="199"/>
      <c r="F12" s="199"/>
      <c r="G12" s="199"/>
      <c r="H12" s="199"/>
      <c r="I12" s="199"/>
      <c r="J12" s="58"/>
      <c r="K12" s="58"/>
      <c r="L12" s="58"/>
    </row>
    <row r="13" spans="1:12" ht="26.4" customHeight="1" x14ac:dyDescent="0.25">
      <c r="A13" s="58"/>
      <c r="B13" s="213" t="s">
        <v>620</v>
      </c>
      <c r="C13" s="199"/>
      <c r="D13" s="199"/>
      <c r="E13" s="199"/>
      <c r="F13" s="199"/>
      <c r="G13" s="199"/>
      <c r="H13" s="199"/>
      <c r="I13" s="199"/>
      <c r="J13" s="127"/>
      <c r="K13" s="127"/>
      <c r="L13" s="58"/>
    </row>
    <row r="14" spans="1:12" ht="26.4" customHeight="1" x14ac:dyDescent="0.25">
      <c r="A14" s="58"/>
      <c r="B14" s="213" t="s">
        <v>621</v>
      </c>
      <c r="C14" s="199"/>
      <c r="D14" s="199"/>
      <c r="E14" s="199"/>
      <c r="F14" s="199"/>
      <c r="G14" s="199"/>
      <c r="H14" s="199"/>
      <c r="I14" s="199"/>
      <c r="J14" s="127"/>
      <c r="K14" s="127"/>
      <c r="L14" s="58"/>
    </row>
    <row r="15" spans="1:12" ht="25.5" customHeight="1" x14ac:dyDescent="0.25">
      <c r="A15" s="9" t="s">
        <v>39</v>
      </c>
    </row>
    <row r="16" spans="1:12" ht="41.4" customHeight="1" x14ac:dyDescent="0.25">
      <c r="A16" s="199" t="s">
        <v>33</v>
      </c>
      <c r="B16" s="199"/>
      <c r="C16" s="199"/>
      <c r="D16" s="199"/>
      <c r="E16" s="199"/>
      <c r="F16" s="199"/>
      <c r="G16" s="199"/>
      <c r="H16" s="199"/>
      <c r="I16" s="199"/>
    </row>
    <row r="17" spans="2:9" x14ac:dyDescent="0.25">
      <c r="B17" s="8" t="s">
        <v>27</v>
      </c>
      <c r="C17" s="201" t="s">
        <v>63</v>
      </c>
      <c r="D17" s="202"/>
      <c r="E17" s="202"/>
      <c r="F17" s="202"/>
      <c r="G17" s="202"/>
      <c r="H17" s="202"/>
      <c r="I17" s="202"/>
    </row>
    <row r="18" spans="2:9" x14ac:dyDescent="0.25">
      <c r="B18" s="8" t="s">
        <v>28</v>
      </c>
      <c r="C18" s="201" t="s">
        <v>63</v>
      </c>
      <c r="D18" s="202"/>
      <c r="E18" s="202"/>
      <c r="F18" s="202"/>
      <c r="G18" s="202"/>
      <c r="H18" s="202"/>
      <c r="I18" s="202"/>
    </row>
    <row r="19" spans="2:9" ht="51" customHeight="1" x14ac:dyDescent="0.25">
      <c r="B19" s="43" t="s">
        <v>59</v>
      </c>
      <c r="C19" s="199" t="s">
        <v>31</v>
      </c>
      <c r="D19" s="199"/>
      <c r="E19" s="199"/>
      <c r="F19" s="199"/>
      <c r="G19" s="199"/>
      <c r="H19" s="199"/>
      <c r="I19" s="215"/>
    </row>
    <row r="20" spans="2:9" x14ac:dyDescent="0.25">
      <c r="B20" s="42" t="s">
        <v>17</v>
      </c>
      <c r="C20" s="199" t="s">
        <v>30</v>
      </c>
      <c r="D20" s="199"/>
      <c r="E20" s="199"/>
      <c r="F20" s="199"/>
      <c r="G20" s="199"/>
      <c r="H20" s="199"/>
      <c r="I20" s="215"/>
    </row>
    <row r="21" spans="2:9" x14ac:dyDescent="0.25">
      <c r="B21" s="42" t="s">
        <v>16</v>
      </c>
      <c r="C21" s="199" t="s">
        <v>32</v>
      </c>
      <c r="D21" s="199"/>
      <c r="E21" s="199"/>
      <c r="F21" s="199"/>
      <c r="G21" s="199"/>
      <c r="H21" s="199"/>
      <c r="I21" s="215"/>
    </row>
    <row r="22" spans="2:9" ht="25.5" customHeight="1" x14ac:dyDescent="0.25">
      <c r="B22" s="42" t="s">
        <v>15</v>
      </c>
      <c r="C22" s="199" t="s">
        <v>34</v>
      </c>
      <c r="D22" s="199"/>
      <c r="E22" s="199"/>
      <c r="F22" s="199"/>
      <c r="G22" s="199"/>
      <c r="H22" s="199"/>
      <c r="I22" s="215"/>
    </row>
  </sheetData>
  <mergeCells count="16">
    <mergeCell ref="B13:I13"/>
    <mergeCell ref="B14:I14"/>
    <mergeCell ref="C20:I20"/>
    <mergeCell ref="C21:I21"/>
    <mergeCell ref="C22:I22"/>
    <mergeCell ref="A16:I16"/>
    <mergeCell ref="C17:I17"/>
    <mergeCell ref="C18:I18"/>
    <mergeCell ref="C19:I19"/>
    <mergeCell ref="B11:I11"/>
    <mergeCell ref="B12:I12"/>
    <mergeCell ref="A3:I3"/>
    <mergeCell ref="A4:I4"/>
    <mergeCell ref="A5:I5"/>
    <mergeCell ref="A7:I7"/>
    <mergeCell ref="A9:I9"/>
  </mergeCells>
  <phoneticPr fontId="4" type="noConversion"/>
  <pageMargins left="0.75" right="0.75" top="0.72" bottom="1" header="0.5" footer="0.5"/>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79998168889431442"/>
    <pageSetUpPr fitToPage="1"/>
  </sheetPr>
  <dimension ref="A1:S74"/>
  <sheetViews>
    <sheetView workbookViewId="0"/>
  </sheetViews>
  <sheetFormatPr defaultRowHeight="13.2" x14ac:dyDescent="0.25"/>
  <cols>
    <col min="1" max="1" width="3.44140625" style="52" customWidth="1"/>
    <col min="2" max="2" width="41.109375" customWidth="1"/>
    <col min="3" max="3" width="16.6640625" bestFit="1" customWidth="1"/>
    <col min="4" max="4" width="18.6640625" customWidth="1"/>
    <col min="5" max="6" width="18.6640625" bestFit="1" customWidth="1"/>
    <col min="7" max="7" width="5.6640625" customWidth="1"/>
    <col min="8" max="8" width="40" customWidth="1"/>
    <col min="9" max="9" width="12.44140625" bestFit="1" customWidth="1"/>
    <col min="10" max="10" width="13.6640625" bestFit="1" customWidth="1"/>
    <col min="11" max="11" width="11" bestFit="1" customWidth="1"/>
    <col min="12" max="12" width="13.6640625" bestFit="1" customWidth="1"/>
    <col min="16" max="16" width="13.6640625" bestFit="1" customWidth="1"/>
    <col min="17" max="17" width="11" bestFit="1" customWidth="1"/>
    <col min="18" max="18" width="11.77734375" bestFit="1" customWidth="1"/>
    <col min="19" max="19" width="7.6640625" bestFit="1" customWidth="1"/>
  </cols>
  <sheetData>
    <row r="1" spans="1:19" ht="52.8" x14ac:dyDescent="0.25">
      <c r="C1" s="126" t="s">
        <v>73</v>
      </c>
      <c r="D1" s="126" t="s">
        <v>74</v>
      </c>
      <c r="E1" s="65" t="s">
        <v>75</v>
      </c>
      <c r="F1" s="194" t="s">
        <v>76</v>
      </c>
      <c r="G1" s="80" t="s">
        <v>152</v>
      </c>
      <c r="H1" s="195" t="s">
        <v>830</v>
      </c>
    </row>
    <row r="2" spans="1:19" x14ac:dyDescent="0.25">
      <c r="B2" t="s">
        <v>77</v>
      </c>
      <c r="C2" s="120">
        <f>+'Rate Calculation'!B6</f>
        <v>0</v>
      </c>
      <c r="D2">
        <f t="shared" ref="D2:D7" si="0">+C2</f>
        <v>0</v>
      </c>
      <c r="E2">
        <f>+C2</f>
        <v>0</v>
      </c>
      <c r="F2">
        <f>+D2</f>
        <v>0</v>
      </c>
    </row>
    <row r="3" spans="1:19" x14ac:dyDescent="0.25">
      <c r="B3" t="s">
        <v>78</v>
      </c>
      <c r="C3" s="121" t="e">
        <f>VLOOKUP($C$2,'Lookup Info'!$A$1:$I$410,8,FALSE)</f>
        <v>#N/A</v>
      </c>
      <c r="D3" s="19" t="e">
        <f t="shared" si="0"/>
        <v>#N/A</v>
      </c>
      <c r="E3" s="19" t="e">
        <f>700*E7</f>
        <v>#N/A</v>
      </c>
      <c r="F3" s="78">
        <v>0</v>
      </c>
      <c r="G3" s="80" t="s">
        <v>152</v>
      </c>
      <c r="H3" s="216" t="e">
        <f>IF(C16&lt;700,CONCATENATE("Number of Proposed Additional Nursing Square Feet, adding ",ROUND(E3-C3,0)," square feet will reach the sq ft ceiling."),"This facility is already at the square foot floor cap.")</f>
        <v>#N/A</v>
      </c>
      <c r="I3" s="51"/>
      <c r="J3" s="51"/>
    </row>
    <row r="4" spans="1:19" x14ac:dyDescent="0.25">
      <c r="B4" s="37" t="s">
        <v>598</v>
      </c>
      <c r="C4" s="122" t="e">
        <f>VLOOKUP($C$2,'Lookup Info'!$A$1:$I$410,9,FALSE)</f>
        <v>#N/A</v>
      </c>
      <c r="D4" s="114" t="e">
        <f t="shared" si="0"/>
        <v>#N/A</v>
      </c>
      <c r="E4" s="19"/>
      <c r="F4" s="125"/>
      <c r="G4" s="80"/>
      <c r="H4" s="216"/>
      <c r="I4" s="51"/>
      <c r="J4" s="51"/>
    </row>
    <row r="5" spans="1:19" x14ac:dyDescent="0.25">
      <c r="B5" t="s">
        <v>18</v>
      </c>
      <c r="C5" s="121" t="e">
        <f>VLOOKUP($C$2,'Lookup Info'!$A$1:$D$410,4,FALSE)</f>
        <v>#N/A</v>
      </c>
      <c r="D5" s="19" t="e">
        <f t="shared" si="0"/>
        <v>#N/A</v>
      </c>
      <c r="E5" s="19" t="e">
        <f t="shared" ref="E5:F7" si="1">+C5</f>
        <v>#N/A</v>
      </c>
      <c r="F5" s="19" t="e">
        <f t="shared" si="1"/>
        <v>#N/A</v>
      </c>
      <c r="H5" s="216"/>
      <c r="I5" s="51"/>
      <c r="J5" s="51"/>
    </row>
    <row r="6" spans="1:19" x14ac:dyDescent="0.25">
      <c r="B6" t="s">
        <v>22</v>
      </c>
      <c r="C6" s="120" t="e">
        <f>VLOOKUP(C2,'Lookup Info'!A2:E410,5,FALSE)</f>
        <v>#N/A</v>
      </c>
      <c r="D6" s="66" t="e">
        <f t="shared" si="0"/>
        <v>#N/A</v>
      </c>
      <c r="E6" s="66" t="e">
        <f t="shared" si="1"/>
        <v>#N/A</v>
      </c>
      <c r="F6" s="66" t="e">
        <f t="shared" si="1"/>
        <v>#N/A</v>
      </c>
      <c r="H6" s="216"/>
    </row>
    <row r="7" spans="1:19" x14ac:dyDescent="0.25">
      <c r="B7" t="s">
        <v>79</v>
      </c>
      <c r="C7" s="120" t="e">
        <f>VLOOKUP(C2,'Lookup Info'!A2:F410,6,FALSE)</f>
        <v>#N/A</v>
      </c>
      <c r="D7" s="19" t="e">
        <f t="shared" si="0"/>
        <v>#N/A</v>
      </c>
      <c r="E7" s="19" t="e">
        <f t="shared" si="1"/>
        <v>#N/A</v>
      </c>
      <c r="F7" s="19" t="e">
        <f t="shared" si="1"/>
        <v>#N/A</v>
      </c>
      <c r="G7" s="67"/>
      <c r="H7" s="67"/>
      <c r="I7" s="67"/>
      <c r="J7" s="67"/>
    </row>
    <row r="8" spans="1:19" x14ac:dyDescent="0.25">
      <c r="C8" s="1"/>
      <c r="F8" s="79">
        <v>0</v>
      </c>
      <c r="G8" s="80" t="s">
        <v>152</v>
      </c>
      <c r="H8" s="214" t="e">
        <f>CONCATENATE("Cost of Proposed Renovation, a renovation costing approximately $",E58," will make this facility brand new.")</f>
        <v>#N/A</v>
      </c>
      <c r="I8" s="51"/>
      <c r="J8" s="51"/>
    </row>
    <row r="9" spans="1:19" ht="14.4" x14ac:dyDescent="0.3">
      <c r="B9" s="68" t="s">
        <v>80</v>
      </c>
      <c r="C9" s="1"/>
      <c r="H9" s="214"/>
      <c r="I9" s="51"/>
      <c r="J9" s="51"/>
      <c r="P9" s="51" t="s">
        <v>81</v>
      </c>
      <c r="Q9" t="s">
        <v>83</v>
      </c>
      <c r="R9" t="s">
        <v>84</v>
      </c>
      <c r="S9" t="s">
        <v>82</v>
      </c>
    </row>
    <row r="10" spans="1:19" x14ac:dyDescent="0.25">
      <c r="A10" s="52" t="s">
        <v>48</v>
      </c>
      <c r="B10" t="s">
        <v>23</v>
      </c>
      <c r="C10" s="123">
        <v>231.11</v>
      </c>
      <c r="D10" s="51">
        <v>231.11</v>
      </c>
      <c r="E10" s="51">
        <v>231.11</v>
      </c>
      <c r="F10" s="51">
        <v>231.11</v>
      </c>
      <c r="G10" s="27"/>
      <c r="H10" s="214"/>
      <c r="J10" s="11"/>
      <c r="L10" s="51"/>
      <c r="P10" s="11">
        <v>0</v>
      </c>
      <c r="Q10">
        <v>30</v>
      </c>
      <c r="R10" s="51">
        <v>12.21</v>
      </c>
      <c r="S10">
        <v>0</v>
      </c>
    </row>
    <row r="11" spans="1:19" x14ac:dyDescent="0.25">
      <c r="A11" s="52" t="s">
        <v>49</v>
      </c>
      <c r="B11" s="37" t="s">
        <v>599</v>
      </c>
      <c r="C11" s="124" t="e">
        <f>+C3</f>
        <v>#N/A</v>
      </c>
      <c r="D11" s="6" t="e">
        <f>+D3</f>
        <v>#N/A</v>
      </c>
      <c r="E11" s="6" t="e">
        <f>+E3</f>
        <v>#N/A</v>
      </c>
      <c r="F11" s="6" t="e">
        <f>+F3+C3</f>
        <v>#N/A</v>
      </c>
      <c r="G11" s="27"/>
      <c r="I11" s="51"/>
      <c r="J11" s="51"/>
      <c r="L11" s="51"/>
      <c r="M11" s="51"/>
      <c r="P11" s="51">
        <v>500000</v>
      </c>
      <c r="Q11">
        <v>27.35</v>
      </c>
      <c r="R11" s="51">
        <v>13.42</v>
      </c>
      <c r="S11" s="51">
        <v>13.33</v>
      </c>
    </row>
    <row r="12" spans="1:19" x14ac:dyDescent="0.25">
      <c r="A12" s="52" t="s">
        <v>50</v>
      </c>
      <c r="B12" s="37" t="s">
        <v>79</v>
      </c>
      <c r="C12" s="124" t="e">
        <f>+C7</f>
        <v>#N/A</v>
      </c>
      <c r="D12" s="6" t="e">
        <f>+D7</f>
        <v>#N/A</v>
      </c>
      <c r="E12" s="6" t="e">
        <f>+E7</f>
        <v>#N/A</v>
      </c>
      <c r="F12" s="6" t="e">
        <f>+F7</f>
        <v>#N/A</v>
      </c>
      <c r="G12" s="6"/>
      <c r="I12" s="51"/>
      <c r="J12" s="51"/>
      <c r="L12" s="51"/>
      <c r="M12" s="51"/>
      <c r="P12" s="51">
        <v>1000000</v>
      </c>
      <c r="Q12">
        <v>24.7</v>
      </c>
      <c r="R12" s="51">
        <v>14.63</v>
      </c>
      <c r="S12" s="51">
        <v>13.33</v>
      </c>
    </row>
    <row r="13" spans="1:19" x14ac:dyDescent="0.25">
      <c r="A13" s="52" t="s">
        <v>51</v>
      </c>
      <c r="B13" t="s">
        <v>85</v>
      </c>
      <c r="C13" s="23" t="e">
        <f>+C11/C7</f>
        <v>#N/A</v>
      </c>
      <c r="D13" s="7" t="e">
        <f>+D11/D7</f>
        <v>#N/A</v>
      </c>
      <c r="E13" s="6" t="e">
        <f>+E11/E7</f>
        <v>#N/A</v>
      </c>
      <c r="F13" s="6" t="e">
        <f>+F11/F7</f>
        <v>#N/A</v>
      </c>
      <c r="G13" s="7"/>
      <c r="I13" s="51"/>
      <c r="J13" s="51"/>
      <c r="L13" s="51"/>
      <c r="M13" s="51"/>
      <c r="P13" s="51">
        <v>1500000</v>
      </c>
      <c r="Q13">
        <v>22.04</v>
      </c>
      <c r="R13" s="51">
        <v>15.83</v>
      </c>
      <c r="S13" s="51">
        <v>13.33</v>
      </c>
    </row>
    <row r="14" spans="1:19" ht="14.4" x14ac:dyDescent="0.3">
      <c r="A14" s="52" t="s">
        <v>52</v>
      </c>
      <c r="B14" t="s">
        <v>86</v>
      </c>
      <c r="C14" s="122" t="e">
        <f>VLOOKUP(C2,'Lookup Info'!A2:G399,7,FALSE)</f>
        <v>#N/A</v>
      </c>
      <c r="D14" s="69">
        <v>1</v>
      </c>
      <c r="E14" s="69">
        <v>1</v>
      </c>
      <c r="F14" s="69" t="e">
        <f>+C61</f>
        <v>#N/A</v>
      </c>
      <c r="I14" s="51"/>
      <c r="J14" s="51"/>
      <c r="L14" s="51"/>
      <c r="M14" s="51"/>
      <c r="P14" s="51">
        <v>2000000</v>
      </c>
      <c r="Q14">
        <v>19.39</v>
      </c>
      <c r="R14" s="51">
        <v>17.04</v>
      </c>
      <c r="S14" s="51">
        <v>13.33</v>
      </c>
    </row>
    <row r="15" spans="1:19" x14ac:dyDescent="0.25">
      <c r="A15" s="52" t="s">
        <v>53</v>
      </c>
      <c r="B15" t="s">
        <v>87</v>
      </c>
      <c r="C15" s="62" t="e">
        <f>VLOOKUP(C14,'RSMeans Factors'!$N$2:$O$6,2)</f>
        <v>#N/A</v>
      </c>
      <c r="D15" s="62">
        <f>VLOOKUP(D14,'RSMeans Factors'!$N$2:$O$6,2)</f>
        <v>425</v>
      </c>
      <c r="E15" s="62">
        <f>VLOOKUP(E14,'RSMeans Factors'!$N$2:$O$6,2)</f>
        <v>425</v>
      </c>
      <c r="F15" s="62" t="e">
        <f>VLOOKUP(F14,'RSMeans Factors'!$N$2:$O$6,2)</f>
        <v>#N/A</v>
      </c>
      <c r="I15" s="51"/>
      <c r="J15" s="51"/>
      <c r="L15" s="51"/>
      <c r="M15" s="51"/>
      <c r="P15" s="51">
        <v>2500000</v>
      </c>
      <c r="Q15">
        <v>16.739999999999998</v>
      </c>
      <c r="R15" s="51">
        <v>18.25</v>
      </c>
      <c r="S15" s="51">
        <v>13.33</v>
      </c>
    </row>
    <row r="16" spans="1:19" x14ac:dyDescent="0.25">
      <c r="A16" s="52" t="s">
        <v>54</v>
      </c>
      <c r="B16" t="s">
        <v>88</v>
      </c>
      <c r="C16" s="6" t="e">
        <f>MAX(MIN(700,C13),C15)</f>
        <v>#N/A</v>
      </c>
      <c r="D16" s="6" t="e">
        <f>MAX(MIN(700,D13),D15)</f>
        <v>#N/A</v>
      </c>
      <c r="E16" s="6" t="e">
        <f>MAX(MIN(700,E13),E15)</f>
        <v>#N/A</v>
      </c>
      <c r="F16" s="6" t="e">
        <f>MAX(MIN(700,F13),F15)</f>
        <v>#N/A</v>
      </c>
      <c r="I16" s="51"/>
      <c r="J16" s="51"/>
      <c r="L16" s="51"/>
      <c r="M16" s="51"/>
      <c r="P16" s="51">
        <v>3000000</v>
      </c>
      <c r="Q16">
        <v>14.09</v>
      </c>
      <c r="R16" s="51">
        <v>19.46</v>
      </c>
      <c r="S16" s="51">
        <v>13.33</v>
      </c>
    </row>
    <row r="17" spans="1:19" x14ac:dyDescent="0.25">
      <c r="A17" s="52" t="s">
        <v>55</v>
      </c>
      <c r="B17" t="s">
        <v>89</v>
      </c>
      <c r="C17" s="11" t="e">
        <f>VLOOKUP(VALUE(LEFT(C6,3)),'RSMeans Factors'!$A$3:$C$22,3,FALSE)</f>
        <v>#N/A</v>
      </c>
      <c r="D17" s="11" t="e">
        <f>VLOOKUP(VALUE(LEFT(D6,3)),'RSMeans Factors'!$A$3:$C$22,3,FALSE)</f>
        <v>#N/A</v>
      </c>
      <c r="E17" s="11" t="e">
        <f>VLOOKUP(VALUE(LEFT(E6,3)),'RSMeans Factors'!$A$3:$C$22,3,FALSE)</f>
        <v>#N/A</v>
      </c>
      <c r="F17" s="11" t="e">
        <f>VLOOKUP(VALUE(LEFT(F6,3)),'RSMeans Factors'!$A$3:$C$22,3,FALSE)</f>
        <v>#N/A</v>
      </c>
      <c r="I17" s="27"/>
      <c r="J17" s="51"/>
      <c r="L17" s="51"/>
      <c r="M17" s="51"/>
      <c r="P17" s="51">
        <v>3500000</v>
      </c>
      <c r="Q17">
        <v>11.44</v>
      </c>
      <c r="R17" s="51">
        <v>20.67</v>
      </c>
      <c r="S17" s="51">
        <v>13.33</v>
      </c>
    </row>
    <row r="18" spans="1:19" x14ac:dyDescent="0.25">
      <c r="A18" s="52" t="s">
        <v>56</v>
      </c>
      <c r="B18" t="s">
        <v>90</v>
      </c>
      <c r="C18" s="70" t="e">
        <f>+C17*C16*C7*C10</f>
        <v>#N/A</v>
      </c>
      <c r="D18" s="70" t="e">
        <f>+D17*D16*D7*D10</f>
        <v>#N/A</v>
      </c>
      <c r="E18" s="70" t="e">
        <f>+E17*E16*E7*E10</f>
        <v>#N/A</v>
      </c>
      <c r="F18" s="70" t="e">
        <f>+F17*F16*F7*F10</f>
        <v>#N/A</v>
      </c>
      <c r="J18" s="51"/>
      <c r="L18" s="51"/>
      <c r="M18" s="51"/>
      <c r="P18" s="51">
        <v>4000000</v>
      </c>
      <c r="Q18">
        <v>8.7899999999999991</v>
      </c>
      <c r="R18" s="51">
        <v>21.88</v>
      </c>
      <c r="S18" s="51">
        <v>13.33</v>
      </c>
    </row>
    <row r="19" spans="1:19" x14ac:dyDescent="0.25">
      <c r="J19" s="51"/>
      <c r="L19" s="51"/>
      <c r="M19" s="51"/>
      <c r="P19" s="51">
        <v>4500000</v>
      </c>
      <c r="Q19">
        <v>6.13</v>
      </c>
      <c r="R19" s="51">
        <v>23.09</v>
      </c>
      <c r="S19" s="51">
        <v>13.33</v>
      </c>
    </row>
    <row r="20" spans="1:19" ht="14.4" x14ac:dyDescent="0.3">
      <c r="B20" s="68" t="s">
        <v>91</v>
      </c>
      <c r="J20" s="51"/>
      <c r="L20" s="51"/>
      <c r="M20" s="51"/>
      <c r="P20" s="51">
        <v>5000000</v>
      </c>
      <c r="Q20">
        <v>3.48</v>
      </c>
      <c r="R20" s="51">
        <v>24.3</v>
      </c>
      <c r="S20" s="51">
        <v>13.33</v>
      </c>
    </row>
    <row r="21" spans="1:19" x14ac:dyDescent="0.25">
      <c r="A21" s="52" t="s">
        <v>92</v>
      </c>
      <c r="B21" t="s">
        <v>21</v>
      </c>
      <c r="C21" s="59">
        <v>0.15</v>
      </c>
      <c r="D21" s="59">
        <v>0.15</v>
      </c>
      <c r="E21" s="59">
        <v>0.15</v>
      </c>
      <c r="F21" s="59">
        <v>0.15</v>
      </c>
      <c r="J21" s="51"/>
      <c r="L21" s="51"/>
      <c r="M21" s="51"/>
      <c r="P21" s="51">
        <v>5468216</v>
      </c>
      <c r="Q21">
        <v>1</v>
      </c>
      <c r="R21" s="51">
        <v>25.43</v>
      </c>
      <c r="S21" s="51">
        <v>13.33</v>
      </c>
    </row>
    <row r="22" spans="1:19" x14ac:dyDescent="0.25">
      <c r="A22" s="52" t="s">
        <v>93</v>
      </c>
      <c r="B22" t="s">
        <v>94</v>
      </c>
      <c r="C22" s="71" t="e">
        <f>+C21*C18</f>
        <v>#N/A</v>
      </c>
      <c r="D22" s="71" t="e">
        <f>+D21*D18</f>
        <v>#N/A</v>
      </c>
      <c r="E22" s="71" t="e">
        <f>+E21*E18</f>
        <v>#N/A</v>
      </c>
      <c r="F22" s="71" t="e">
        <f>+F21*F18</f>
        <v>#N/A</v>
      </c>
    </row>
    <row r="23" spans="1:19" x14ac:dyDescent="0.25">
      <c r="J23" s="51"/>
    </row>
    <row r="24" spans="1:19" ht="14.4" x14ac:dyDescent="0.3">
      <c r="B24" s="68" t="s">
        <v>97</v>
      </c>
      <c r="J24" s="11"/>
      <c r="L24" s="51"/>
    </row>
    <row r="25" spans="1:19" x14ac:dyDescent="0.25">
      <c r="A25" s="52" t="s">
        <v>98</v>
      </c>
      <c r="B25" t="s">
        <v>99</v>
      </c>
      <c r="C25" s="70">
        <v>9000</v>
      </c>
      <c r="D25" s="70">
        <v>9000</v>
      </c>
      <c r="E25" s="70">
        <v>9000</v>
      </c>
      <c r="F25" s="70">
        <v>9000</v>
      </c>
      <c r="J25" s="51"/>
      <c r="L25" s="51"/>
    </row>
    <row r="26" spans="1:19" x14ac:dyDescent="0.25">
      <c r="A26" s="52" t="s">
        <v>100</v>
      </c>
      <c r="B26" t="s">
        <v>101</v>
      </c>
      <c r="C26" s="70" t="e">
        <f>+C25*C12</f>
        <v>#N/A</v>
      </c>
      <c r="D26" s="70" t="e">
        <f>+D25*D12</f>
        <v>#N/A</v>
      </c>
      <c r="E26" s="70" t="e">
        <f>+E25*E12</f>
        <v>#N/A</v>
      </c>
      <c r="F26" s="70" t="e">
        <f>+F25*F12</f>
        <v>#N/A</v>
      </c>
      <c r="J26" s="51"/>
      <c r="L26" s="51"/>
    </row>
    <row r="27" spans="1:19" x14ac:dyDescent="0.25">
      <c r="J27" s="51"/>
      <c r="L27" s="51"/>
    </row>
    <row r="28" spans="1:19" ht="14.4" x14ac:dyDescent="0.3">
      <c r="B28" s="68" t="s">
        <v>102</v>
      </c>
      <c r="J28" s="51"/>
      <c r="L28" s="51"/>
    </row>
    <row r="29" spans="1:19" x14ac:dyDescent="0.25">
      <c r="A29" s="52" t="s">
        <v>103</v>
      </c>
      <c r="B29" t="s">
        <v>104</v>
      </c>
      <c r="C29" s="71" t="e">
        <f>+C18+C26</f>
        <v>#N/A</v>
      </c>
      <c r="D29" s="71" t="e">
        <f>+D18+D26</f>
        <v>#N/A</v>
      </c>
      <c r="E29" s="71" t="e">
        <f>+E18+E26</f>
        <v>#N/A</v>
      </c>
      <c r="F29" s="71" t="e">
        <f>+F18+F26</f>
        <v>#N/A</v>
      </c>
      <c r="J29" s="51"/>
      <c r="L29" s="51"/>
    </row>
    <row r="30" spans="1:19" x14ac:dyDescent="0.25">
      <c r="A30" s="52" t="s">
        <v>105</v>
      </c>
      <c r="B30" t="s">
        <v>106</v>
      </c>
      <c r="C30" s="11" t="e">
        <f>+C14</f>
        <v>#N/A</v>
      </c>
      <c r="D30" s="11">
        <f>+D14</f>
        <v>1</v>
      </c>
      <c r="E30" s="11">
        <f>+E14</f>
        <v>1</v>
      </c>
      <c r="F30" s="11" t="e">
        <f>+F14</f>
        <v>#N/A</v>
      </c>
      <c r="J30" s="51"/>
      <c r="L30" s="51"/>
    </row>
    <row r="31" spans="1:19" x14ac:dyDescent="0.25">
      <c r="A31" s="52" t="s">
        <v>107</v>
      </c>
      <c r="B31" t="s">
        <v>108</v>
      </c>
      <c r="C31" s="59">
        <v>0.02</v>
      </c>
      <c r="D31" s="59">
        <v>0.02</v>
      </c>
      <c r="E31" s="59">
        <v>0.02</v>
      </c>
      <c r="F31" s="59">
        <v>0.02</v>
      </c>
      <c r="J31" s="51"/>
      <c r="L31" s="51"/>
    </row>
    <row r="32" spans="1:19" x14ac:dyDescent="0.25">
      <c r="A32" s="52" t="s">
        <v>109</v>
      </c>
      <c r="B32" t="s">
        <v>110</v>
      </c>
      <c r="C32" s="70" t="e">
        <f>+C29*C30*C31</f>
        <v>#N/A</v>
      </c>
      <c r="D32" s="70" t="e">
        <f>+D29*D30*D31</f>
        <v>#N/A</v>
      </c>
      <c r="E32" s="70" t="e">
        <f>+E29*E30*E31</f>
        <v>#N/A</v>
      </c>
      <c r="F32" s="70" t="e">
        <f>+F29*F30*F31</f>
        <v>#N/A</v>
      </c>
      <c r="J32" s="51"/>
      <c r="L32" s="51"/>
    </row>
    <row r="33" spans="1:18" x14ac:dyDescent="0.25">
      <c r="A33" s="52" t="s">
        <v>111</v>
      </c>
      <c r="B33" t="s">
        <v>112</v>
      </c>
      <c r="C33" s="71" t="e">
        <f>+C29-C32</f>
        <v>#N/A</v>
      </c>
      <c r="D33" s="71" t="e">
        <f>+D29-D32</f>
        <v>#N/A</v>
      </c>
      <c r="E33" s="71" t="e">
        <f>+E29-E32</f>
        <v>#N/A</v>
      </c>
      <c r="F33" s="71" t="e">
        <f>+F29-F32</f>
        <v>#N/A</v>
      </c>
      <c r="J33" s="51"/>
      <c r="L33" s="51"/>
    </row>
    <row r="34" spans="1:18" x14ac:dyDescent="0.25">
      <c r="A34" s="52" t="s">
        <v>113</v>
      </c>
      <c r="B34" t="s">
        <v>114</v>
      </c>
      <c r="C34" s="71" t="e">
        <f>+C33+C22</f>
        <v>#N/A</v>
      </c>
      <c r="D34" s="71" t="e">
        <f>+D33+D22</f>
        <v>#N/A</v>
      </c>
      <c r="E34" s="71" t="e">
        <f>+E33+E22</f>
        <v>#N/A</v>
      </c>
      <c r="F34" s="71" t="e">
        <f>+F33+F22</f>
        <v>#N/A</v>
      </c>
    </row>
    <row r="36" spans="1:18" ht="14.4" x14ac:dyDescent="0.3">
      <c r="B36" s="68" t="s">
        <v>115</v>
      </c>
    </row>
    <row r="37" spans="1:18" x14ac:dyDescent="0.25">
      <c r="A37" s="52" t="s">
        <v>116</v>
      </c>
      <c r="B37" t="s">
        <v>117</v>
      </c>
      <c r="C37" s="60">
        <v>7.4999999999999997E-2</v>
      </c>
      <c r="D37" s="60">
        <v>7.4999999999999997E-2</v>
      </c>
      <c r="E37" s="60">
        <v>7.4999999999999997E-2</v>
      </c>
      <c r="F37" s="60">
        <v>7.4999999999999997E-2</v>
      </c>
    </row>
    <row r="38" spans="1:18" x14ac:dyDescent="0.25">
      <c r="A38" s="52" t="s">
        <v>118</v>
      </c>
      <c r="B38" t="s">
        <v>119</v>
      </c>
      <c r="C38" s="70" t="e">
        <f>+C34*C37</f>
        <v>#N/A</v>
      </c>
      <c r="D38" s="70" t="e">
        <f>+D34*D37</f>
        <v>#N/A</v>
      </c>
      <c r="E38" s="70" t="e">
        <f>+E34*E37</f>
        <v>#N/A</v>
      </c>
      <c r="F38" s="70" t="e">
        <f>+F34*F37</f>
        <v>#N/A</v>
      </c>
    </row>
    <row r="39" spans="1:18" x14ac:dyDescent="0.25">
      <c r="A39" s="52" t="s">
        <v>120</v>
      </c>
      <c r="B39" t="s">
        <v>18</v>
      </c>
      <c r="C39" s="62" t="e">
        <f>+C5</f>
        <v>#N/A</v>
      </c>
      <c r="D39" s="62" t="e">
        <f>+D5</f>
        <v>#N/A</v>
      </c>
      <c r="E39" s="62" t="e">
        <f>+E5</f>
        <v>#N/A</v>
      </c>
      <c r="F39" s="62" t="e">
        <f>+F5</f>
        <v>#N/A</v>
      </c>
    </row>
    <row r="40" spans="1:18" x14ac:dyDescent="0.25">
      <c r="A40" s="52" t="s">
        <v>121</v>
      </c>
      <c r="B40" t="s">
        <v>122</v>
      </c>
      <c r="C40" s="62" t="e">
        <f>+C12*365*0.85</f>
        <v>#N/A</v>
      </c>
      <c r="D40" s="62" t="e">
        <f>+D12*365*0.85</f>
        <v>#N/A</v>
      </c>
      <c r="E40" s="62" t="e">
        <f>+E12*365*0.85</f>
        <v>#N/A</v>
      </c>
      <c r="F40" s="62" t="e">
        <f>+F12*365*0.85</f>
        <v>#N/A</v>
      </c>
      <c r="L40" s="51"/>
      <c r="P40" t="s">
        <v>84</v>
      </c>
      <c r="Q40" t="s">
        <v>95</v>
      </c>
      <c r="R40" t="s">
        <v>96</v>
      </c>
    </row>
    <row r="41" spans="1:18" x14ac:dyDescent="0.25">
      <c r="A41" s="52" t="s">
        <v>123</v>
      </c>
      <c r="B41" t="s">
        <v>124</v>
      </c>
      <c r="C41" s="6" t="e">
        <f>MAX(C40,C39)</f>
        <v>#N/A</v>
      </c>
      <c r="D41" s="6" t="e">
        <f>MAX(D40,D39)</f>
        <v>#N/A</v>
      </c>
      <c r="E41" s="6" t="e">
        <f>MAX(E40,E39)</f>
        <v>#N/A</v>
      </c>
      <c r="F41" s="6" t="e">
        <f>MAX(F40,F39)</f>
        <v>#N/A</v>
      </c>
      <c r="L41" s="11"/>
      <c r="N41" s="51"/>
      <c r="P41" s="51">
        <v>12.21</v>
      </c>
      <c r="Q41">
        <v>30</v>
      </c>
      <c r="R41" s="51">
        <v>9.69</v>
      </c>
    </row>
    <row r="42" spans="1:18" ht="15" thickBot="1" x14ac:dyDescent="0.35">
      <c r="A42" s="52" t="s">
        <v>125</v>
      </c>
      <c r="B42" t="s">
        <v>126</v>
      </c>
      <c r="C42" s="72" t="e">
        <f>+C38/C41</f>
        <v>#N/A</v>
      </c>
      <c r="D42" s="72" t="e">
        <f>+D38/D41</f>
        <v>#N/A</v>
      </c>
      <c r="E42" s="72" t="e">
        <f>+E38/E41</f>
        <v>#N/A</v>
      </c>
      <c r="F42" s="72" t="e">
        <f>+F38/F41</f>
        <v>#N/A</v>
      </c>
      <c r="J42" s="27"/>
      <c r="L42" s="70"/>
      <c r="N42" s="51"/>
      <c r="P42" s="51">
        <v>13.42</v>
      </c>
      <c r="Q42">
        <v>26.68</v>
      </c>
      <c r="R42" s="51">
        <v>10.9</v>
      </c>
    </row>
    <row r="43" spans="1:18" ht="13.8" thickTop="1" x14ac:dyDescent="0.25">
      <c r="J43" s="7"/>
      <c r="L43" s="70"/>
      <c r="N43" s="51"/>
      <c r="P43" s="51">
        <v>14.63</v>
      </c>
      <c r="Q43">
        <v>23.36</v>
      </c>
      <c r="R43" s="51">
        <v>12.89</v>
      </c>
    </row>
    <row r="44" spans="1:18" x14ac:dyDescent="0.25">
      <c r="B44" t="s">
        <v>127</v>
      </c>
      <c r="D44" s="70" t="e">
        <f>ROUND((C55-1)/C61*C56,0)</f>
        <v>#N/A</v>
      </c>
      <c r="J44" s="7"/>
      <c r="L44" s="70"/>
      <c r="N44" s="51"/>
      <c r="P44" s="51">
        <v>15.83</v>
      </c>
      <c r="Q44">
        <v>20.04</v>
      </c>
      <c r="R44" s="51">
        <v>14.17</v>
      </c>
    </row>
    <row r="45" spans="1:18" x14ac:dyDescent="0.25">
      <c r="B45" t="s">
        <v>128</v>
      </c>
      <c r="D45" s="51" t="e">
        <f>+D42-C42</f>
        <v>#N/A</v>
      </c>
      <c r="L45" s="70"/>
      <c r="N45" s="51"/>
      <c r="P45" s="51">
        <v>17.04</v>
      </c>
      <c r="Q45">
        <v>16.72</v>
      </c>
      <c r="R45" s="51">
        <v>16.39</v>
      </c>
    </row>
    <row r="46" spans="1:18" x14ac:dyDescent="0.25">
      <c r="D46" s="70"/>
      <c r="L46" s="70"/>
      <c r="N46" s="51"/>
      <c r="P46" s="51">
        <v>18.25</v>
      </c>
      <c r="Q46">
        <v>13.41</v>
      </c>
      <c r="R46" s="51">
        <v>17.75</v>
      </c>
    </row>
    <row r="47" spans="1:18" x14ac:dyDescent="0.25">
      <c r="B47" t="s">
        <v>129</v>
      </c>
      <c r="D47" s="70">
        <f>+F8</f>
        <v>0</v>
      </c>
      <c r="L47" s="70"/>
      <c r="N47" s="51"/>
      <c r="P47" s="51">
        <v>19.46</v>
      </c>
      <c r="Q47">
        <v>10.09</v>
      </c>
      <c r="R47" s="51">
        <v>19.11</v>
      </c>
    </row>
    <row r="48" spans="1:18" x14ac:dyDescent="0.25">
      <c r="B48" t="s">
        <v>130</v>
      </c>
      <c r="D48" s="51" t="e">
        <f>+F42</f>
        <v>#N/A</v>
      </c>
      <c r="L48" s="70"/>
      <c r="N48" s="51"/>
      <c r="P48" s="51">
        <v>20.67</v>
      </c>
      <c r="Q48">
        <v>6.77</v>
      </c>
      <c r="R48" s="51">
        <v>21.64</v>
      </c>
    </row>
    <row r="49" spans="2:18" x14ac:dyDescent="0.25">
      <c r="B49" t="s">
        <v>131</v>
      </c>
      <c r="D49" s="51" t="e">
        <f>+F42-C42</f>
        <v>#N/A</v>
      </c>
      <c r="L49" s="70"/>
      <c r="N49" s="51"/>
      <c r="P49" s="51">
        <v>21.88</v>
      </c>
      <c r="Q49">
        <v>3.45</v>
      </c>
      <c r="R49" s="51">
        <v>23.07</v>
      </c>
    </row>
    <row r="50" spans="2:18" x14ac:dyDescent="0.25">
      <c r="D50" s="70"/>
      <c r="L50" s="70"/>
      <c r="N50" s="51"/>
      <c r="P50" s="51">
        <v>23.09</v>
      </c>
      <c r="Q50">
        <v>1</v>
      </c>
      <c r="R50" s="51">
        <v>24.13</v>
      </c>
    </row>
    <row r="51" spans="2:18" x14ac:dyDescent="0.25">
      <c r="B51" s="37" t="s">
        <v>831</v>
      </c>
      <c r="C51" s="51">
        <v>77158.626946922726</v>
      </c>
      <c r="L51" s="70"/>
      <c r="N51" s="51"/>
      <c r="P51" s="51">
        <v>24.3</v>
      </c>
    </row>
    <row r="53" spans="2:18" ht="14.4" x14ac:dyDescent="0.3">
      <c r="B53" s="73" t="s">
        <v>132</v>
      </c>
    </row>
    <row r="54" spans="2:18" x14ac:dyDescent="0.25">
      <c r="B54" t="s">
        <v>133</v>
      </c>
    </row>
    <row r="55" spans="2:18" ht="14.4" x14ac:dyDescent="0.3">
      <c r="B55" t="s">
        <v>134</v>
      </c>
      <c r="C55" s="11" t="e">
        <f>+C14</f>
        <v>#N/A</v>
      </c>
      <c r="D55" s="7" t="e">
        <f>+C55</f>
        <v>#N/A</v>
      </c>
    </row>
    <row r="56" spans="2:18" ht="14.4" x14ac:dyDescent="0.3">
      <c r="B56" t="s">
        <v>135</v>
      </c>
      <c r="C56" s="70">
        <f>+F8</f>
        <v>0</v>
      </c>
      <c r="D56">
        <v>10000</v>
      </c>
      <c r="E56" s="11"/>
    </row>
    <row r="57" spans="2:18" x14ac:dyDescent="0.25">
      <c r="B57" s="37" t="s">
        <v>832</v>
      </c>
      <c r="C57" s="70" t="e">
        <f>+C51*C59</f>
        <v>#N/A</v>
      </c>
      <c r="D57" s="71" t="e">
        <f>+C57</f>
        <v>#N/A</v>
      </c>
    </row>
    <row r="58" spans="2:18" x14ac:dyDescent="0.25">
      <c r="B58" s="37" t="s">
        <v>142</v>
      </c>
      <c r="C58" s="240" t="e">
        <f>MIN(C56/C57,C7)</f>
        <v>#N/A</v>
      </c>
      <c r="D58" s="241" t="e">
        <f>+D56/D57</f>
        <v>#N/A</v>
      </c>
      <c r="E58" s="70" t="e">
        <f>ROUND(C7/D58*D56,0)</f>
        <v>#N/A</v>
      </c>
    </row>
    <row r="59" spans="2:18" ht="14.4" x14ac:dyDescent="0.3">
      <c r="B59" t="s">
        <v>136</v>
      </c>
      <c r="C59" s="60" t="e">
        <f>+C55*C60</f>
        <v>#N/A</v>
      </c>
      <c r="E59" s="7"/>
    </row>
    <row r="60" spans="2:18" x14ac:dyDescent="0.25">
      <c r="B60" t="s">
        <v>137</v>
      </c>
      <c r="C60" s="60">
        <v>0.02</v>
      </c>
      <c r="E60" s="7"/>
    </row>
    <row r="61" spans="2:18" ht="14.4" x14ac:dyDescent="0.3">
      <c r="B61" s="37" t="s">
        <v>833</v>
      </c>
      <c r="C61" s="239" t="e">
        <f>(C58+(C7-C58)*C55)/C7</f>
        <v>#N/A</v>
      </c>
      <c r="D61" s="7" t="e">
        <f>+(D58+((C7-D58)*D55))/C7</f>
        <v>#N/A</v>
      </c>
      <c r="E61" s="7"/>
    </row>
    <row r="62" spans="2:18" x14ac:dyDescent="0.25">
      <c r="C62" s="7"/>
      <c r="D62" s="11"/>
      <c r="E62" s="70"/>
    </row>
    <row r="63" spans="2:18" ht="14.4" x14ac:dyDescent="0.3">
      <c r="B63" s="74" t="s">
        <v>138</v>
      </c>
    </row>
    <row r="64" spans="2:18" x14ac:dyDescent="0.25">
      <c r="B64" t="s">
        <v>139</v>
      </c>
      <c r="C64" s="160" t="e">
        <f>+C7</f>
        <v>#N/A</v>
      </c>
    </row>
    <row r="65" spans="2:6" x14ac:dyDescent="0.25">
      <c r="B65" t="s">
        <v>140</v>
      </c>
      <c r="C65" s="27" t="e">
        <f>+C51*C59</f>
        <v>#N/A</v>
      </c>
    </row>
    <row r="66" spans="2:6" x14ac:dyDescent="0.25">
      <c r="B66" t="s">
        <v>141</v>
      </c>
      <c r="C66" s="71">
        <f>+C56</f>
        <v>0</v>
      </c>
    </row>
    <row r="67" spans="2:6" x14ac:dyDescent="0.25">
      <c r="B67" t="s">
        <v>142</v>
      </c>
      <c r="C67" s="75" t="e">
        <f>MIN(C66/C65,C64)</f>
        <v>#N/A</v>
      </c>
    </row>
    <row r="69" spans="2:6" x14ac:dyDescent="0.25">
      <c r="B69" t="s">
        <v>143</v>
      </c>
      <c r="C69" s="75" t="e">
        <f>+C64-C67</f>
        <v>#N/A</v>
      </c>
      <c r="D69" t="e">
        <f>C55</f>
        <v>#N/A</v>
      </c>
      <c r="E69" s="75" t="e">
        <f>D69*C69</f>
        <v>#N/A</v>
      </c>
      <c r="F69" s="161"/>
    </row>
    <row r="70" spans="2:6" x14ac:dyDescent="0.25">
      <c r="B70" t="s">
        <v>144</v>
      </c>
      <c r="C70" s="76" t="e">
        <f>+C67</f>
        <v>#N/A</v>
      </c>
      <c r="D70">
        <v>1</v>
      </c>
      <c r="E70" s="75" t="e">
        <f>D70*C70</f>
        <v>#N/A</v>
      </c>
      <c r="F70" s="161"/>
    </row>
    <row r="71" spans="2:6" x14ac:dyDescent="0.25">
      <c r="C71" t="e">
        <f>SUM(C69:C70)</f>
        <v>#N/A</v>
      </c>
      <c r="E71" s="75" t="e">
        <f>SUM(E69:E70)</f>
        <v>#N/A</v>
      </c>
      <c r="F71" s="161"/>
    </row>
    <row r="72" spans="2:6" x14ac:dyDescent="0.25">
      <c r="B72" s="37" t="s">
        <v>803</v>
      </c>
      <c r="E72" s="163" t="e">
        <f>E71/C71</f>
        <v>#N/A</v>
      </c>
      <c r="F72" s="161"/>
    </row>
    <row r="73" spans="2:6" x14ac:dyDescent="0.25">
      <c r="B73" t="s">
        <v>145</v>
      </c>
      <c r="E73" s="76" t="e">
        <f>C55</f>
        <v>#N/A</v>
      </c>
      <c r="F73" s="161"/>
    </row>
    <row r="74" spans="2:6" ht="14.4" x14ac:dyDescent="0.3">
      <c r="B74" t="s">
        <v>146</v>
      </c>
      <c r="E74" s="164" t="e">
        <f>E73-E72</f>
        <v>#N/A</v>
      </c>
      <c r="F74" s="162"/>
    </row>
  </sheetData>
  <mergeCells count="2">
    <mergeCell ref="H3:H6"/>
    <mergeCell ref="H8:H10"/>
  </mergeCells>
  <phoneticPr fontId="4" type="noConversion"/>
  <pageMargins left="0.75" right="0.68" top="0.65" bottom="0.57999999999999996" header="0.5" footer="0.45"/>
  <pageSetup scale="9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5A23-7A96-4A9F-9494-D9E92FCD0EBA}">
  <sheetPr>
    <tabColor theme="6" tint="0.79998168889431442"/>
  </sheetPr>
  <dimension ref="A1:D20"/>
  <sheetViews>
    <sheetView workbookViewId="0">
      <selection activeCell="F25" sqref="F25"/>
    </sheetView>
  </sheetViews>
  <sheetFormatPr defaultRowHeight="13.2" x14ac:dyDescent="0.25"/>
  <cols>
    <col min="1" max="1" width="14" customWidth="1"/>
    <col min="2" max="2" width="18.33203125" bestFit="1" customWidth="1"/>
    <col min="3" max="3" width="17.77734375" bestFit="1" customWidth="1"/>
    <col min="4" max="4" width="14" bestFit="1" customWidth="1"/>
  </cols>
  <sheetData>
    <row r="1" spans="1:4" x14ac:dyDescent="0.25">
      <c r="A1" s="37" t="s">
        <v>804</v>
      </c>
    </row>
    <row r="3" spans="1:4" x14ac:dyDescent="0.25">
      <c r="A3" s="9" t="s">
        <v>806</v>
      </c>
    </row>
    <row r="4" spans="1:4" x14ac:dyDescent="0.25">
      <c r="A4" s="166">
        <f>+'Rate Calculation'!A3</f>
        <v>0</v>
      </c>
      <c r="B4" s="158"/>
      <c r="C4" s="1"/>
    </row>
    <row r="6" spans="1:4" x14ac:dyDescent="0.25">
      <c r="A6" s="9" t="s">
        <v>77</v>
      </c>
      <c r="B6" s="167">
        <f>+'Rate Calculation'!B6</f>
        <v>0</v>
      </c>
    </row>
    <row r="7" spans="1:4" x14ac:dyDescent="0.25">
      <c r="A7" s="9"/>
      <c r="C7" s="158"/>
    </row>
    <row r="8" spans="1:4" x14ac:dyDescent="0.25">
      <c r="B8" s="9" t="s">
        <v>781</v>
      </c>
      <c r="C8" s="9" t="s">
        <v>782</v>
      </c>
      <c r="D8" s="9" t="s">
        <v>783</v>
      </c>
    </row>
    <row r="9" spans="1:4" x14ac:dyDescent="0.25">
      <c r="A9" s="9" t="s">
        <v>780</v>
      </c>
      <c r="B9" s="62" t="e">
        <f>VLOOKUP($B$6,'2017 and newer renovations'!$B$4:$Y$411,2,FALSE)</f>
        <v>#N/A</v>
      </c>
      <c r="C9" s="159" t="e">
        <f>VLOOKUP($B$6,'2017 and newer renovations'!$B$4:$Y$411,3,FALSE)</f>
        <v>#N/A</v>
      </c>
      <c r="D9" s="62" t="e">
        <f>VLOOKUP($B$6,'2017 and newer renovations'!$B$4:$Y$411,4,FALSE)</f>
        <v>#N/A</v>
      </c>
    </row>
    <row r="10" spans="1:4" x14ac:dyDescent="0.25">
      <c r="A10" s="9" t="s">
        <v>784</v>
      </c>
      <c r="B10" s="62" t="e">
        <f>VLOOKUP($B$6,'2017 and newer renovations'!$B$4:$Y$411,6,FALSE)</f>
        <v>#N/A</v>
      </c>
      <c r="C10" s="159" t="e">
        <f>VLOOKUP($B$6,'2017 and newer renovations'!$B$4:$Y$411,7,FALSE)</f>
        <v>#N/A</v>
      </c>
      <c r="D10" s="62" t="e">
        <f>VLOOKUP($B$6,'2017 and newer renovations'!$B$4:$Y$411,8,FALSE)</f>
        <v>#N/A</v>
      </c>
    </row>
    <row r="11" spans="1:4" x14ac:dyDescent="0.25">
      <c r="A11" s="9" t="s">
        <v>785</v>
      </c>
      <c r="B11" s="62" t="e">
        <f>VLOOKUP($B$6,'2017 and newer renovations'!$B$4:$Y$411,10,FALSE)</f>
        <v>#N/A</v>
      </c>
      <c r="C11" s="159" t="e">
        <f>VLOOKUP($B$6,'2017 and newer renovations'!$B$4:$Y$411,11,FALSE)</f>
        <v>#N/A</v>
      </c>
      <c r="D11" s="62" t="e">
        <f>VLOOKUP($B$6,'2017 and newer renovations'!$B$4:$Y$411,12,FALSE)</f>
        <v>#N/A</v>
      </c>
    </row>
    <row r="12" spans="1:4" x14ac:dyDescent="0.25">
      <c r="A12" s="9" t="s">
        <v>786</v>
      </c>
      <c r="B12" s="62" t="e">
        <f>VLOOKUP($B$6,'2017 and newer renovations'!$B$4:$Y$411,14,FALSE)</f>
        <v>#N/A</v>
      </c>
      <c r="C12" s="159" t="e">
        <f>VLOOKUP($B$6,'2017 and newer renovations'!$B$4:$Y$411,15,FALSE)</f>
        <v>#N/A</v>
      </c>
      <c r="D12" s="62" t="e">
        <f>VLOOKUP($B$6,'2017 and newer renovations'!$B$4:$Y$411,16,FALSE)</f>
        <v>#N/A</v>
      </c>
    </row>
    <row r="13" spans="1:4" x14ac:dyDescent="0.25">
      <c r="A13" s="9" t="s">
        <v>787</v>
      </c>
      <c r="B13" s="62" t="e">
        <f>VLOOKUP($B$6,'2017 and newer renovations'!$B$4:$Y$411,18,FALSE)</f>
        <v>#N/A</v>
      </c>
      <c r="C13" s="159" t="e">
        <f>VLOOKUP($B$6,'2017 and newer renovations'!$B$4:$Y$411,19,FALSE)</f>
        <v>#N/A</v>
      </c>
      <c r="D13" s="62" t="e">
        <f>VLOOKUP($B$6,'2017 and newer renovations'!$B$4:$Y$411,20,FALSE)</f>
        <v>#N/A</v>
      </c>
    </row>
    <row r="14" spans="1:4" x14ac:dyDescent="0.25">
      <c r="A14" s="9" t="s">
        <v>788</v>
      </c>
      <c r="B14" s="62" t="e">
        <f>VLOOKUP($B$6,'2017 and newer renovations'!$B$4:$Y$411,22,FALSE)</f>
        <v>#N/A</v>
      </c>
      <c r="C14" s="159" t="e">
        <f>VLOOKUP($B$6,'2017 and newer renovations'!$B$4:$Y$411,23,FALSE)</f>
        <v>#N/A</v>
      </c>
      <c r="D14" s="62" t="e">
        <f>VLOOKUP($B$6,'2017 and newer renovations'!$B$4:$Y$411,24,FALSE)</f>
        <v>#N/A</v>
      </c>
    </row>
    <row r="17" spans="1:2" x14ac:dyDescent="0.25">
      <c r="A17" s="37" t="s">
        <v>789</v>
      </c>
    </row>
    <row r="18" spans="1:2" x14ac:dyDescent="0.25">
      <c r="B18" s="37" t="s">
        <v>790</v>
      </c>
    </row>
    <row r="19" spans="1:2" x14ac:dyDescent="0.25">
      <c r="B19" s="37" t="s">
        <v>791</v>
      </c>
    </row>
    <row r="20" spans="1:2" x14ac:dyDescent="0.25">
      <c r="B20" s="37" t="s">
        <v>792</v>
      </c>
    </row>
  </sheetData>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3299-6342-4D66-AB1B-2E46837B089F}">
  <dimension ref="A1:Y411"/>
  <sheetViews>
    <sheetView topLeftCell="B403" workbookViewId="0">
      <selection activeCell="A6" sqref="A6"/>
    </sheetView>
  </sheetViews>
  <sheetFormatPr defaultRowHeight="13.2" x14ac:dyDescent="0.25"/>
  <cols>
    <col min="1" max="1" width="54.5546875" style="128" bestFit="1" customWidth="1"/>
    <col min="2" max="2" width="11" style="128" bestFit="1" customWidth="1"/>
    <col min="3" max="3" width="16.33203125" style="157" bestFit="1" customWidth="1"/>
    <col min="4" max="4" width="5" style="157" bestFit="1" customWidth="1"/>
    <col min="5" max="5" width="9.77734375" style="157" bestFit="1" customWidth="1"/>
    <col min="6" max="6" width="2.33203125" style="157" bestFit="1" customWidth="1"/>
    <col min="7" max="7" width="5.21875" style="157" bestFit="1" customWidth="1"/>
    <col min="8" max="8" width="5" style="157" bestFit="1" customWidth="1"/>
    <col min="9" max="9" width="9.77734375" style="157" bestFit="1" customWidth="1"/>
    <col min="10" max="10" width="2.33203125" style="157" bestFit="1" customWidth="1"/>
    <col min="11" max="11" width="5.21875" style="157" bestFit="1" customWidth="1"/>
    <col min="12" max="12" width="5" style="157" bestFit="1" customWidth="1"/>
    <col min="13" max="13" width="9.77734375" style="157" bestFit="1" customWidth="1"/>
    <col min="14" max="14" width="2.33203125" style="157" bestFit="1" customWidth="1"/>
    <col min="15" max="15" width="5.21875" style="157" bestFit="1" customWidth="1"/>
    <col min="16" max="16" width="5" style="157" bestFit="1" customWidth="1"/>
    <col min="17" max="17" width="9.77734375" style="157" bestFit="1" customWidth="1"/>
    <col min="18" max="18" width="2.33203125" style="157" bestFit="1" customWidth="1"/>
    <col min="19" max="19" width="5.21875" style="157" bestFit="1" customWidth="1"/>
    <col min="20" max="20" width="5" style="157" bestFit="1" customWidth="1"/>
    <col min="21" max="21" width="8.21875" style="157" bestFit="1" customWidth="1"/>
    <col min="22" max="22" width="3" style="157" customWidth="1"/>
    <col min="23" max="23" width="9.77734375" style="157" bestFit="1" customWidth="1"/>
    <col min="24" max="24" width="5" style="157" bestFit="1" customWidth="1"/>
    <col min="25" max="25" width="9.77734375" style="157" bestFit="1" customWidth="1"/>
  </cols>
  <sheetData>
    <row r="1" spans="1:25" x14ac:dyDescent="0.25">
      <c r="C1" s="129" t="s">
        <v>623</v>
      </c>
      <c r="D1" s="129"/>
      <c r="E1" s="130"/>
      <c r="F1" s="131"/>
      <c r="G1" s="129" t="s">
        <v>624</v>
      </c>
      <c r="H1" s="129"/>
      <c r="I1" s="130"/>
      <c r="J1" s="131"/>
      <c r="K1" s="129" t="s">
        <v>625</v>
      </c>
      <c r="L1" s="129"/>
      <c r="M1" s="130"/>
      <c r="N1" s="131"/>
      <c r="O1" s="129" t="s">
        <v>626</v>
      </c>
      <c r="P1" s="129"/>
      <c r="Q1" s="130"/>
      <c r="R1" s="131"/>
      <c r="S1" s="129" t="s">
        <v>627</v>
      </c>
      <c r="T1" s="129"/>
      <c r="U1" s="130"/>
      <c r="V1" s="131"/>
      <c r="W1" s="129" t="s">
        <v>628</v>
      </c>
      <c r="X1" s="129"/>
      <c r="Y1" s="130"/>
    </row>
    <row r="2" spans="1:25" ht="39.6" x14ac:dyDescent="0.25">
      <c r="A2" s="132"/>
      <c r="B2" s="132"/>
      <c r="C2" s="133" t="s">
        <v>629</v>
      </c>
      <c r="D2" s="134"/>
      <c r="E2" s="135"/>
      <c r="F2" s="136"/>
      <c r="G2" s="133" t="s">
        <v>629</v>
      </c>
      <c r="H2" s="134"/>
      <c r="I2" s="135"/>
      <c r="J2" s="136"/>
      <c r="K2" s="133" t="s">
        <v>629</v>
      </c>
      <c r="L2" s="134"/>
      <c r="M2" s="135"/>
      <c r="N2" s="136"/>
      <c r="O2" s="133" t="s">
        <v>629</v>
      </c>
      <c r="P2" s="134"/>
      <c r="Q2" s="135"/>
      <c r="R2" s="136"/>
      <c r="S2" s="133" t="s">
        <v>629</v>
      </c>
      <c r="T2" s="134"/>
      <c r="U2" s="135"/>
      <c r="V2" s="136"/>
      <c r="W2" s="133" t="s">
        <v>629</v>
      </c>
      <c r="X2" s="134"/>
      <c r="Y2" s="135"/>
    </row>
    <row r="3" spans="1:25" ht="26.4" x14ac:dyDescent="0.25">
      <c r="A3" s="132" t="s">
        <v>630</v>
      </c>
      <c r="B3" s="132"/>
      <c r="C3" s="137" t="s">
        <v>17</v>
      </c>
      <c r="D3" s="134" t="s">
        <v>16</v>
      </c>
      <c r="E3" s="135" t="s">
        <v>141</v>
      </c>
      <c r="F3" s="136"/>
      <c r="G3" s="137" t="s">
        <v>17</v>
      </c>
      <c r="H3" s="134" t="s">
        <v>16</v>
      </c>
      <c r="I3" s="135" t="s">
        <v>141</v>
      </c>
      <c r="J3" s="136"/>
      <c r="K3" s="137" t="s">
        <v>17</v>
      </c>
      <c r="L3" s="134" t="s">
        <v>16</v>
      </c>
      <c r="M3" s="135" t="s">
        <v>141</v>
      </c>
      <c r="N3" s="136"/>
      <c r="O3" s="137" t="s">
        <v>17</v>
      </c>
      <c r="P3" s="134" t="s">
        <v>16</v>
      </c>
      <c r="Q3" s="135" t="s">
        <v>141</v>
      </c>
      <c r="R3" s="136"/>
      <c r="S3" s="137" t="s">
        <v>17</v>
      </c>
      <c r="T3" s="134" t="s">
        <v>16</v>
      </c>
      <c r="U3" s="135" t="s">
        <v>141</v>
      </c>
      <c r="V3" s="136"/>
      <c r="W3" s="137" t="s">
        <v>17</v>
      </c>
      <c r="X3" s="134" t="s">
        <v>16</v>
      </c>
      <c r="Y3" s="135" t="s">
        <v>141</v>
      </c>
    </row>
    <row r="4" spans="1:25" x14ac:dyDescent="0.25">
      <c r="A4" s="138" t="s">
        <v>631</v>
      </c>
      <c r="B4" s="138">
        <f>_xlfn.XLOOKUP(A4,'[2]FRV Output'!$B:$B,'[2]FRV Output'!$F:$F)</f>
        <v>1285687962</v>
      </c>
      <c r="C4" s="139"/>
      <c r="D4" s="139"/>
      <c r="E4" s="140"/>
      <c r="F4" s="141" t="s">
        <v>595</v>
      </c>
      <c r="G4" s="139"/>
      <c r="H4" s="139"/>
      <c r="I4" s="140"/>
      <c r="J4" s="141" t="s">
        <v>595</v>
      </c>
      <c r="K4" s="139"/>
      <c r="L4" s="139"/>
      <c r="M4" s="140"/>
      <c r="N4" s="141" t="s">
        <v>595</v>
      </c>
      <c r="O4" s="139"/>
      <c r="P4" s="139"/>
      <c r="Q4" s="140"/>
      <c r="R4" s="141" t="s">
        <v>595</v>
      </c>
      <c r="S4" s="139"/>
      <c r="T4" s="139"/>
      <c r="U4" s="140"/>
      <c r="V4" s="141" t="s">
        <v>595</v>
      </c>
      <c r="W4" s="139"/>
      <c r="X4" s="139"/>
      <c r="Y4" s="140"/>
    </row>
    <row r="5" spans="1:25" x14ac:dyDescent="0.25">
      <c r="A5" s="142" t="s">
        <v>174</v>
      </c>
      <c r="B5" s="138">
        <f>_xlfn.XLOOKUP(A5,'[2]FRV Output'!$B:$B,'[2]FRV Output'!$F:$F)</f>
        <v>1245227578</v>
      </c>
      <c r="C5" s="139">
        <v>2</v>
      </c>
      <c r="D5" s="139">
        <v>2017</v>
      </c>
      <c r="E5" s="140">
        <v>96</v>
      </c>
      <c r="F5" s="141" t="s">
        <v>595</v>
      </c>
      <c r="G5" s="139">
        <v>2</v>
      </c>
      <c r="H5" s="139">
        <v>2019</v>
      </c>
      <c r="I5" s="140">
        <v>78</v>
      </c>
      <c r="J5" s="141" t="s">
        <v>595</v>
      </c>
      <c r="K5" s="139">
        <v>3</v>
      </c>
      <c r="L5" s="139">
        <v>2019</v>
      </c>
      <c r="M5" s="140">
        <v>120547</v>
      </c>
      <c r="N5" s="141" t="s">
        <v>595</v>
      </c>
      <c r="O5" s="139">
        <v>3</v>
      </c>
      <c r="P5" s="139">
        <v>2021</v>
      </c>
      <c r="Q5" s="140">
        <v>300845</v>
      </c>
      <c r="R5" s="141" t="s">
        <v>595</v>
      </c>
      <c r="S5" s="139"/>
      <c r="T5" s="139"/>
      <c r="U5" s="140"/>
      <c r="V5" s="141" t="s">
        <v>595</v>
      </c>
      <c r="W5" s="139"/>
      <c r="X5" s="139"/>
      <c r="Y5" s="140"/>
    </row>
    <row r="6" spans="1:25" x14ac:dyDescent="0.25">
      <c r="A6" s="138" t="s">
        <v>175</v>
      </c>
      <c r="B6" s="138">
        <f>_xlfn.XLOOKUP(A6,'[2]FRV Output'!$B:$B,'[2]FRV Output'!$F:$F)</f>
        <v>1427608959</v>
      </c>
      <c r="C6" s="139">
        <v>3</v>
      </c>
      <c r="D6" s="139">
        <v>2020</v>
      </c>
      <c r="E6" s="140">
        <v>178898</v>
      </c>
      <c r="F6" s="141" t="s">
        <v>595</v>
      </c>
      <c r="G6" s="139">
        <v>3</v>
      </c>
      <c r="H6" s="139">
        <v>2021</v>
      </c>
      <c r="I6" s="140">
        <v>150104</v>
      </c>
      <c r="J6" s="141" t="s">
        <v>595</v>
      </c>
      <c r="K6" s="139"/>
      <c r="L6" s="139"/>
      <c r="M6" s="140"/>
      <c r="N6" s="141" t="s">
        <v>595</v>
      </c>
      <c r="O6" s="139"/>
      <c r="P6" s="139"/>
      <c r="Q6" s="140"/>
      <c r="R6" s="141" t="s">
        <v>595</v>
      </c>
      <c r="S6" s="139"/>
      <c r="T6" s="139"/>
      <c r="U6" s="140"/>
      <c r="V6" s="141" t="s">
        <v>595</v>
      </c>
      <c r="W6" s="139"/>
      <c r="X6" s="139"/>
      <c r="Y6" s="140"/>
    </row>
    <row r="7" spans="1:25" x14ac:dyDescent="0.25">
      <c r="A7" s="138" t="s">
        <v>632</v>
      </c>
      <c r="B7" s="138">
        <f>_xlfn.XLOOKUP(A7,'[2]FRV Output'!$B:$B,'[2]FRV Output'!$F:$F)</f>
        <v>1063919652</v>
      </c>
      <c r="C7" s="139">
        <v>3</v>
      </c>
      <c r="D7" s="139">
        <v>2016</v>
      </c>
      <c r="E7" s="140">
        <v>102564</v>
      </c>
      <c r="F7" s="141" t="s">
        <v>595</v>
      </c>
      <c r="G7" s="139">
        <v>3</v>
      </c>
      <c r="H7" s="139">
        <v>2017</v>
      </c>
      <c r="I7" s="140">
        <v>146951.57999999999</v>
      </c>
      <c r="J7" s="141" t="s">
        <v>595</v>
      </c>
      <c r="K7" s="139">
        <v>3</v>
      </c>
      <c r="L7" s="139">
        <v>2018</v>
      </c>
      <c r="M7" s="140">
        <v>90336</v>
      </c>
      <c r="N7" s="141" t="s">
        <v>595</v>
      </c>
      <c r="O7" s="139">
        <v>3</v>
      </c>
      <c r="P7" s="139">
        <v>2019</v>
      </c>
      <c r="Q7" s="140">
        <v>535380</v>
      </c>
      <c r="R7" s="141" t="s">
        <v>595</v>
      </c>
      <c r="S7" s="139">
        <v>3</v>
      </c>
      <c r="T7" s="139">
        <v>2020</v>
      </c>
      <c r="U7" s="140">
        <v>154670</v>
      </c>
      <c r="V7" s="141" t="s">
        <v>595</v>
      </c>
      <c r="W7" s="139">
        <v>3</v>
      </c>
      <c r="X7" s="139">
        <v>2021</v>
      </c>
      <c r="Y7" s="140">
        <v>681876</v>
      </c>
    </row>
    <row r="8" spans="1:25" x14ac:dyDescent="0.25">
      <c r="A8" s="142" t="s">
        <v>177</v>
      </c>
      <c r="B8" s="138">
        <f>_xlfn.XLOOKUP(A8,'[2]FRV Output'!$B:$B,'[2]FRV Output'!$F:$F)</f>
        <v>1518435650</v>
      </c>
      <c r="C8" s="139">
        <v>3</v>
      </c>
      <c r="D8" s="139">
        <v>2016</v>
      </c>
      <c r="E8" s="140">
        <v>78591</v>
      </c>
      <c r="F8" s="141" t="s">
        <v>595</v>
      </c>
      <c r="G8" s="139">
        <v>3</v>
      </c>
      <c r="H8" s="139">
        <v>2017</v>
      </c>
      <c r="I8" s="140">
        <v>104699.96</v>
      </c>
      <c r="J8" s="141" t="s">
        <v>595</v>
      </c>
      <c r="K8" s="139">
        <v>3</v>
      </c>
      <c r="L8" s="139">
        <v>2019</v>
      </c>
      <c r="M8" s="140">
        <v>172175</v>
      </c>
      <c r="N8" s="141" t="s">
        <v>595</v>
      </c>
      <c r="O8" s="139">
        <v>3</v>
      </c>
      <c r="P8" s="139">
        <v>2020</v>
      </c>
      <c r="Q8" s="140">
        <v>275202</v>
      </c>
      <c r="R8" s="141" t="s">
        <v>595</v>
      </c>
      <c r="S8" s="139">
        <v>3</v>
      </c>
      <c r="T8" s="139">
        <v>2021</v>
      </c>
      <c r="U8" s="140">
        <v>949895</v>
      </c>
      <c r="V8" s="141" t="s">
        <v>595</v>
      </c>
      <c r="W8" s="139"/>
      <c r="X8" s="139"/>
      <c r="Y8" s="140"/>
    </row>
    <row r="9" spans="1:25" x14ac:dyDescent="0.25">
      <c r="A9" s="142" t="s">
        <v>633</v>
      </c>
      <c r="B9" s="138">
        <f>_xlfn.XLOOKUP(A9,'[2]FRV Output'!$B:$B,'[2]FRV Output'!$F:$F)</f>
        <v>1669991865</v>
      </c>
      <c r="C9" s="139">
        <v>3</v>
      </c>
      <c r="D9" s="139">
        <v>2016</v>
      </c>
      <c r="E9" s="140">
        <v>153270</v>
      </c>
      <c r="F9" s="141" t="s">
        <v>595</v>
      </c>
      <c r="G9" s="139">
        <v>3</v>
      </c>
      <c r="H9" s="139">
        <v>2018</v>
      </c>
      <c r="I9" s="140">
        <v>138865</v>
      </c>
      <c r="J9" s="141" t="s">
        <v>595</v>
      </c>
      <c r="K9" s="139">
        <v>3</v>
      </c>
      <c r="L9" s="139">
        <v>2019</v>
      </c>
      <c r="M9" s="140">
        <v>105032</v>
      </c>
      <c r="N9" s="141" t="s">
        <v>595</v>
      </c>
      <c r="O9" s="139">
        <v>3</v>
      </c>
      <c r="P9" s="139">
        <v>2020</v>
      </c>
      <c r="Q9" s="140">
        <v>192756</v>
      </c>
      <c r="R9" s="141" t="s">
        <v>595</v>
      </c>
      <c r="S9" s="139">
        <v>3</v>
      </c>
      <c r="T9" s="139">
        <v>2021</v>
      </c>
      <c r="U9" s="140">
        <v>91148</v>
      </c>
      <c r="V9" s="141" t="s">
        <v>595</v>
      </c>
      <c r="W9" s="139"/>
      <c r="X9" s="139"/>
      <c r="Y9" s="140"/>
    </row>
    <row r="10" spans="1:25" x14ac:dyDescent="0.25">
      <c r="A10" s="138" t="s">
        <v>179</v>
      </c>
      <c r="B10" s="138">
        <f>_xlfn.XLOOKUP(A10,'[2]FRV Output'!$B:$B,'[2]FRV Output'!$F:$F)</f>
        <v>1871143305</v>
      </c>
      <c r="C10" s="139">
        <v>3</v>
      </c>
      <c r="D10" s="139">
        <v>2020</v>
      </c>
      <c r="E10" s="140">
        <v>176312</v>
      </c>
      <c r="F10" s="141" t="s">
        <v>595</v>
      </c>
      <c r="G10" s="139">
        <v>3</v>
      </c>
      <c r="H10" s="139">
        <v>2021</v>
      </c>
      <c r="I10" s="140">
        <v>405785</v>
      </c>
      <c r="J10" s="141" t="s">
        <v>595</v>
      </c>
      <c r="K10" s="139"/>
      <c r="L10" s="139"/>
      <c r="M10" s="140"/>
      <c r="N10" s="141" t="s">
        <v>595</v>
      </c>
      <c r="O10" s="139"/>
      <c r="P10" s="139"/>
      <c r="Q10" s="140"/>
      <c r="R10" s="141" t="s">
        <v>595</v>
      </c>
      <c r="S10" s="139"/>
      <c r="T10" s="139"/>
      <c r="U10" s="140"/>
      <c r="V10" s="141" t="s">
        <v>595</v>
      </c>
      <c r="W10" s="139"/>
      <c r="X10" s="139"/>
      <c r="Y10" s="140"/>
    </row>
    <row r="11" spans="1:25" x14ac:dyDescent="0.25">
      <c r="A11" s="142" t="s">
        <v>634</v>
      </c>
      <c r="B11" s="138">
        <f>_xlfn.XLOOKUP(A11,'[2]FRV Output'!$B:$B,'[2]FRV Output'!$F:$F)</f>
        <v>1992242119</v>
      </c>
      <c r="C11" s="139">
        <v>3</v>
      </c>
      <c r="D11" s="139">
        <v>2016</v>
      </c>
      <c r="E11" s="140">
        <v>693189</v>
      </c>
      <c r="F11" s="141" t="s">
        <v>595</v>
      </c>
      <c r="G11" s="139">
        <v>3</v>
      </c>
      <c r="H11" s="139">
        <v>2017</v>
      </c>
      <c r="I11" s="140">
        <v>753948</v>
      </c>
      <c r="J11" s="141" t="s">
        <v>595</v>
      </c>
      <c r="K11" s="139">
        <v>3</v>
      </c>
      <c r="L11" s="139">
        <v>2018</v>
      </c>
      <c r="M11" s="140">
        <v>158468</v>
      </c>
      <c r="N11" s="141" t="s">
        <v>595</v>
      </c>
      <c r="O11" s="139">
        <v>3</v>
      </c>
      <c r="P11" s="139">
        <v>2019</v>
      </c>
      <c r="Q11" s="140">
        <v>142226</v>
      </c>
      <c r="R11" s="141" t="s">
        <v>595</v>
      </c>
      <c r="S11" s="139">
        <v>3</v>
      </c>
      <c r="T11" s="139">
        <v>2020</v>
      </c>
      <c r="U11" s="140">
        <v>418967</v>
      </c>
      <c r="V11" s="141" t="s">
        <v>595</v>
      </c>
      <c r="W11" s="139">
        <v>3</v>
      </c>
      <c r="X11" s="139">
        <v>2021</v>
      </c>
      <c r="Y11" s="140">
        <v>1019331</v>
      </c>
    </row>
    <row r="12" spans="1:25" x14ac:dyDescent="0.25">
      <c r="A12" s="142" t="s">
        <v>635</v>
      </c>
      <c r="B12" s="138">
        <f>_xlfn.XLOOKUP(A12,'[2]FRV Output'!$B:$B,'[2]FRV Output'!$F:$F)</f>
        <v>1043703945</v>
      </c>
      <c r="C12" s="139">
        <v>3</v>
      </c>
      <c r="D12" s="139">
        <v>2016</v>
      </c>
      <c r="E12" s="140">
        <v>633652</v>
      </c>
      <c r="F12" s="141" t="s">
        <v>595</v>
      </c>
      <c r="G12" s="139">
        <v>3</v>
      </c>
      <c r="H12" s="139">
        <v>2018</v>
      </c>
      <c r="I12" s="140">
        <v>78972</v>
      </c>
      <c r="J12" s="141" t="s">
        <v>595</v>
      </c>
      <c r="K12" s="139">
        <v>3</v>
      </c>
      <c r="L12" s="139">
        <v>2019</v>
      </c>
      <c r="M12" s="140">
        <v>548406</v>
      </c>
      <c r="N12" s="141" t="s">
        <v>595</v>
      </c>
      <c r="O12" s="139">
        <v>3</v>
      </c>
      <c r="P12" s="139">
        <v>2020</v>
      </c>
      <c r="Q12" s="140">
        <v>584611</v>
      </c>
      <c r="R12" s="141" t="s">
        <v>595</v>
      </c>
      <c r="S12" s="139">
        <v>3</v>
      </c>
      <c r="T12" s="139">
        <v>2021</v>
      </c>
      <c r="U12" s="140">
        <v>566239</v>
      </c>
      <c r="V12" s="141" t="s">
        <v>595</v>
      </c>
      <c r="W12" s="139"/>
      <c r="X12" s="139"/>
      <c r="Y12" s="140"/>
    </row>
    <row r="13" spans="1:25" x14ac:dyDescent="0.25">
      <c r="A13" s="142" t="s">
        <v>182</v>
      </c>
      <c r="B13" s="138">
        <f>_xlfn.XLOOKUP(A13,'[2]FRV Output'!$B:$B,'[2]FRV Output'!$F:$F)</f>
        <v>1831649268</v>
      </c>
      <c r="C13" s="139">
        <v>3</v>
      </c>
      <c r="D13" s="139">
        <v>2017</v>
      </c>
      <c r="E13" s="140">
        <v>361829</v>
      </c>
      <c r="F13" s="141" t="s">
        <v>595</v>
      </c>
      <c r="G13" s="139">
        <v>3</v>
      </c>
      <c r="H13" s="139">
        <v>2018</v>
      </c>
      <c r="I13" s="140">
        <v>172880</v>
      </c>
      <c r="J13" s="141" t="s">
        <v>595</v>
      </c>
      <c r="K13" s="139">
        <v>3</v>
      </c>
      <c r="L13" s="139">
        <v>2019</v>
      </c>
      <c r="M13" s="140">
        <v>89920</v>
      </c>
      <c r="N13" s="141" t="s">
        <v>595</v>
      </c>
      <c r="O13" s="139">
        <v>3</v>
      </c>
      <c r="P13" s="139">
        <v>2020</v>
      </c>
      <c r="Q13" s="140">
        <v>234039</v>
      </c>
      <c r="R13" s="141" t="s">
        <v>595</v>
      </c>
      <c r="S13" s="139">
        <v>3</v>
      </c>
      <c r="T13" s="139">
        <v>2021</v>
      </c>
      <c r="U13" s="140">
        <v>109816</v>
      </c>
      <c r="V13" s="141" t="s">
        <v>595</v>
      </c>
      <c r="W13" s="139"/>
      <c r="X13" s="139"/>
      <c r="Y13" s="140"/>
    </row>
    <row r="14" spans="1:25" x14ac:dyDescent="0.25">
      <c r="A14" s="142" t="s">
        <v>183</v>
      </c>
      <c r="B14" s="138">
        <f>_xlfn.XLOOKUP(A14,'[2]FRV Output'!$B:$B,'[2]FRV Output'!$F:$F)</f>
        <v>1689147035</v>
      </c>
      <c r="C14" s="139">
        <v>3</v>
      </c>
      <c r="D14" s="139">
        <v>2017</v>
      </c>
      <c r="E14" s="140">
        <v>87224.7</v>
      </c>
      <c r="F14" s="141" t="s">
        <v>595</v>
      </c>
      <c r="G14" s="139">
        <v>3</v>
      </c>
      <c r="H14" s="139">
        <v>2019</v>
      </c>
      <c r="I14" s="140">
        <v>140606</v>
      </c>
      <c r="J14" s="141" t="s">
        <v>595</v>
      </c>
      <c r="K14" s="139">
        <v>3</v>
      </c>
      <c r="L14" s="139">
        <v>2020</v>
      </c>
      <c r="M14" s="140">
        <v>381647</v>
      </c>
      <c r="N14" s="141" t="s">
        <v>595</v>
      </c>
      <c r="O14" s="139"/>
      <c r="P14" s="139"/>
      <c r="Q14" s="140"/>
      <c r="R14" s="141" t="s">
        <v>595</v>
      </c>
      <c r="S14" s="139"/>
      <c r="T14" s="139"/>
      <c r="U14" s="140"/>
      <c r="V14" s="141" t="s">
        <v>595</v>
      </c>
      <c r="W14" s="139"/>
      <c r="X14" s="139"/>
      <c r="Y14" s="140"/>
    </row>
    <row r="15" spans="1:25" x14ac:dyDescent="0.25">
      <c r="A15" s="142" t="s">
        <v>184</v>
      </c>
      <c r="B15" s="138">
        <f>_xlfn.XLOOKUP(A15,'[2]FRV Output'!$B:$B,'[2]FRV Output'!$F:$F)</f>
        <v>1295391795</v>
      </c>
      <c r="C15" s="139">
        <v>3</v>
      </c>
      <c r="D15" s="139">
        <v>2019</v>
      </c>
      <c r="E15" s="140">
        <v>187909</v>
      </c>
      <c r="F15" s="141" t="s">
        <v>595</v>
      </c>
      <c r="G15" s="139">
        <v>3</v>
      </c>
      <c r="H15" s="139">
        <v>2020</v>
      </c>
      <c r="I15" s="140">
        <v>252674</v>
      </c>
      <c r="J15" s="141" t="s">
        <v>595</v>
      </c>
      <c r="K15" s="139">
        <v>3</v>
      </c>
      <c r="L15" s="139">
        <v>2021</v>
      </c>
      <c r="M15" s="140">
        <v>1057941</v>
      </c>
      <c r="N15" s="141" t="s">
        <v>595</v>
      </c>
      <c r="O15" s="139"/>
      <c r="P15" s="139"/>
      <c r="Q15" s="140"/>
      <c r="R15" s="141" t="s">
        <v>595</v>
      </c>
      <c r="S15" s="139"/>
      <c r="T15" s="139"/>
      <c r="U15" s="140"/>
      <c r="V15" s="141" t="s">
        <v>595</v>
      </c>
      <c r="W15" s="139"/>
      <c r="X15" s="139"/>
      <c r="Y15" s="140"/>
    </row>
    <row r="16" spans="1:25" x14ac:dyDescent="0.25">
      <c r="A16" s="142" t="s">
        <v>636</v>
      </c>
      <c r="B16" s="138">
        <f>_xlfn.XLOOKUP(A16,'[2]FRV Output'!$B:$B,'[2]FRV Output'!$F:$F)</f>
        <v>1598262198</v>
      </c>
      <c r="C16" s="139">
        <v>3</v>
      </c>
      <c r="D16" s="139">
        <v>2017</v>
      </c>
      <c r="E16" s="140">
        <v>77358.929999999993</v>
      </c>
      <c r="F16" s="141" t="s">
        <v>595</v>
      </c>
      <c r="G16" s="139">
        <v>3</v>
      </c>
      <c r="H16" s="139">
        <v>2018</v>
      </c>
      <c r="I16" s="140">
        <v>101071</v>
      </c>
      <c r="J16" s="141" t="s">
        <v>595</v>
      </c>
      <c r="K16" s="139">
        <v>3</v>
      </c>
      <c r="L16" s="139">
        <v>2019</v>
      </c>
      <c r="M16" s="140">
        <v>352500</v>
      </c>
      <c r="N16" s="141" t="s">
        <v>595</v>
      </c>
      <c r="O16" s="139">
        <v>3</v>
      </c>
      <c r="P16" s="139">
        <v>2020</v>
      </c>
      <c r="Q16" s="140">
        <v>257580</v>
      </c>
      <c r="R16" s="141" t="s">
        <v>595</v>
      </c>
      <c r="S16" s="139">
        <v>3</v>
      </c>
      <c r="T16" s="139">
        <v>2021</v>
      </c>
      <c r="U16" s="140">
        <v>66573</v>
      </c>
      <c r="V16" s="141" t="s">
        <v>595</v>
      </c>
      <c r="W16" s="139"/>
      <c r="X16" s="139"/>
      <c r="Y16" s="140"/>
    </row>
    <row r="17" spans="1:25" x14ac:dyDescent="0.25">
      <c r="A17" s="142" t="s">
        <v>186</v>
      </c>
      <c r="B17" s="138">
        <f>_xlfn.XLOOKUP(A17,'[2]FRV Output'!$B:$B,'[2]FRV Output'!$F:$F)</f>
        <v>1437627593</v>
      </c>
      <c r="C17" s="139">
        <v>3</v>
      </c>
      <c r="D17" s="139">
        <v>2016</v>
      </c>
      <c r="E17" s="140">
        <v>93526</v>
      </c>
      <c r="F17" s="141" t="s">
        <v>595</v>
      </c>
      <c r="G17" s="139">
        <v>3</v>
      </c>
      <c r="H17" s="139">
        <v>2019</v>
      </c>
      <c r="I17" s="140">
        <v>154581</v>
      </c>
      <c r="J17" s="141" t="s">
        <v>595</v>
      </c>
      <c r="K17" s="139">
        <v>3</v>
      </c>
      <c r="L17" s="139">
        <v>2020</v>
      </c>
      <c r="M17" s="140">
        <v>461468</v>
      </c>
      <c r="N17" s="141" t="s">
        <v>595</v>
      </c>
      <c r="O17" s="139">
        <v>3</v>
      </c>
      <c r="P17" s="139">
        <v>2021</v>
      </c>
      <c r="Q17" s="140">
        <v>161121</v>
      </c>
      <c r="R17" s="141" t="s">
        <v>595</v>
      </c>
      <c r="S17" s="139"/>
      <c r="T17" s="139"/>
      <c r="U17" s="140"/>
      <c r="V17" s="141" t="s">
        <v>595</v>
      </c>
      <c r="W17" s="139"/>
      <c r="X17" s="139"/>
      <c r="Y17" s="140"/>
    </row>
    <row r="18" spans="1:25" x14ac:dyDescent="0.25">
      <c r="A18" s="142" t="s">
        <v>187</v>
      </c>
      <c r="B18" s="138">
        <f>_xlfn.XLOOKUP(A18,'[2]FRV Output'!$B:$B,'[2]FRV Output'!$F:$F)</f>
        <v>1598233645</v>
      </c>
      <c r="C18" s="139">
        <v>3</v>
      </c>
      <c r="D18" s="139">
        <v>2016</v>
      </c>
      <c r="E18" s="140">
        <v>75833</v>
      </c>
      <c r="F18" s="141" t="s">
        <v>595</v>
      </c>
      <c r="G18" s="139">
        <v>3</v>
      </c>
      <c r="H18" s="139">
        <v>2017</v>
      </c>
      <c r="I18" s="140">
        <v>41699.5</v>
      </c>
      <c r="J18" s="141" t="s">
        <v>595</v>
      </c>
      <c r="K18" s="139">
        <v>3</v>
      </c>
      <c r="L18" s="139">
        <v>2019</v>
      </c>
      <c r="M18" s="140">
        <v>141317</v>
      </c>
      <c r="N18" s="141" t="s">
        <v>595</v>
      </c>
      <c r="O18" s="139">
        <v>3</v>
      </c>
      <c r="P18" s="139">
        <v>2020</v>
      </c>
      <c r="Q18" s="140">
        <v>429326</v>
      </c>
      <c r="R18" s="141" t="s">
        <v>595</v>
      </c>
      <c r="S18" s="139">
        <v>3</v>
      </c>
      <c r="T18" s="139">
        <v>2021</v>
      </c>
      <c r="U18" s="140">
        <v>73943</v>
      </c>
      <c r="V18" s="141" t="s">
        <v>595</v>
      </c>
      <c r="W18" s="139"/>
      <c r="X18" s="139"/>
      <c r="Y18" s="140"/>
    </row>
    <row r="19" spans="1:25" x14ac:dyDescent="0.25">
      <c r="A19" s="142" t="s">
        <v>188</v>
      </c>
      <c r="B19" s="138">
        <f>_xlfn.XLOOKUP(A19,'[2]FRV Output'!$B:$B,'[2]FRV Output'!$F:$F)</f>
        <v>1659849701</v>
      </c>
      <c r="C19" s="139">
        <v>3</v>
      </c>
      <c r="D19" s="139">
        <v>2016</v>
      </c>
      <c r="E19" s="140">
        <v>71266</v>
      </c>
      <c r="F19" s="141" t="s">
        <v>595</v>
      </c>
      <c r="G19" s="139">
        <v>3</v>
      </c>
      <c r="H19" s="139">
        <v>2017</v>
      </c>
      <c r="I19" s="140">
        <v>104838.39</v>
      </c>
      <c r="J19" s="141" t="s">
        <v>595</v>
      </c>
      <c r="K19" s="139">
        <v>3</v>
      </c>
      <c r="L19" s="139">
        <v>2019</v>
      </c>
      <c r="M19" s="140">
        <v>162370</v>
      </c>
      <c r="N19" s="141" t="s">
        <v>595</v>
      </c>
      <c r="O19" s="139">
        <v>3</v>
      </c>
      <c r="P19" s="139">
        <v>2020</v>
      </c>
      <c r="Q19" s="140">
        <v>466161</v>
      </c>
      <c r="R19" s="141" t="s">
        <v>595</v>
      </c>
      <c r="S19" s="139">
        <v>3</v>
      </c>
      <c r="T19" s="139">
        <v>2021</v>
      </c>
      <c r="U19" s="140">
        <v>543486</v>
      </c>
      <c r="V19" s="141" t="s">
        <v>595</v>
      </c>
      <c r="W19" s="139"/>
      <c r="X19" s="139"/>
      <c r="Y19" s="140"/>
    </row>
    <row r="20" spans="1:25" x14ac:dyDescent="0.25">
      <c r="A20" s="142" t="s">
        <v>189</v>
      </c>
      <c r="B20" s="138">
        <f>_xlfn.XLOOKUP(A20,'[2]FRV Output'!$B:$B,'[2]FRV Output'!$F:$F)</f>
        <v>1770149270</v>
      </c>
      <c r="C20" s="139">
        <v>3</v>
      </c>
      <c r="D20" s="139">
        <v>2019</v>
      </c>
      <c r="E20" s="140">
        <v>134210</v>
      </c>
      <c r="F20" s="141" t="s">
        <v>595</v>
      </c>
      <c r="G20" s="139">
        <v>3</v>
      </c>
      <c r="H20" s="139">
        <v>2020</v>
      </c>
      <c r="I20" s="140">
        <v>126779</v>
      </c>
      <c r="J20" s="141" t="s">
        <v>595</v>
      </c>
      <c r="K20" s="139">
        <v>3</v>
      </c>
      <c r="L20" s="139">
        <v>2021</v>
      </c>
      <c r="M20" s="140">
        <v>455216</v>
      </c>
      <c r="N20" s="141" t="s">
        <v>595</v>
      </c>
      <c r="O20" s="139"/>
      <c r="P20" s="139"/>
      <c r="Q20" s="140"/>
      <c r="R20" s="141" t="s">
        <v>595</v>
      </c>
      <c r="S20" s="139"/>
      <c r="T20" s="139"/>
      <c r="U20" s="140"/>
      <c r="V20" s="141" t="s">
        <v>595</v>
      </c>
      <c r="W20" s="139"/>
      <c r="X20" s="139"/>
      <c r="Y20" s="140"/>
    </row>
    <row r="21" spans="1:25" x14ac:dyDescent="0.25">
      <c r="A21" s="142" t="s">
        <v>190</v>
      </c>
      <c r="B21" s="138">
        <f>_xlfn.XLOOKUP(A21,'[2]FRV Output'!$B:$B,'[2]FRV Output'!$F:$F)</f>
        <v>1699310839</v>
      </c>
      <c r="C21" s="139">
        <v>3</v>
      </c>
      <c r="D21" s="139">
        <v>2016</v>
      </c>
      <c r="E21" s="140">
        <v>50007</v>
      </c>
      <c r="F21" s="141" t="s">
        <v>595</v>
      </c>
      <c r="G21" s="139">
        <v>3</v>
      </c>
      <c r="H21" s="139">
        <v>2017</v>
      </c>
      <c r="I21" s="140">
        <v>95997</v>
      </c>
      <c r="J21" s="141" t="s">
        <v>595</v>
      </c>
      <c r="K21" s="139">
        <v>3</v>
      </c>
      <c r="L21" s="139">
        <v>2018</v>
      </c>
      <c r="M21" s="140">
        <v>51312</v>
      </c>
      <c r="N21" s="141" t="s">
        <v>595</v>
      </c>
      <c r="O21" s="139">
        <v>3</v>
      </c>
      <c r="P21" s="139">
        <v>2019</v>
      </c>
      <c r="Q21" s="140">
        <v>43134</v>
      </c>
      <c r="R21" s="141" t="s">
        <v>595</v>
      </c>
      <c r="S21" s="139">
        <v>3</v>
      </c>
      <c r="T21" s="139">
        <v>2020</v>
      </c>
      <c r="U21" s="140">
        <v>108761</v>
      </c>
      <c r="V21" s="141" t="s">
        <v>595</v>
      </c>
      <c r="W21" s="139"/>
      <c r="X21" s="139"/>
      <c r="Y21" s="140"/>
    </row>
    <row r="22" spans="1:25" x14ac:dyDescent="0.25">
      <c r="A22" s="142" t="s">
        <v>637</v>
      </c>
      <c r="B22" s="138">
        <f>_xlfn.XLOOKUP(A22,'[2]FRV Output'!$B:$B,'[2]FRV Output'!$F:$F)</f>
        <v>1932606530</v>
      </c>
      <c r="C22" s="139">
        <v>3</v>
      </c>
      <c r="D22" s="139">
        <v>2016</v>
      </c>
      <c r="E22" s="140">
        <v>153165</v>
      </c>
      <c r="F22" s="141" t="s">
        <v>595</v>
      </c>
      <c r="G22" s="139">
        <v>3</v>
      </c>
      <c r="H22" s="139">
        <v>2017</v>
      </c>
      <c r="I22" s="140">
        <v>120286.43</v>
      </c>
      <c r="J22" s="141" t="s">
        <v>595</v>
      </c>
      <c r="K22" s="139">
        <v>3</v>
      </c>
      <c r="L22" s="139">
        <v>2018</v>
      </c>
      <c r="M22" s="140">
        <v>132573</v>
      </c>
      <c r="N22" s="141" t="s">
        <v>595</v>
      </c>
      <c r="O22" s="139">
        <v>3</v>
      </c>
      <c r="P22" s="139">
        <v>2019</v>
      </c>
      <c r="Q22" s="140">
        <v>611219</v>
      </c>
      <c r="R22" s="141" t="s">
        <v>595</v>
      </c>
      <c r="S22" s="139">
        <v>3</v>
      </c>
      <c r="T22" s="139">
        <v>2020</v>
      </c>
      <c r="U22" s="140">
        <v>501168</v>
      </c>
      <c r="V22" s="141" t="s">
        <v>595</v>
      </c>
      <c r="W22" s="139">
        <v>3</v>
      </c>
      <c r="X22" s="139">
        <v>2021</v>
      </c>
      <c r="Y22" s="140">
        <v>64676</v>
      </c>
    </row>
    <row r="23" spans="1:25" x14ac:dyDescent="0.25">
      <c r="A23" s="142" t="s">
        <v>638</v>
      </c>
      <c r="B23" s="138">
        <f>_xlfn.XLOOKUP(A23,'[2]FRV Output'!$B:$B,'[2]FRV Output'!$F:$F)</f>
        <v>1528505757</v>
      </c>
      <c r="C23" s="143">
        <v>3</v>
      </c>
      <c r="D23" s="143">
        <v>2018</v>
      </c>
      <c r="E23" s="144">
        <v>81507</v>
      </c>
      <c r="F23" s="145" t="s">
        <v>595</v>
      </c>
      <c r="G23" s="143">
        <v>3</v>
      </c>
      <c r="H23" s="143">
        <v>2019</v>
      </c>
      <c r="I23" s="144">
        <v>55410</v>
      </c>
      <c r="J23" s="141" t="s">
        <v>595</v>
      </c>
      <c r="K23" s="143">
        <v>3</v>
      </c>
      <c r="L23" s="143">
        <v>2020</v>
      </c>
      <c r="M23" s="144">
        <v>63984</v>
      </c>
      <c r="N23" s="141" t="s">
        <v>595</v>
      </c>
      <c r="O23" s="143">
        <v>3</v>
      </c>
      <c r="P23" s="143">
        <v>2021</v>
      </c>
      <c r="Q23" s="144">
        <v>37479</v>
      </c>
      <c r="R23" s="141" t="s">
        <v>595</v>
      </c>
      <c r="S23" s="146"/>
      <c r="T23" s="146"/>
      <c r="U23" s="147"/>
      <c r="V23" s="141" t="s">
        <v>595</v>
      </c>
      <c r="W23" s="146"/>
      <c r="X23" s="146"/>
      <c r="Y23" s="147"/>
    </row>
    <row r="24" spans="1:25" x14ac:dyDescent="0.25">
      <c r="A24" s="142" t="s">
        <v>193</v>
      </c>
      <c r="B24" s="138">
        <f>_xlfn.XLOOKUP(A24,'[2]FRV Output'!$B:$B,'[2]FRV Output'!$F:$F)</f>
        <v>1972071033</v>
      </c>
      <c r="C24" s="139">
        <v>3</v>
      </c>
      <c r="D24" s="139">
        <v>2016</v>
      </c>
      <c r="E24" s="140">
        <v>88007</v>
      </c>
      <c r="F24" s="141" t="s">
        <v>595</v>
      </c>
      <c r="G24" s="139">
        <v>3</v>
      </c>
      <c r="H24" s="139">
        <v>2019</v>
      </c>
      <c r="I24" s="140">
        <v>136181</v>
      </c>
      <c r="J24" s="141" t="s">
        <v>595</v>
      </c>
      <c r="K24" s="139">
        <v>3</v>
      </c>
      <c r="L24" s="139">
        <v>2020</v>
      </c>
      <c r="M24" s="140">
        <v>458634</v>
      </c>
      <c r="N24" s="141" t="s">
        <v>595</v>
      </c>
      <c r="O24" s="139">
        <v>3</v>
      </c>
      <c r="P24" s="139">
        <v>2021</v>
      </c>
      <c r="Q24" s="140">
        <v>645975</v>
      </c>
      <c r="R24" s="141" t="s">
        <v>595</v>
      </c>
      <c r="S24" s="139"/>
      <c r="T24" s="139"/>
      <c r="U24" s="140"/>
      <c r="V24" s="141" t="s">
        <v>595</v>
      </c>
      <c r="W24" s="139"/>
      <c r="X24" s="139"/>
      <c r="Y24" s="140"/>
    </row>
    <row r="25" spans="1:25" x14ac:dyDescent="0.25">
      <c r="A25" s="138" t="s">
        <v>194</v>
      </c>
      <c r="B25" s="138">
        <f>_xlfn.XLOOKUP(A25,'[2]FRV Output'!$B:$B,'[2]FRV Output'!$F:$F)</f>
        <v>1841840378</v>
      </c>
      <c r="C25" s="139">
        <v>3</v>
      </c>
      <c r="D25" s="139">
        <v>2020</v>
      </c>
      <c r="E25" s="140">
        <v>133403</v>
      </c>
      <c r="F25" s="141" t="s">
        <v>595</v>
      </c>
      <c r="G25" s="139">
        <v>3</v>
      </c>
      <c r="H25" s="139">
        <v>2021</v>
      </c>
      <c r="I25" s="140">
        <v>745472</v>
      </c>
      <c r="J25" s="141" t="s">
        <v>595</v>
      </c>
      <c r="K25" s="139"/>
      <c r="L25" s="139"/>
      <c r="M25" s="140"/>
      <c r="N25" s="141" t="s">
        <v>595</v>
      </c>
      <c r="O25" s="139"/>
      <c r="P25" s="139"/>
      <c r="Q25" s="140"/>
      <c r="R25" s="141" t="s">
        <v>595</v>
      </c>
      <c r="S25" s="139"/>
      <c r="T25" s="139"/>
      <c r="U25" s="140"/>
      <c r="V25" s="141" t="s">
        <v>595</v>
      </c>
      <c r="W25" s="139"/>
      <c r="X25" s="139"/>
      <c r="Y25" s="140"/>
    </row>
    <row r="26" spans="1:25" x14ac:dyDescent="0.25">
      <c r="A26" s="142" t="s">
        <v>639</v>
      </c>
      <c r="B26" s="138">
        <f>_xlfn.XLOOKUP(A26,'[2]FRV Output'!$B:$B,'[2]FRV Output'!$F:$F)</f>
        <v>1245737840</v>
      </c>
      <c r="C26" s="139">
        <v>3</v>
      </c>
      <c r="D26" s="139">
        <v>2016</v>
      </c>
      <c r="E26" s="140">
        <v>89128</v>
      </c>
      <c r="F26" s="141" t="s">
        <v>595</v>
      </c>
      <c r="G26" s="139">
        <v>3</v>
      </c>
      <c r="H26" s="139">
        <v>2017</v>
      </c>
      <c r="I26" s="140">
        <v>85457.51</v>
      </c>
      <c r="J26" s="141" t="s">
        <v>595</v>
      </c>
      <c r="K26" s="139">
        <v>3</v>
      </c>
      <c r="L26" s="139">
        <v>2018</v>
      </c>
      <c r="M26" s="140">
        <v>136125</v>
      </c>
      <c r="N26" s="141" t="s">
        <v>595</v>
      </c>
      <c r="O26" s="139">
        <v>3</v>
      </c>
      <c r="P26" s="139">
        <v>2019</v>
      </c>
      <c r="Q26" s="140">
        <v>809057</v>
      </c>
      <c r="R26" s="141" t="s">
        <v>595</v>
      </c>
      <c r="S26" s="139">
        <v>3</v>
      </c>
      <c r="T26" s="139">
        <v>2020</v>
      </c>
      <c r="U26" s="140">
        <v>399690</v>
      </c>
      <c r="V26" s="141" t="s">
        <v>595</v>
      </c>
      <c r="W26" s="139">
        <v>3</v>
      </c>
      <c r="X26" s="139">
        <v>2021</v>
      </c>
      <c r="Y26" s="140">
        <v>3026487</v>
      </c>
    </row>
    <row r="27" spans="1:25" x14ac:dyDescent="0.25">
      <c r="A27" s="138" t="s">
        <v>196</v>
      </c>
      <c r="B27" s="138">
        <f>_xlfn.XLOOKUP(A27,'[2]FRV Output'!$B:$B,'[2]FRV Output'!$F:$F)</f>
        <v>1760032296</v>
      </c>
      <c r="C27" s="139">
        <v>3</v>
      </c>
      <c r="D27" s="139">
        <v>2020</v>
      </c>
      <c r="E27" s="140">
        <v>145462</v>
      </c>
      <c r="F27" s="141" t="s">
        <v>595</v>
      </c>
      <c r="G27" s="139">
        <v>3</v>
      </c>
      <c r="H27" s="139">
        <v>2021</v>
      </c>
      <c r="I27" s="140">
        <v>73207</v>
      </c>
      <c r="J27" s="141" t="s">
        <v>595</v>
      </c>
      <c r="K27" s="139"/>
      <c r="L27" s="139"/>
      <c r="M27" s="140"/>
      <c r="N27" s="141" t="s">
        <v>595</v>
      </c>
      <c r="O27" s="139"/>
      <c r="P27" s="139"/>
      <c r="Q27" s="140"/>
      <c r="R27" s="141" t="s">
        <v>595</v>
      </c>
      <c r="S27" s="139"/>
      <c r="T27" s="139"/>
      <c r="U27" s="140"/>
      <c r="V27" s="141" t="s">
        <v>595</v>
      </c>
      <c r="W27" s="139"/>
      <c r="X27" s="139"/>
      <c r="Y27" s="140"/>
    </row>
    <row r="28" spans="1:25" x14ac:dyDescent="0.25">
      <c r="A28" s="142" t="s">
        <v>640</v>
      </c>
      <c r="B28" s="138">
        <f>_xlfn.XLOOKUP(A28,'[2]FRV Output'!$B:$B,'[2]FRV Output'!$F:$F)</f>
        <v>1205357878</v>
      </c>
      <c r="C28" s="139">
        <v>3</v>
      </c>
      <c r="D28" s="139">
        <v>2016</v>
      </c>
      <c r="E28" s="140">
        <v>62373</v>
      </c>
      <c r="F28" s="141" t="s">
        <v>595</v>
      </c>
      <c r="G28" s="139">
        <v>3</v>
      </c>
      <c r="H28" s="139">
        <v>2017</v>
      </c>
      <c r="I28" s="140">
        <v>47940.05</v>
      </c>
      <c r="J28" s="141" t="s">
        <v>595</v>
      </c>
      <c r="K28" s="139">
        <v>3</v>
      </c>
      <c r="L28" s="139">
        <v>2018</v>
      </c>
      <c r="M28" s="140">
        <v>57359</v>
      </c>
      <c r="N28" s="141" t="s">
        <v>595</v>
      </c>
      <c r="O28" s="139">
        <v>3</v>
      </c>
      <c r="P28" s="139">
        <v>2019</v>
      </c>
      <c r="Q28" s="140">
        <v>374060</v>
      </c>
      <c r="R28" s="141" t="s">
        <v>595</v>
      </c>
      <c r="S28" s="139">
        <v>3</v>
      </c>
      <c r="T28" s="139">
        <v>2020</v>
      </c>
      <c r="U28" s="140">
        <v>405365</v>
      </c>
      <c r="V28" s="141" t="s">
        <v>595</v>
      </c>
      <c r="W28" s="139">
        <v>3</v>
      </c>
      <c r="X28" s="139">
        <v>2021</v>
      </c>
      <c r="Y28" s="140">
        <v>754596</v>
      </c>
    </row>
    <row r="29" spans="1:25" x14ac:dyDescent="0.25">
      <c r="A29" s="138" t="s">
        <v>641</v>
      </c>
      <c r="B29" s="138">
        <f>_xlfn.XLOOKUP(A29,'[2]FRV Output'!$B:$B,'[2]FRV Output'!$F:$F)</f>
        <v>1578059085</v>
      </c>
      <c r="C29" s="139">
        <v>3</v>
      </c>
      <c r="D29" s="139">
        <v>2018</v>
      </c>
      <c r="E29" s="140">
        <v>70312</v>
      </c>
      <c r="F29" s="141" t="s">
        <v>595</v>
      </c>
      <c r="G29" s="139">
        <v>3</v>
      </c>
      <c r="H29" s="139">
        <v>2019</v>
      </c>
      <c r="I29" s="140">
        <v>148548</v>
      </c>
      <c r="J29" s="141" t="s">
        <v>595</v>
      </c>
      <c r="K29" s="139">
        <v>3</v>
      </c>
      <c r="L29" s="139">
        <v>2020</v>
      </c>
      <c r="M29" s="140">
        <v>157863</v>
      </c>
      <c r="N29" s="141" t="s">
        <v>595</v>
      </c>
      <c r="O29" s="139">
        <v>3</v>
      </c>
      <c r="P29" s="139">
        <v>2021</v>
      </c>
      <c r="Q29" s="140">
        <v>49706</v>
      </c>
      <c r="R29" s="141" t="s">
        <v>595</v>
      </c>
      <c r="S29" s="139"/>
      <c r="T29" s="139"/>
      <c r="U29" s="140"/>
      <c r="V29" s="141" t="s">
        <v>595</v>
      </c>
      <c r="W29" s="139"/>
      <c r="X29" s="139"/>
      <c r="Y29" s="140"/>
    </row>
    <row r="30" spans="1:25" x14ac:dyDescent="0.25">
      <c r="A30" s="142" t="s">
        <v>642</v>
      </c>
      <c r="B30" s="138">
        <f>_xlfn.XLOOKUP(A30,'[2]FRV Output'!$B:$B,'[2]FRV Output'!$F:$F)</f>
        <v>1366552739</v>
      </c>
      <c r="C30" s="139">
        <v>3</v>
      </c>
      <c r="D30" s="139">
        <v>2021</v>
      </c>
      <c r="E30" s="140">
        <v>77785</v>
      </c>
      <c r="F30" s="141" t="s">
        <v>595</v>
      </c>
      <c r="G30" s="139"/>
      <c r="H30" s="139"/>
      <c r="I30" s="140"/>
      <c r="J30" s="141" t="s">
        <v>595</v>
      </c>
      <c r="K30" s="139"/>
      <c r="L30" s="139"/>
      <c r="M30" s="140"/>
      <c r="N30" s="141" t="s">
        <v>595</v>
      </c>
      <c r="O30" s="139"/>
      <c r="P30" s="139"/>
      <c r="Q30" s="140"/>
      <c r="R30" s="141" t="s">
        <v>595</v>
      </c>
      <c r="S30" s="139"/>
      <c r="T30" s="139"/>
      <c r="U30" s="140"/>
      <c r="V30" s="141" t="s">
        <v>595</v>
      </c>
      <c r="W30" s="139"/>
      <c r="X30" s="139"/>
      <c r="Y30" s="140"/>
    </row>
    <row r="31" spans="1:25" x14ac:dyDescent="0.25">
      <c r="A31" s="142" t="s">
        <v>200</v>
      </c>
      <c r="B31" s="138">
        <f>_xlfn.XLOOKUP(A31,'[2]FRV Output'!$B:$B,'[2]FRV Output'!$F:$F)</f>
        <v>1114501442</v>
      </c>
      <c r="C31" s="139">
        <v>3</v>
      </c>
      <c r="D31" s="139">
        <v>2017</v>
      </c>
      <c r="E31" s="140">
        <v>712842</v>
      </c>
      <c r="F31" s="141" t="s">
        <v>595</v>
      </c>
      <c r="G31" s="139">
        <v>3</v>
      </c>
      <c r="H31" s="139">
        <v>2018</v>
      </c>
      <c r="I31" s="140">
        <v>104599</v>
      </c>
      <c r="J31" s="141" t="s">
        <v>595</v>
      </c>
      <c r="K31" s="139">
        <v>3</v>
      </c>
      <c r="L31" s="139">
        <v>2019</v>
      </c>
      <c r="M31" s="140">
        <v>188123</v>
      </c>
      <c r="N31" s="141" t="s">
        <v>595</v>
      </c>
      <c r="O31" s="139">
        <v>3</v>
      </c>
      <c r="P31" s="139">
        <v>2020</v>
      </c>
      <c r="Q31" s="140">
        <v>127397</v>
      </c>
      <c r="R31" s="141" t="s">
        <v>595</v>
      </c>
      <c r="S31" s="139"/>
      <c r="T31" s="139"/>
      <c r="U31" s="140"/>
      <c r="V31" s="141" t="s">
        <v>595</v>
      </c>
      <c r="W31" s="139"/>
      <c r="X31" s="139"/>
      <c r="Y31" s="140"/>
    </row>
    <row r="32" spans="1:25" x14ac:dyDescent="0.25">
      <c r="A32" s="138" t="s">
        <v>201</v>
      </c>
      <c r="B32" s="138">
        <f>_xlfn.XLOOKUP(A32,'[2]FRV Output'!$B:$B,'[2]FRV Output'!$F:$F)</f>
        <v>1245337880</v>
      </c>
      <c r="C32" s="139">
        <v>3</v>
      </c>
      <c r="D32" s="139">
        <v>2016</v>
      </c>
      <c r="E32" s="140">
        <v>35414</v>
      </c>
      <c r="F32" s="141" t="s">
        <v>595</v>
      </c>
      <c r="G32" s="139">
        <v>3</v>
      </c>
      <c r="H32" s="139">
        <v>2017</v>
      </c>
      <c r="I32" s="140">
        <v>37342</v>
      </c>
      <c r="J32" s="141" t="s">
        <v>595</v>
      </c>
      <c r="K32" s="139">
        <v>3</v>
      </c>
      <c r="L32" s="139">
        <v>2018</v>
      </c>
      <c r="M32" s="140">
        <v>95628</v>
      </c>
      <c r="N32" s="141" t="s">
        <v>595</v>
      </c>
      <c r="O32" s="139"/>
      <c r="P32" s="139"/>
      <c r="Q32" s="140"/>
      <c r="R32" s="141" t="s">
        <v>595</v>
      </c>
      <c r="S32" s="139"/>
      <c r="T32" s="139"/>
      <c r="U32" s="140"/>
      <c r="V32" s="141" t="s">
        <v>595</v>
      </c>
      <c r="W32" s="139"/>
      <c r="X32" s="139"/>
      <c r="Y32" s="140"/>
    </row>
    <row r="33" spans="1:25" x14ac:dyDescent="0.25">
      <c r="A33" s="138" t="s">
        <v>643</v>
      </c>
      <c r="B33" s="138">
        <f>_xlfn.XLOOKUP(A33,'[2]FRV Output'!$B:$B,'[2]FRV Output'!$F:$F)</f>
        <v>1639122328</v>
      </c>
      <c r="C33" s="139">
        <v>3</v>
      </c>
      <c r="D33" s="139">
        <v>2017</v>
      </c>
      <c r="E33" s="140">
        <v>131963</v>
      </c>
      <c r="F33" s="141" t="s">
        <v>595</v>
      </c>
      <c r="G33" s="139">
        <v>3</v>
      </c>
      <c r="H33" s="139">
        <v>2020</v>
      </c>
      <c r="I33" s="140">
        <v>192586</v>
      </c>
      <c r="J33" s="141" t="s">
        <v>595</v>
      </c>
      <c r="K33" s="139">
        <v>3</v>
      </c>
      <c r="L33" s="139">
        <v>2021</v>
      </c>
      <c r="M33" s="140">
        <v>97432</v>
      </c>
      <c r="N33" s="141" t="s">
        <v>595</v>
      </c>
      <c r="O33" s="139"/>
      <c r="P33" s="139"/>
      <c r="Q33" s="140"/>
      <c r="R33" s="141" t="s">
        <v>595</v>
      </c>
      <c r="S33" s="139"/>
      <c r="T33" s="139"/>
      <c r="U33" s="140"/>
      <c r="V33" s="141" t="s">
        <v>595</v>
      </c>
      <c r="W33" s="139"/>
      <c r="X33" s="139"/>
      <c r="Y33" s="140"/>
    </row>
    <row r="34" spans="1:25" x14ac:dyDescent="0.25">
      <c r="A34" s="138" t="s">
        <v>203</v>
      </c>
      <c r="B34" s="138">
        <f>_xlfn.XLOOKUP(A34,'[2]FRV Output'!$B:$B,'[2]FRV Output'!$F:$F)</f>
        <v>1023671765</v>
      </c>
      <c r="C34" s="139">
        <v>3</v>
      </c>
      <c r="D34" s="139">
        <v>2021</v>
      </c>
      <c r="E34" s="140">
        <v>476954</v>
      </c>
      <c r="F34" s="141" t="s">
        <v>595</v>
      </c>
      <c r="G34" s="139"/>
      <c r="H34" s="139"/>
      <c r="I34" s="140"/>
      <c r="J34" s="141" t="s">
        <v>595</v>
      </c>
      <c r="K34" s="139"/>
      <c r="L34" s="139"/>
      <c r="M34" s="140"/>
      <c r="N34" s="141" t="s">
        <v>595</v>
      </c>
      <c r="O34" s="139"/>
      <c r="P34" s="139"/>
      <c r="Q34" s="140"/>
      <c r="R34" s="141" t="s">
        <v>595</v>
      </c>
      <c r="S34" s="139"/>
      <c r="T34" s="139"/>
      <c r="U34" s="140"/>
      <c r="V34" s="141" t="s">
        <v>595</v>
      </c>
      <c r="W34" s="139"/>
      <c r="X34" s="139"/>
      <c r="Y34" s="140"/>
    </row>
    <row r="35" spans="1:25" x14ac:dyDescent="0.25">
      <c r="A35" s="142" t="s">
        <v>204</v>
      </c>
      <c r="B35" s="138">
        <f>_xlfn.XLOOKUP(A35,'[2]FRV Output'!$B:$B,'[2]FRV Output'!$F:$F)</f>
        <v>1962509505</v>
      </c>
      <c r="C35" s="139">
        <v>3</v>
      </c>
      <c r="D35" s="139">
        <v>2017</v>
      </c>
      <c r="E35" s="140">
        <v>110234</v>
      </c>
      <c r="F35" s="141" t="s">
        <v>595</v>
      </c>
      <c r="G35" s="139">
        <v>3</v>
      </c>
      <c r="H35" s="139">
        <v>2019</v>
      </c>
      <c r="I35" s="140">
        <v>52500</v>
      </c>
      <c r="J35" s="141" t="s">
        <v>595</v>
      </c>
      <c r="K35" s="139"/>
      <c r="L35" s="139"/>
      <c r="M35" s="140"/>
      <c r="N35" s="141" t="s">
        <v>595</v>
      </c>
      <c r="O35" s="139"/>
      <c r="P35" s="139"/>
      <c r="Q35" s="140"/>
      <c r="R35" s="141" t="s">
        <v>595</v>
      </c>
      <c r="S35" s="139"/>
      <c r="T35" s="139"/>
      <c r="U35" s="140"/>
      <c r="V35" s="141" t="s">
        <v>595</v>
      </c>
      <c r="W35" s="139"/>
      <c r="X35" s="139"/>
      <c r="Y35" s="140"/>
    </row>
    <row r="36" spans="1:25" x14ac:dyDescent="0.25">
      <c r="A36" s="142" t="s">
        <v>644</v>
      </c>
      <c r="B36" s="138">
        <f>_xlfn.XLOOKUP(A36,'[2]FRV Output'!$B:$B,'[2]FRV Output'!$F:$F)</f>
        <v>1487060893</v>
      </c>
      <c r="C36" s="139">
        <v>3</v>
      </c>
      <c r="D36" s="139">
        <v>2016</v>
      </c>
      <c r="E36" s="140">
        <v>569351</v>
      </c>
      <c r="F36" s="141" t="s">
        <v>595</v>
      </c>
      <c r="G36" s="139">
        <v>3</v>
      </c>
      <c r="H36" s="139">
        <v>2017</v>
      </c>
      <c r="I36" s="140">
        <v>110453</v>
      </c>
      <c r="J36" s="141" t="s">
        <v>595</v>
      </c>
      <c r="K36" s="139">
        <v>3</v>
      </c>
      <c r="L36" s="139">
        <v>2019</v>
      </c>
      <c r="M36" s="140">
        <v>75148</v>
      </c>
      <c r="N36" s="141" t="s">
        <v>595</v>
      </c>
      <c r="O36" s="139">
        <v>3</v>
      </c>
      <c r="P36" s="139">
        <v>2021</v>
      </c>
      <c r="Q36" s="140">
        <v>47500</v>
      </c>
      <c r="R36" s="141" t="s">
        <v>595</v>
      </c>
      <c r="S36" s="139"/>
      <c r="T36" s="139"/>
      <c r="U36" s="140"/>
      <c r="V36" s="141" t="s">
        <v>595</v>
      </c>
      <c r="W36" s="139"/>
      <c r="X36" s="139"/>
      <c r="Y36" s="140"/>
    </row>
    <row r="37" spans="1:25" x14ac:dyDescent="0.25">
      <c r="A37" s="142" t="s">
        <v>645</v>
      </c>
      <c r="B37" s="138">
        <f>_xlfn.XLOOKUP(A37,'[2]FRV Output'!$B:$B,'[2]FRV Output'!$F:$F)</f>
        <v>1992998504</v>
      </c>
      <c r="C37" s="139"/>
      <c r="D37" s="139"/>
      <c r="E37" s="140"/>
      <c r="F37" s="148" t="s">
        <v>595</v>
      </c>
      <c r="G37" s="139"/>
      <c r="H37" s="139"/>
      <c r="I37" s="140"/>
      <c r="J37" s="148" t="s">
        <v>595</v>
      </c>
      <c r="K37" s="139"/>
      <c r="L37" s="139"/>
      <c r="M37" s="140"/>
      <c r="N37" s="148" t="s">
        <v>595</v>
      </c>
      <c r="O37" s="139"/>
      <c r="P37" s="139"/>
      <c r="Q37" s="140"/>
      <c r="R37" s="148" t="s">
        <v>595</v>
      </c>
      <c r="S37" s="139"/>
      <c r="T37" s="139"/>
      <c r="U37" s="140"/>
      <c r="V37" s="141" t="s">
        <v>595</v>
      </c>
      <c r="W37" s="139"/>
      <c r="X37" s="139"/>
      <c r="Y37" s="140"/>
    </row>
    <row r="38" spans="1:25" x14ac:dyDescent="0.25">
      <c r="A38" s="142" t="s">
        <v>646</v>
      </c>
      <c r="B38" s="138">
        <f>_xlfn.XLOOKUP(A38,'[2]FRV Output'!$B:$B,'[2]FRV Output'!$F:$F)</f>
        <v>1982130811</v>
      </c>
      <c r="C38" s="139"/>
      <c r="D38" s="139"/>
      <c r="E38" s="140"/>
      <c r="F38" s="141" t="s">
        <v>595</v>
      </c>
      <c r="G38" s="139"/>
      <c r="H38" s="139"/>
      <c r="I38" s="140"/>
      <c r="J38" s="141" t="s">
        <v>595</v>
      </c>
      <c r="K38" s="139"/>
      <c r="L38" s="139"/>
      <c r="M38" s="140"/>
      <c r="N38" s="141" t="s">
        <v>595</v>
      </c>
      <c r="O38" s="139"/>
      <c r="P38" s="139"/>
      <c r="Q38" s="140"/>
      <c r="R38" s="141" t="s">
        <v>595</v>
      </c>
      <c r="S38" s="139"/>
      <c r="T38" s="139"/>
      <c r="U38" s="140"/>
      <c r="V38" s="141" t="s">
        <v>595</v>
      </c>
      <c r="W38" s="139"/>
      <c r="X38" s="139"/>
      <c r="Y38" s="140"/>
    </row>
    <row r="39" spans="1:25" x14ac:dyDescent="0.25">
      <c r="A39" s="142" t="s">
        <v>208</v>
      </c>
      <c r="B39" s="138">
        <f>_xlfn.XLOOKUP(A39,'[2]FRV Output'!$B:$B,'[2]FRV Output'!$F:$F)</f>
        <v>1194722629</v>
      </c>
      <c r="C39" s="139">
        <v>3</v>
      </c>
      <c r="D39" s="139">
        <v>2018</v>
      </c>
      <c r="E39" s="140">
        <v>186231</v>
      </c>
      <c r="F39" s="141" t="s">
        <v>595</v>
      </c>
      <c r="G39" s="139">
        <v>3</v>
      </c>
      <c r="H39" s="139">
        <v>2019</v>
      </c>
      <c r="I39" s="140">
        <v>257515</v>
      </c>
      <c r="J39" s="141" t="s">
        <v>595</v>
      </c>
      <c r="K39" s="139">
        <v>3</v>
      </c>
      <c r="L39" s="139">
        <v>2021</v>
      </c>
      <c r="M39" s="140">
        <v>162836</v>
      </c>
      <c r="N39" s="141" t="s">
        <v>595</v>
      </c>
      <c r="O39" s="139"/>
      <c r="P39" s="139"/>
      <c r="Q39" s="140"/>
      <c r="R39" s="141" t="s">
        <v>595</v>
      </c>
      <c r="S39" s="139"/>
      <c r="T39" s="139"/>
      <c r="U39" s="140"/>
      <c r="V39" s="141" t="s">
        <v>595</v>
      </c>
      <c r="W39" s="139"/>
      <c r="X39" s="139"/>
      <c r="Y39" s="140"/>
    </row>
    <row r="40" spans="1:25" x14ac:dyDescent="0.25">
      <c r="A40" s="138" t="s">
        <v>209</v>
      </c>
      <c r="B40" s="138">
        <f>_xlfn.XLOOKUP(A40,'[2]FRV Output'!$B:$B,'[2]FRV Output'!$F:$F)</f>
        <v>1255878245</v>
      </c>
      <c r="C40" s="139"/>
      <c r="D40" s="139"/>
      <c r="E40" s="140"/>
      <c r="F40" s="141" t="s">
        <v>595</v>
      </c>
      <c r="G40" s="139"/>
      <c r="H40" s="139"/>
      <c r="I40" s="140"/>
      <c r="J40" s="141" t="s">
        <v>595</v>
      </c>
      <c r="K40" s="139"/>
      <c r="L40" s="139"/>
      <c r="M40" s="140"/>
      <c r="N40" s="141" t="s">
        <v>595</v>
      </c>
      <c r="O40" s="139"/>
      <c r="P40" s="139"/>
      <c r="Q40" s="140"/>
      <c r="R40" s="141" t="s">
        <v>595</v>
      </c>
      <c r="S40" s="139"/>
      <c r="T40" s="139"/>
      <c r="U40" s="140"/>
      <c r="V40" s="141" t="s">
        <v>595</v>
      </c>
      <c r="W40" s="139"/>
      <c r="X40" s="139"/>
      <c r="Y40" s="140"/>
    </row>
    <row r="41" spans="1:25" x14ac:dyDescent="0.25">
      <c r="A41" s="142" t="s">
        <v>647</v>
      </c>
      <c r="B41" s="138">
        <f>_xlfn.XLOOKUP(A41,'[2]FRV Output'!$B:$B,'[2]FRV Output'!$F:$F)</f>
        <v>1376932889</v>
      </c>
      <c r="C41" s="139">
        <v>3</v>
      </c>
      <c r="D41" s="139">
        <v>2018</v>
      </c>
      <c r="E41" s="140">
        <v>85530</v>
      </c>
      <c r="F41" s="148" t="s">
        <v>595</v>
      </c>
      <c r="G41" s="139">
        <v>3</v>
      </c>
      <c r="H41" s="139">
        <v>2019</v>
      </c>
      <c r="I41" s="140">
        <v>85530</v>
      </c>
      <c r="J41" s="148" t="s">
        <v>595</v>
      </c>
      <c r="K41" s="139">
        <v>3</v>
      </c>
      <c r="L41" s="139">
        <v>2021</v>
      </c>
      <c r="M41" s="140">
        <v>70471</v>
      </c>
      <c r="N41" s="148" t="s">
        <v>595</v>
      </c>
      <c r="O41" s="139"/>
      <c r="P41" s="139"/>
      <c r="Q41" s="140"/>
      <c r="R41" s="148" t="s">
        <v>595</v>
      </c>
      <c r="S41" s="139"/>
      <c r="T41" s="139"/>
      <c r="U41" s="140"/>
      <c r="V41" s="141" t="s">
        <v>595</v>
      </c>
      <c r="W41" s="139"/>
      <c r="X41" s="139"/>
      <c r="Y41" s="140"/>
    </row>
    <row r="42" spans="1:25" x14ac:dyDescent="0.25">
      <c r="A42" s="138" t="s">
        <v>211</v>
      </c>
      <c r="B42" s="138">
        <f>_xlfn.XLOOKUP(A42,'[2]FRV Output'!$B:$B,'[2]FRV Output'!$F:$F)</f>
        <v>1275519506</v>
      </c>
      <c r="C42" s="139">
        <v>3</v>
      </c>
      <c r="D42" s="139">
        <v>2018</v>
      </c>
      <c r="E42" s="140">
        <v>854447</v>
      </c>
      <c r="F42" s="141" t="s">
        <v>595</v>
      </c>
      <c r="G42" s="139">
        <v>3</v>
      </c>
      <c r="H42" s="139">
        <v>2020</v>
      </c>
      <c r="I42" s="140">
        <v>60304</v>
      </c>
      <c r="J42" s="141" t="s">
        <v>595</v>
      </c>
      <c r="K42" s="139"/>
      <c r="L42" s="139"/>
      <c r="M42" s="140"/>
      <c r="N42" s="141" t="s">
        <v>595</v>
      </c>
      <c r="O42" s="139"/>
      <c r="P42" s="139"/>
      <c r="Q42" s="140"/>
      <c r="R42" s="141" t="s">
        <v>595</v>
      </c>
      <c r="S42" s="139"/>
      <c r="T42" s="139"/>
      <c r="U42" s="140"/>
      <c r="V42" s="141" t="s">
        <v>595</v>
      </c>
      <c r="W42" s="139"/>
      <c r="X42" s="139"/>
      <c r="Y42" s="140"/>
    </row>
    <row r="43" spans="1:25" x14ac:dyDescent="0.25">
      <c r="A43" s="142" t="s">
        <v>648</v>
      </c>
      <c r="B43" s="138">
        <f>_xlfn.XLOOKUP(A43,'[2]FRV Output'!$B:$B,'[2]FRV Output'!$F:$F)</f>
        <v>1114463932</v>
      </c>
      <c r="C43" s="139">
        <v>3</v>
      </c>
      <c r="D43" s="139">
        <v>2018</v>
      </c>
      <c r="E43" s="140">
        <v>82956</v>
      </c>
      <c r="F43" s="141" t="s">
        <v>595</v>
      </c>
      <c r="G43" s="139">
        <v>3</v>
      </c>
      <c r="H43" s="139">
        <v>2021</v>
      </c>
      <c r="I43" s="140">
        <v>78210</v>
      </c>
      <c r="J43" s="141" t="s">
        <v>595</v>
      </c>
      <c r="K43" s="139"/>
      <c r="L43" s="139"/>
      <c r="M43" s="140"/>
      <c r="N43" s="141" t="s">
        <v>595</v>
      </c>
      <c r="O43" s="139"/>
      <c r="P43" s="139"/>
      <c r="Q43" s="140"/>
      <c r="R43" s="141" t="s">
        <v>595</v>
      </c>
      <c r="S43" s="139"/>
      <c r="T43" s="139"/>
      <c r="U43" s="140"/>
      <c r="V43" s="141" t="s">
        <v>595</v>
      </c>
      <c r="W43" s="139"/>
      <c r="X43" s="139"/>
      <c r="Y43" s="140"/>
    </row>
    <row r="44" spans="1:25" x14ac:dyDescent="0.25">
      <c r="A44" s="142" t="s">
        <v>213</v>
      </c>
      <c r="B44" s="138">
        <f>_xlfn.XLOOKUP(A44,'[2]FRV Output'!$B:$B,'[2]FRV Output'!$F:$F)</f>
        <v>1609852375</v>
      </c>
      <c r="C44" s="139">
        <v>3</v>
      </c>
      <c r="D44" s="139">
        <v>2018</v>
      </c>
      <c r="E44" s="140">
        <v>165953</v>
      </c>
      <c r="F44" s="141" t="s">
        <v>595</v>
      </c>
      <c r="G44" s="139">
        <v>3</v>
      </c>
      <c r="H44" s="139">
        <v>2019</v>
      </c>
      <c r="I44" s="140">
        <v>79546</v>
      </c>
      <c r="J44" s="141" t="s">
        <v>595</v>
      </c>
      <c r="K44" s="139">
        <v>3</v>
      </c>
      <c r="L44" s="139">
        <v>2021</v>
      </c>
      <c r="M44" s="140">
        <v>110808</v>
      </c>
      <c r="N44" s="141" t="s">
        <v>595</v>
      </c>
      <c r="O44" s="139"/>
      <c r="P44" s="139"/>
      <c r="Q44" s="140"/>
      <c r="R44" s="141" t="s">
        <v>595</v>
      </c>
      <c r="S44" s="139"/>
      <c r="T44" s="139"/>
      <c r="U44" s="140"/>
      <c r="V44" s="141" t="s">
        <v>595</v>
      </c>
      <c r="W44" s="139"/>
      <c r="X44" s="139"/>
      <c r="Y44" s="140"/>
    </row>
    <row r="45" spans="1:25" x14ac:dyDescent="0.25">
      <c r="A45" s="138" t="s">
        <v>214</v>
      </c>
      <c r="B45" s="138">
        <f>_xlfn.XLOOKUP(A45,'[2]FRV Output'!$B:$B,'[2]FRV Output'!$F:$F)</f>
        <v>1093791337</v>
      </c>
      <c r="C45" s="139">
        <v>3</v>
      </c>
      <c r="D45" s="139">
        <v>2018</v>
      </c>
      <c r="E45" s="140">
        <v>501525</v>
      </c>
      <c r="F45" s="141" t="s">
        <v>595</v>
      </c>
      <c r="G45" s="139">
        <v>3</v>
      </c>
      <c r="H45" s="139">
        <v>2020</v>
      </c>
      <c r="I45" s="140">
        <v>71770</v>
      </c>
      <c r="J45" s="141" t="s">
        <v>595</v>
      </c>
      <c r="K45" s="139">
        <v>3</v>
      </c>
      <c r="L45" s="139">
        <v>2021</v>
      </c>
      <c r="M45" s="140">
        <v>76979</v>
      </c>
      <c r="N45" s="141" t="s">
        <v>595</v>
      </c>
      <c r="O45" s="139"/>
      <c r="P45" s="139"/>
      <c r="Q45" s="140"/>
      <c r="R45" s="141" t="s">
        <v>595</v>
      </c>
      <c r="S45" s="139"/>
      <c r="T45" s="139"/>
      <c r="U45" s="140"/>
      <c r="V45" s="141" t="s">
        <v>595</v>
      </c>
      <c r="W45" s="139"/>
      <c r="X45" s="139"/>
      <c r="Y45" s="140"/>
    </row>
    <row r="46" spans="1:25" x14ac:dyDescent="0.25">
      <c r="A46" s="138" t="s">
        <v>215</v>
      </c>
      <c r="B46" s="138">
        <f>_xlfn.XLOOKUP(A46,'[2]FRV Output'!$B:$B,'[2]FRV Output'!$F:$F)</f>
        <v>1073599635</v>
      </c>
      <c r="C46" s="139">
        <v>3</v>
      </c>
      <c r="D46" s="139">
        <v>2017</v>
      </c>
      <c r="E46" s="140">
        <v>106450</v>
      </c>
      <c r="F46" s="141" t="s">
        <v>595</v>
      </c>
      <c r="G46" s="139">
        <v>3</v>
      </c>
      <c r="H46" s="139">
        <v>2018</v>
      </c>
      <c r="I46" s="140">
        <v>117490</v>
      </c>
      <c r="J46" s="141" t="s">
        <v>595</v>
      </c>
      <c r="K46" s="139">
        <v>3</v>
      </c>
      <c r="L46" s="139">
        <v>2020</v>
      </c>
      <c r="M46" s="140">
        <v>100647</v>
      </c>
      <c r="N46" s="141" t="s">
        <v>595</v>
      </c>
      <c r="O46" s="139"/>
      <c r="P46" s="139"/>
      <c r="Q46" s="140"/>
      <c r="R46" s="141" t="s">
        <v>595</v>
      </c>
      <c r="S46" s="139"/>
      <c r="T46" s="139"/>
      <c r="U46" s="140"/>
      <c r="V46" s="141" t="s">
        <v>595</v>
      </c>
      <c r="W46" s="139"/>
      <c r="X46" s="139"/>
      <c r="Y46" s="140"/>
    </row>
    <row r="47" spans="1:25" x14ac:dyDescent="0.25">
      <c r="A47" s="142" t="s">
        <v>216</v>
      </c>
      <c r="B47" s="138">
        <f>_xlfn.XLOOKUP(A47,'[2]FRV Output'!$B:$B,'[2]FRV Output'!$F:$F)</f>
        <v>1053396788</v>
      </c>
      <c r="C47" s="139">
        <v>3</v>
      </c>
      <c r="D47" s="139">
        <v>2017</v>
      </c>
      <c r="E47" s="140">
        <v>41131</v>
      </c>
      <c r="F47" s="141" t="s">
        <v>595</v>
      </c>
      <c r="G47" s="139">
        <v>3</v>
      </c>
      <c r="H47" s="139">
        <v>2018</v>
      </c>
      <c r="I47" s="140">
        <v>67976</v>
      </c>
      <c r="J47" s="141" t="s">
        <v>595</v>
      </c>
      <c r="K47" s="139">
        <v>3</v>
      </c>
      <c r="L47" s="139">
        <v>2019</v>
      </c>
      <c r="M47" s="140">
        <v>44116</v>
      </c>
      <c r="N47" s="141" t="s">
        <v>595</v>
      </c>
      <c r="O47" s="139">
        <v>3</v>
      </c>
      <c r="P47" s="139">
        <v>2020</v>
      </c>
      <c r="Q47" s="140">
        <v>75708</v>
      </c>
      <c r="R47" s="141" t="s">
        <v>595</v>
      </c>
      <c r="S47" s="139">
        <v>3</v>
      </c>
      <c r="T47" s="139">
        <v>2021</v>
      </c>
      <c r="U47" s="140">
        <v>96270</v>
      </c>
      <c r="V47" s="141" t="s">
        <v>595</v>
      </c>
      <c r="W47" s="139"/>
      <c r="X47" s="139"/>
      <c r="Y47" s="140"/>
    </row>
    <row r="48" spans="1:25" x14ac:dyDescent="0.25">
      <c r="A48" s="138" t="s">
        <v>217</v>
      </c>
      <c r="B48" s="138">
        <f>_xlfn.XLOOKUP(A48,'[2]FRV Output'!$B:$B,'[2]FRV Output'!$F:$F)</f>
        <v>1851377543</v>
      </c>
      <c r="C48" s="139">
        <v>3</v>
      </c>
      <c r="D48" s="139">
        <v>2017</v>
      </c>
      <c r="E48" s="140">
        <v>71007</v>
      </c>
      <c r="F48" s="141" t="s">
        <v>595</v>
      </c>
      <c r="G48" s="139">
        <v>3</v>
      </c>
      <c r="H48" s="139">
        <v>2018</v>
      </c>
      <c r="I48" s="140">
        <v>680929</v>
      </c>
      <c r="J48" s="141" t="s">
        <v>595</v>
      </c>
      <c r="K48" s="139">
        <v>3</v>
      </c>
      <c r="L48" s="139">
        <v>2020</v>
      </c>
      <c r="M48" s="140">
        <v>92808</v>
      </c>
      <c r="N48" s="141" t="s">
        <v>595</v>
      </c>
      <c r="O48" s="139"/>
      <c r="P48" s="139"/>
      <c r="Q48" s="140"/>
      <c r="R48" s="141" t="s">
        <v>595</v>
      </c>
      <c r="S48" s="139"/>
      <c r="T48" s="139"/>
      <c r="U48" s="140"/>
      <c r="V48" s="141" t="s">
        <v>595</v>
      </c>
      <c r="W48" s="139"/>
      <c r="X48" s="139"/>
      <c r="Y48" s="140"/>
    </row>
    <row r="49" spans="1:25" x14ac:dyDescent="0.25">
      <c r="A49" s="142" t="s">
        <v>218</v>
      </c>
      <c r="B49" s="138">
        <f>_xlfn.XLOOKUP(A49,'[2]FRV Output'!$B:$B,'[2]FRV Output'!$F:$F)</f>
        <v>1508842295</v>
      </c>
      <c r="C49" s="139">
        <v>3</v>
      </c>
      <c r="D49" s="139">
        <v>2018</v>
      </c>
      <c r="E49" s="140">
        <v>104008</v>
      </c>
      <c r="F49" s="141" t="s">
        <v>595</v>
      </c>
      <c r="G49" s="139">
        <v>3</v>
      </c>
      <c r="H49" s="139">
        <v>2019</v>
      </c>
      <c r="I49" s="140">
        <v>65513</v>
      </c>
      <c r="J49" s="141" t="s">
        <v>595</v>
      </c>
      <c r="K49" s="139">
        <v>3</v>
      </c>
      <c r="L49" s="139">
        <v>2020</v>
      </c>
      <c r="M49" s="140">
        <v>52423</v>
      </c>
      <c r="N49" s="141" t="s">
        <v>595</v>
      </c>
      <c r="O49" s="139"/>
      <c r="P49" s="139"/>
      <c r="Q49" s="140"/>
      <c r="R49" s="141" t="s">
        <v>595</v>
      </c>
      <c r="S49" s="139"/>
      <c r="T49" s="139"/>
      <c r="U49" s="140"/>
      <c r="V49" s="141" t="s">
        <v>595</v>
      </c>
      <c r="W49" s="139"/>
      <c r="X49" s="139"/>
      <c r="Y49" s="140"/>
    </row>
    <row r="50" spans="1:25" x14ac:dyDescent="0.25">
      <c r="A50" s="142" t="s">
        <v>219</v>
      </c>
      <c r="B50" s="138">
        <f>_xlfn.XLOOKUP(A50,'[2]FRV Output'!$B:$B,'[2]FRV Output'!$F:$F)</f>
        <v>1639155302</v>
      </c>
      <c r="C50" s="139">
        <v>3</v>
      </c>
      <c r="D50" s="139">
        <v>2018</v>
      </c>
      <c r="E50" s="140">
        <v>192313</v>
      </c>
      <c r="F50" s="141" t="s">
        <v>595</v>
      </c>
      <c r="G50" s="139">
        <v>3</v>
      </c>
      <c r="H50" s="139">
        <v>2019</v>
      </c>
      <c r="I50" s="140">
        <v>87748</v>
      </c>
      <c r="J50" s="141" t="s">
        <v>595</v>
      </c>
      <c r="K50" s="139">
        <v>3</v>
      </c>
      <c r="L50" s="139">
        <v>2020</v>
      </c>
      <c r="M50" s="140">
        <v>232217</v>
      </c>
      <c r="N50" s="141" t="s">
        <v>595</v>
      </c>
      <c r="O50" s="139"/>
      <c r="P50" s="139"/>
      <c r="Q50" s="140"/>
      <c r="R50" s="141" t="s">
        <v>595</v>
      </c>
      <c r="S50" s="139"/>
      <c r="T50" s="139"/>
      <c r="U50" s="140"/>
      <c r="V50" s="141" t="s">
        <v>595</v>
      </c>
      <c r="W50" s="139"/>
      <c r="X50" s="139"/>
      <c r="Y50" s="140"/>
    </row>
    <row r="51" spans="1:25" x14ac:dyDescent="0.25">
      <c r="A51" s="138" t="s">
        <v>220</v>
      </c>
      <c r="B51" s="138">
        <f>_xlfn.XLOOKUP(A51,'[2]FRV Output'!$B:$B,'[2]FRV Output'!$F:$F)</f>
        <v>1346226040</v>
      </c>
      <c r="C51" s="139">
        <v>3</v>
      </c>
      <c r="D51" s="139">
        <v>2018</v>
      </c>
      <c r="E51" s="140">
        <v>83213</v>
      </c>
      <c r="F51" s="141" t="s">
        <v>595</v>
      </c>
      <c r="G51" s="139">
        <v>1</v>
      </c>
      <c r="H51" s="139">
        <v>2018</v>
      </c>
      <c r="I51" s="140">
        <v>-30</v>
      </c>
      <c r="J51" s="141" t="s">
        <v>595</v>
      </c>
      <c r="K51" s="139">
        <v>3</v>
      </c>
      <c r="L51" s="139">
        <v>2018</v>
      </c>
      <c r="M51" s="140">
        <v>297526</v>
      </c>
      <c r="N51" s="141" t="s">
        <v>595</v>
      </c>
      <c r="O51" s="139">
        <v>3</v>
      </c>
      <c r="P51" s="139">
        <v>2021</v>
      </c>
      <c r="Q51" s="140">
        <v>69734</v>
      </c>
      <c r="R51" s="141" t="s">
        <v>595</v>
      </c>
      <c r="S51" s="139"/>
      <c r="T51" s="139"/>
      <c r="U51" s="140"/>
      <c r="V51" s="141" t="s">
        <v>595</v>
      </c>
      <c r="W51" s="139"/>
      <c r="X51" s="139"/>
      <c r="Y51" s="140"/>
    </row>
    <row r="52" spans="1:25" x14ac:dyDescent="0.25">
      <c r="A52" s="142" t="s">
        <v>221</v>
      </c>
      <c r="B52" s="138">
        <f>_xlfn.XLOOKUP(A52,'[2]FRV Output'!$B:$B,'[2]FRV Output'!$F:$F)</f>
        <v>1730722240</v>
      </c>
      <c r="C52" s="139">
        <v>3</v>
      </c>
      <c r="D52" s="139">
        <v>2018</v>
      </c>
      <c r="E52" s="140">
        <v>71463</v>
      </c>
      <c r="F52" s="141" t="s">
        <v>595</v>
      </c>
      <c r="G52" s="139">
        <v>3</v>
      </c>
      <c r="H52" s="139">
        <v>2019</v>
      </c>
      <c r="I52" s="140">
        <v>65529</v>
      </c>
      <c r="J52" s="141" t="s">
        <v>595</v>
      </c>
      <c r="K52" s="139">
        <v>3</v>
      </c>
      <c r="L52" s="139">
        <v>2020</v>
      </c>
      <c r="M52" s="140">
        <v>63311</v>
      </c>
      <c r="N52" s="141" t="s">
        <v>595</v>
      </c>
      <c r="O52" s="139">
        <v>3</v>
      </c>
      <c r="P52" s="139">
        <v>2021</v>
      </c>
      <c r="Q52" s="140">
        <v>345594</v>
      </c>
      <c r="R52" s="141" t="s">
        <v>595</v>
      </c>
      <c r="S52" s="139"/>
      <c r="T52" s="139"/>
      <c r="U52" s="140"/>
      <c r="V52" s="141" t="s">
        <v>595</v>
      </c>
      <c r="W52" s="139"/>
      <c r="X52" s="139"/>
      <c r="Y52" s="140"/>
    </row>
    <row r="53" spans="1:25" x14ac:dyDescent="0.25">
      <c r="A53" s="138" t="s">
        <v>222</v>
      </c>
      <c r="B53" s="138">
        <f>_xlfn.XLOOKUP(A53,'[2]FRV Output'!$B:$B,'[2]FRV Output'!$F:$F)</f>
        <v>1528044294</v>
      </c>
      <c r="C53" s="139">
        <v>3</v>
      </c>
      <c r="D53" s="139">
        <v>2018</v>
      </c>
      <c r="E53" s="140">
        <v>63418</v>
      </c>
      <c r="F53" s="141" t="s">
        <v>595</v>
      </c>
      <c r="G53" s="139">
        <v>3</v>
      </c>
      <c r="H53" s="139">
        <v>2018</v>
      </c>
      <c r="I53" s="140">
        <v>225346</v>
      </c>
      <c r="J53" s="141" t="s">
        <v>595</v>
      </c>
      <c r="K53" s="139">
        <v>3</v>
      </c>
      <c r="L53" s="139">
        <v>2021</v>
      </c>
      <c r="M53" s="140">
        <v>91463</v>
      </c>
      <c r="N53" s="141" t="s">
        <v>595</v>
      </c>
      <c r="O53" s="139"/>
      <c r="P53" s="139"/>
      <c r="Q53" s="140"/>
      <c r="R53" s="141" t="s">
        <v>595</v>
      </c>
      <c r="S53" s="139"/>
      <c r="T53" s="139"/>
      <c r="U53" s="140"/>
      <c r="V53" s="141" t="s">
        <v>595</v>
      </c>
      <c r="W53" s="139"/>
      <c r="X53" s="139"/>
      <c r="Y53" s="140"/>
    </row>
    <row r="54" spans="1:25" x14ac:dyDescent="0.25">
      <c r="A54" s="142" t="s">
        <v>649</v>
      </c>
      <c r="B54" s="138">
        <f>_xlfn.XLOOKUP(A54,'[2]FRV Output'!$B:$B,'[2]FRV Output'!$F:$F)</f>
        <v>1356372650</v>
      </c>
      <c r="C54" s="139">
        <v>3</v>
      </c>
      <c r="D54" s="139">
        <v>2016</v>
      </c>
      <c r="E54" s="140">
        <v>48022</v>
      </c>
      <c r="F54" s="141" t="s">
        <v>595</v>
      </c>
      <c r="G54" s="139">
        <v>3</v>
      </c>
      <c r="H54" s="139">
        <v>2019</v>
      </c>
      <c r="I54" s="140">
        <v>58255</v>
      </c>
      <c r="J54" s="141" t="s">
        <v>595</v>
      </c>
      <c r="K54" s="139">
        <v>3</v>
      </c>
      <c r="L54" s="139">
        <v>2021</v>
      </c>
      <c r="M54" s="140">
        <v>99807</v>
      </c>
      <c r="N54" s="141" t="s">
        <v>595</v>
      </c>
      <c r="O54" s="139"/>
      <c r="P54" s="139"/>
      <c r="Q54" s="140"/>
      <c r="R54" s="141" t="s">
        <v>595</v>
      </c>
      <c r="S54" s="139"/>
      <c r="T54" s="139"/>
      <c r="U54" s="140"/>
      <c r="V54" s="141" t="s">
        <v>595</v>
      </c>
      <c r="W54" s="139"/>
      <c r="X54" s="139"/>
      <c r="Y54" s="140"/>
    </row>
    <row r="55" spans="1:25" x14ac:dyDescent="0.25">
      <c r="A55" s="142" t="s">
        <v>650</v>
      </c>
      <c r="B55" s="138">
        <f>_xlfn.XLOOKUP(A55,'[2]FRV Output'!$B:$B,'[2]FRV Output'!$F:$F)</f>
        <v>1255682522</v>
      </c>
      <c r="C55" s="139">
        <v>3</v>
      </c>
      <c r="D55" s="139">
        <v>2018</v>
      </c>
      <c r="E55" s="140">
        <v>184391</v>
      </c>
      <c r="F55" s="141" t="s">
        <v>595</v>
      </c>
      <c r="G55" s="139">
        <v>3</v>
      </c>
      <c r="H55" s="139">
        <v>2019</v>
      </c>
      <c r="I55" s="140">
        <v>54354</v>
      </c>
      <c r="J55" s="141" t="s">
        <v>595</v>
      </c>
      <c r="K55" s="139"/>
      <c r="L55" s="139"/>
      <c r="M55" s="140"/>
      <c r="N55" s="141" t="s">
        <v>595</v>
      </c>
      <c r="O55" s="139"/>
      <c r="P55" s="139"/>
      <c r="Q55" s="140"/>
      <c r="R55" s="141" t="s">
        <v>595</v>
      </c>
      <c r="S55" s="139"/>
      <c r="T55" s="139"/>
      <c r="U55" s="140"/>
      <c r="V55" s="141" t="s">
        <v>595</v>
      </c>
      <c r="W55" s="139"/>
      <c r="X55" s="139"/>
      <c r="Y55" s="140"/>
    </row>
    <row r="56" spans="1:25" x14ac:dyDescent="0.25">
      <c r="A56" s="138" t="s">
        <v>651</v>
      </c>
      <c r="B56" s="138">
        <f>_xlfn.XLOOKUP(A56,'[2]FRV Output'!$B:$B,'[2]FRV Output'!$F:$F)</f>
        <v>1225064777</v>
      </c>
      <c r="C56" s="139">
        <v>3</v>
      </c>
      <c r="D56" s="139">
        <v>2017</v>
      </c>
      <c r="E56" s="140">
        <v>83747</v>
      </c>
      <c r="F56" s="141" t="s">
        <v>595</v>
      </c>
      <c r="G56" s="139">
        <v>3</v>
      </c>
      <c r="H56" s="139">
        <v>2021</v>
      </c>
      <c r="I56" s="140">
        <v>520171</v>
      </c>
      <c r="J56" s="141" t="s">
        <v>595</v>
      </c>
      <c r="K56" s="139"/>
      <c r="L56" s="139"/>
      <c r="M56" s="140"/>
      <c r="N56" s="141" t="s">
        <v>595</v>
      </c>
      <c r="O56" s="139"/>
      <c r="P56" s="139"/>
      <c r="Q56" s="140"/>
      <c r="R56" s="141" t="s">
        <v>595</v>
      </c>
      <c r="S56" s="139"/>
      <c r="T56" s="139"/>
      <c r="U56" s="140"/>
      <c r="V56" s="141" t="s">
        <v>595</v>
      </c>
      <c r="W56" s="139"/>
      <c r="X56" s="139"/>
      <c r="Y56" s="140"/>
    </row>
    <row r="57" spans="1:25" x14ac:dyDescent="0.25">
      <c r="A57" s="138" t="s">
        <v>226</v>
      </c>
      <c r="B57" s="138">
        <f>_xlfn.XLOOKUP(A57,'[2]FRV Output'!$B:$B,'[2]FRV Output'!$F:$F)</f>
        <v>1649254582</v>
      </c>
      <c r="C57" s="139">
        <v>3</v>
      </c>
      <c r="D57" s="139">
        <v>2016</v>
      </c>
      <c r="E57" s="140">
        <v>526977</v>
      </c>
      <c r="F57" s="141" t="s">
        <v>595</v>
      </c>
      <c r="G57" s="139">
        <v>3</v>
      </c>
      <c r="H57" s="139">
        <v>2021</v>
      </c>
      <c r="I57" s="140">
        <v>87802</v>
      </c>
      <c r="J57" s="141" t="s">
        <v>595</v>
      </c>
      <c r="K57" s="139"/>
      <c r="L57" s="139"/>
      <c r="M57" s="140"/>
      <c r="N57" s="141" t="s">
        <v>595</v>
      </c>
      <c r="O57" s="139"/>
      <c r="P57" s="139"/>
      <c r="Q57" s="140"/>
      <c r="R57" s="141" t="s">
        <v>595</v>
      </c>
      <c r="S57" s="139"/>
      <c r="T57" s="139"/>
      <c r="U57" s="140"/>
      <c r="V57" s="141" t="s">
        <v>595</v>
      </c>
      <c r="W57" s="139"/>
      <c r="X57" s="139"/>
      <c r="Y57" s="140"/>
    </row>
    <row r="58" spans="1:25" x14ac:dyDescent="0.25">
      <c r="A58" s="142" t="s">
        <v>227</v>
      </c>
      <c r="B58" s="138">
        <f>_xlfn.XLOOKUP(A58,'[2]FRV Output'!$B:$B,'[2]FRV Output'!$F:$F)</f>
        <v>1316512346</v>
      </c>
      <c r="C58" s="139">
        <v>3</v>
      </c>
      <c r="D58" s="139">
        <v>2016</v>
      </c>
      <c r="E58" s="140">
        <v>127016</v>
      </c>
      <c r="F58" s="141" t="s">
        <v>595</v>
      </c>
      <c r="G58" s="139">
        <v>3</v>
      </c>
      <c r="H58" s="139">
        <v>2018</v>
      </c>
      <c r="I58" s="140">
        <v>506422</v>
      </c>
      <c r="J58" s="141" t="s">
        <v>595</v>
      </c>
      <c r="K58" s="139">
        <v>3</v>
      </c>
      <c r="L58" s="139">
        <v>2019</v>
      </c>
      <c r="M58" s="140">
        <v>192779</v>
      </c>
      <c r="N58" s="141" t="s">
        <v>595</v>
      </c>
      <c r="O58" s="139">
        <v>3</v>
      </c>
      <c r="P58" s="139">
        <v>2020</v>
      </c>
      <c r="Q58" s="140">
        <v>94083</v>
      </c>
      <c r="R58" s="141" t="s">
        <v>595</v>
      </c>
      <c r="S58" s="139">
        <v>3</v>
      </c>
      <c r="T58" s="139">
        <v>2021</v>
      </c>
      <c r="U58" s="140">
        <v>109890</v>
      </c>
      <c r="V58" s="141" t="s">
        <v>595</v>
      </c>
      <c r="W58" s="139"/>
      <c r="X58" s="139"/>
      <c r="Y58" s="140"/>
    </row>
    <row r="59" spans="1:25" x14ac:dyDescent="0.25">
      <c r="A59" s="142" t="s">
        <v>652</v>
      </c>
      <c r="B59" s="138">
        <f>_xlfn.XLOOKUP(A59,'[2]FRV Output'!$B:$B,'[2]FRV Output'!$F:$F)</f>
        <v>1093228397</v>
      </c>
      <c r="C59" s="139"/>
      <c r="D59" s="139"/>
      <c r="E59" s="140"/>
      <c r="F59" s="148" t="s">
        <v>595</v>
      </c>
      <c r="G59" s="139"/>
      <c r="H59" s="139"/>
      <c r="I59" s="140"/>
      <c r="J59" s="148" t="s">
        <v>595</v>
      </c>
      <c r="K59" s="139"/>
      <c r="L59" s="139"/>
      <c r="M59" s="140"/>
      <c r="N59" s="148" t="s">
        <v>595</v>
      </c>
      <c r="O59" s="139"/>
      <c r="P59" s="139"/>
      <c r="Q59" s="140"/>
      <c r="R59" s="148" t="s">
        <v>595</v>
      </c>
      <c r="S59" s="139"/>
      <c r="T59" s="139"/>
      <c r="U59" s="140"/>
      <c r="V59" s="141" t="s">
        <v>595</v>
      </c>
      <c r="W59" s="139"/>
      <c r="X59" s="139"/>
      <c r="Y59" s="140"/>
    </row>
    <row r="60" spans="1:25" x14ac:dyDescent="0.25">
      <c r="A60" s="142" t="s">
        <v>229</v>
      </c>
      <c r="B60" s="138">
        <f>_xlfn.XLOOKUP(A60,'[2]FRV Output'!$B:$B,'[2]FRV Output'!$F:$F)</f>
        <v>1891908687</v>
      </c>
      <c r="C60" s="139">
        <v>3</v>
      </c>
      <c r="D60" s="139">
        <v>2019</v>
      </c>
      <c r="E60" s="140">
        <v>238237</v>
      </c>
      <c r="F60" s="141" t="s">
        <v>595</v>
      </c>
      <c r="G60" s="139"/>
      <c r="H60" s="139"/>
      <c r="I60" s="140"/>
      <c r="J60" s="141" t="s">
        <v>595</v>
      </c>
      <c r="K60" s="139"/>
      <c r="L60" s="139"/>
      <c r="M60" s="140"/>
      <c r="N60" s="141" t="s">
        <v>595</v>
      </c>
      <c r="O60" s="139"/>
      <c r="P60" s="139"/>
      <c r="Q60" s="140"/>
      <c r="R60" s="141" t="s">
        <v>595</v>
      </c>
      <c r="S60" s="139"/>
      <c r="T60" s="139"/>
      <c r="U60" s="140"/>
      <c r="V60" s="141" t="s">
        <v>595</v>
      </c>
      <c r="W60" s="139"/>
      <c r="X60" s="139"/>
      <c r="Y60" s="140"/>
    </row>
    <row r="61" spans="1:25" x14ac:dyDescent="0.25">
      <c r="A61" s="142" t="s">
        <v>653</v>
      </c>
      <c r="B61" s="138" t="e">
        <f>_xlfn.XLOOKUP(A61,'[2]FRV Output'!$B:$B,'[2]FRV Output'!$F:$F)</f>
        <v>#N/A</v>
      </c>
      <c r="C61" s="139" t="s">
        <v>654</v>
      </c>
      <c r="D61" s="139"/>
      <c r="E61" s="140"/>
      <c r="F61" s="148" t="s">
        <v>595</v>
      </c>
      <c r="G61" s="139"/>
      <c r="H61" s="139"/>
      <c r="I61" s="140"/>
      <c r="J61" s="148" t="s">
        <v>595</v>
      </c>
      <c r="K61" s="139"/>
      <c r="L61" s="139"/>
      <c r="M61" s="140"/>
      <c r="N61" s="148" t="s">
        <v>595</v>
      </c>
      <c r="O61" s="139"/>
      <c r="P61" s="139"/>
      <c r="Q61" s="140"/>
      <c r="R61" s="148" t="s">
        <v>595</v>
      </c>
      <c r="S61" s="139"/>
      <c r="T61" s="139"/>
      <c r="U61" s="140"/>
      <c r="V61" s="141" t="s">
        <v>595</v>
      </c>
      <c r="W61" s="139"/>
      <c r="X61" s="139"/>
      <c r="Y61" s="140"/>
    </row>
    <row r="62" spans="1:25" x14ac:dyDescent="0.25">
      <c r="A62" s="138" t="s">
        <v>655</v>
      </c>
      <c r="B62" s="138">
        <f>_xlfn.XLOOKUP(A62,'[2]FRV Output'!$B:$B,'[2]FRV Output'!$F:$F)</f>
        <v>1235175175</v>
      </c>
      <c r="C62" s="139">
        <v>3</v>
      </c>
      <c r="D62" s="139">
        <v>2021</v>
      </c>
      <c r="E62" s="140">
        <v>264331</v>
      </c>
      <c r="F62" s="141" t="s">
        <v>595</v>
      </c>
      <c r="G62" s="139"/>
      <c r="H62" s="139"/>
      <c r="I62" s="140"/>
      <c r="J62" s="141" t="s">
        <v>595</v>
      </c>
      <c r="K62" s="139"/>
      <c r="L62" s="139"/>
      <c r="M62" s="140"/>
      <c r="N62" s="141" t="s">
        <v>595</v>
      </c>
      <c r="O62" s="139"/>
      <c r="P62" s="139"/>
      <c r="Q62" s="140"/>
      <c r="R62" s="141" t="s">
        <v>595</v>
      </c>
      <c r="S62" s="139"/>
      <c r="T62" s="139"/>
      <c r="U62" s="140"/>
      <c r="V62" s="141" t="s">
        <v>595</v>
      </c>
      <c r="W62" s="139"/>
      <c r="X62" s="139"/>
      <c r="Y62" s="140"/>
    </row>
    <row r="63" spans="1:25" x14ac:dyDescent="0.25">
      <c r="A63" s="142" t="s">
        <v>231</v>
      </c>
      <c r="B63" s="138">
        <f>_xlfn.XLOOKUP(A63,'[2]FRV Output'!$B:$B,'[2]FRV Output'!$F:$F)</f>
        <v>1992724157</v>
      </c>
      <c r="C63" s="139">
        <v>3</v>
      </c>
      <c r="D63" s="139">
        <v>2019</v>
      </c>
      <c r="E63" s="140">
        <v>59623</v>
      </c>
      <c r="F63" s="141" t="s">
        <v>595</v>
      </c>
      <c r="G63" s="139">
        <v>3</v>
      </c>
      <c r="H63" s="139">
        <v>2020</v>
      </c>
      <c r="I63" s="140">
        <v>158322</v>
      </c>
      <c r="J63" s="141" t="s">
        <v>595</v>
      </c>
      <c r="K63" s="139"/>
      <c r="L63" s="139"/>
      <c r="M63" s="140"/>
      <c r="N63" s="141" t="s">
        <v>595</v>
      </c>
      <c r="O63" s="139"/>
      <c r="P63" s="139"/>
      <c r="Q63" s="140"/>
      <c r="R63" s="141" t="s">
        <v>595</v>
      </c>
      <c r="S63" s="139"/>
      <c r="T63" s="139"/>
      <c r="U63" s="140"/>
      <c r="V63" s="141" t="s">
        <v>595</v>
      </c>
      <c r="W63" s="139"/>
      <c r="X63" s="139"/>
      <c r="Y63" s="140"/>
    </row>
    <row r="64" spans="1:25" x14ac:dyDescent="0.25">
      <c r="A64" s="138" t="s">
        <v>232</v>
      </c>
      <c r="B64" s="138">
        <f>_xlfn.XLOOKUP(A64,'[2]FRV Output'!$B:$B,'[2]FRV Output'!$F:$F)</f>
        <v>1174608350</v>
      </c>
      <c r="C64" s="139">
        <v>3</v>
      </c>
      <c r="D64" s="139">
        <v>2016</v>
      </c>
      <c r="E64" s="140">
        <v>49323</v>
      </c>
      <c r="F64" s="141" t="s">
        <v>595</v>
      </c>
      <c r="G64" s="139">
        <v>3</v>
      </c>
      <c r="H64" s="139">
        <v>2017</v>
      </c>
      <c r="I64" s="140">
        <v>100973</v>
      </c>
      <c r="J64" s="141" t="s">
        <v>595</v>
      </c>
      <c r="K64" s="139">
        <v>3</v>
      </c>
      <c r="L64" s="139">
        <v>2020</v>
      </c>
      <c r="M64" s="140">
        <v>37032</v>
      </c>
      <c r="N64" s="141" t="s">
        <v>595</v>
      </c>
      <c r="O64" s="139"/>
      <c r="P64" s="139"/>
      <c r="Q64" s="140"/>
      <c r="R64" s="141" t="s">
        <v>595</v>
      </c>
      <c r="S64" s="139"/>
      <c r="T64" s="139"/>
      <c r="U64" s="140"/>
      <c r="V64" s="141" t="s">
        <v>595</v>
      </c>
      <c r="W64" s="139"/>
      <c r="X64" s="139"/>
      <c r="Y64" s="140"/>
    </row>
    <row r="65" spans="1:25" x14ac:dyDescent="0.25">
      <c r="A65" s="138" t="s">
        <v>656</v>
      </c>
      <c r="B65" s="138">
        <f>_xlfn.XLOOKUP(A65,'[2]FRV Output'!$B:$B,'[2]FRV Output'!$F:$F)</f>
        <v>1497283899</v>
      </c>
      <c r="C65" s="139"/>
      <c r="D65" s="139"/>
      <c r="E65" s="140"/>
      <c r="F65" s="141" t="s">
        <v>595</v>
      </c>
      <c r="G65" s="139"/>
      <c r="H65" s="139"/>
      <c r="I65" s="140"/>
      <c r="J65" s="141" t="s">
        <v>595</v>
      </c>
      <c r="K65" s="139"/>
      <c r="L65" s="139"/>
      <c r="M65" s="140"/>
      <c r="N65" s="141" t="s">
        <v>595</v>
      </c>
      <c r="O65" s="139"/>
      <c r="P65" s="139"/>
      <c r="Q65" s="140"/>
      <c r="R65" s="141" t="s">
        <v>595</v>
      </c>
      <c r="S65" s="139"/>
      <c r="T65" s="139"/>
      <c r="U65" s="140"/>
      <c r="V65" s="141" t="s">
        <v>595</v>
      </c>
      <c r="W65" s="139"/>
      <c r="X65" s="139"/>
      <c r="Y65" s="140"/>
    </row>
    <row r="66" spans="1:25" x14ac:dyDescent="0.25">
      <c r="A66" s="138" t="s">
        <v>657</v>
      </c>
      <c r="B66" s="138">
        <f>_xlfn.XLOOKUP(A66,'[2]FRV Output'!$B:$B,'[2]FRV Output'!$F:$F)</f>
        <v>1578013876</v>
      </c>
      <c r="C66" s="139">
        <v>3</v>
      </c>
      <c r="D66" s="139">
        <v>2017</v>
      </c>
      <c r="E66" s="140">
        <v>92566.11</v>
      </c>
      <c r="F66" s="141" t="s">
        <v>595</v>
      </c>
      <c r="G66" s="139"/>
      <c r="H66" s="139"/>
      <c r="I66" s="140"/>
      <c r="J66" s="141" t="s">
        <v>595</v>
      </c>
      <c r="K66" s="139"/>
      <c r="L66" s="139"/>
      <c r="M66" s="140"/>
      <c r="N66" s="141" t="s">
        <v>595</v>
      </c>
      <c r="O66" s="139"/>
      <c r="P66" s="139"/>
      <c r="Q66" s="140"/>
      <c r="R66" s="141" t="s">
        <v>595</v>
      </c>
      <c r="S66" s="139"/>
      <c r="T66" s="139"/>
      <c r="U66" s="140"/>
      <c r="V66" s="141" t="s">
        <v>595</v>
      </c>
      <c r="W66" s="139"/>
      <c r="X66" s="139"/>
      <c r="Y66" s="140"/>
    </row>
    <row r="67" spans="1:25" x14ac:dyDescent="0.25">
      <c r="A67" s="138" t="s">
        <v>235</v>
      </c>
      <c r="B67" s="138">
        <f>_xlfn.XLOOKUP(A67,'[2]FRV Output'!$B:$B,'[2]FRV Output'!$F:$F)</f>
        <v>1265441208</v>
      </c>
      <c r="C67" s="139">
        <v>3</v>
      </c>
      <c r="D67" s="139">
        <v>2016</v>
      </c>
      <c r="E67" s="140">
        <v>62830</v>
      </c>
      <c r="F67" s="141" t="s">
        <v>595</v>
      </c>
      <c r="G67" s="139">
        <v>3</v>
      </c>
      <c r="H67" s="139">
        <v>2021</v>
      </c>
      <c r="I67" s="140">
        <v>55068</v>
      </c>
      <c r="J67" s="141" t="s">
        <v>595</v>
      </c>
      <c r="K67" s="139"/>
      <c r="L67" s="139"/>
      <c r="M67" s="140"/>
      <c r="N67" s="141" t="s">
        <v>595</v>
      </c>
      <c r="O67" s="139"/>
      <c r="P67" s="139"/>
      <c r="Q67" s="140"/>
      <c r="R67" s="141" t="s">
        <v>595</v>
      </c>
      <c r="S67" s="139"/>
      <c r="T67" s="139"/>
      <c r="U67" s="140"/>
      <c r="V67" s="141" t="s">
        <v>595</v>
      </c>
      <c r="W67" s="139"/>
      <c r="X67" s="139"/>
      <c r="Y67" s="140"/>
    </row>
    <row r="68" spans="1:25" x14ac:dyDescent="0.25">
      <c r="A68" s="138" t="s">
        <v>236</v>
      </c>
      <c r="B68" s="138">
        <f>_xlfn.XLOOKUP(A68,'[2]FRV Output'!$B:$B,'[2]FRV Output'!$F:$F)</f>
        <v>1619099520</v>
      </c>
      <c r="C68" s="139">
        <v>3</v>
      </c>
      <c r="D68" s="139">
        <v>2016</v>
      </c>
      <c r="E68" s="140">
        <v>149448</v>
      </c>
      <c r="F68" s="141" t="s">
        <v>595</v>
      </c>
      <c r="G68" s="139">
        <v>3</v>
      </c>
      <c r="H68" s="139">
        <v>2017</v>
      </c>
      <c r="I68" s="140">
        <v>89303.31</v>
      </c>
      <c r="J68" s="141" t="s">
        <v>595</v>
      </c>
      <c r="K68" s="139">
        <v>3</v>
      </c>
      <c r="L68" s="139">
        <v>2020</v>
      </c>
      <c r="M68" s="140">
        <v>89664</v>
      </c>
      <c r="N68" s="141" t="s">
        <v>595</v>
      </c>
      <c r="O68" s="139"/>
      <c r="P68" s="139"/>
      <c r="Q68" s="140"/>
      <c r="R68" s="141" t="s">
        <v>595</v>
      </c>
      <c r="S68" s="139"/>
      <c r="T68" s="139"/>
      <c r="U68" s="140"/>
      <c r="V68" s="141" t="s">
        <v>595</v>
      </c>
      <c r="W68" s="139"/>
      <c r="X68" s="139"/>
      <c r="Y68" s="140"/>
    </row>
    <row r="69" spans="1:25" x14ac:dyDescent="0.25">
      <c r="A69" s="142" t="s">
        <v>237</v>
      </c>
      <c r="B69" s="138">
        <f>_xlfn.XLOOKUP(A69,'[2]FRV Output'!$B:$B,'[2]FRV Output'!$F:$F)</f>
        <v>1245350289</v>
      </c>
      <c r="C69" s="139">
        <v>3</v>
      </c>
      <c r="D69" s="139">
        <v>2016</v>
      </c>
      <c r="E69" s="140">
        <v>101737</v>
      </c>
      <c r="F69" s="141" t="s">
        <v>595</v>
      </c>
      <c r="G69" s="139">
        <v>3</v>
      </c>
      <c r="H69" s="139">
        <v>2019</v>
      </c>
      <c r="I69" s="140">
        <v>284541</v>
      </c>
      <c r="J69" s="141" t="s">
        <v>595</v>
      </c>
      <c r="K69" s="139">
        <v>3</v>
      </c>
      <c r="L69" s="139">
        <v>2021</v>
      </c>
      <c r="M69" s="140">
        <v>62203</v>
      </c>
      <c r="N69" s="141" t="s">
        <v>595</v>
      </c>
      <c r="O69" s="139"/>
      <c r="P69" s="139"/>
      <c r="Q69" s="140"/>
      <c r="R69" s="141" t="s">
        <v>595</v>
      </c>
      <c r="S69" s="139"/>
      <c r="T69" s="139"/>
      <c r="U69" s="140"/>
      <c r="V69" s="141" t="s">
        <v>595</v>
      </c>
      <c r="W69" s="139"/>
      <c r="X69" s="139"/>
      <c r="Y69" s="140"/>
    </row>
    <row r="70" spans="1:25" x14ac:dyDescent="0.25">
      <c r="A70" s="142" t="s">
        <v>238</v>
      </c>
      <c r="B70" s="138">
        <f>_xlfn.XLOOKUP(A70,'[2]FRV Output'!$B:$B,'[2]FRV Output'!$F:$F)</f>
        <v>1346360328</v>
      </c>
      <c r="C70" s="139">
        <v>3</v>
      </c>
      <c r="D70" s="139">
        <v>2016</v>
      </c>
      <c r="E70" s="140">
        <v>321617</v>
      </c>
      <c r="F70" s="141" t="s">
        <v>595</v>
      </c>
      <c r="G70" s="139">
        <v>3</v>
      </c>
      <c r="H70" s="139">
        <v>2019</v>
      </c>
      <c r="I70" s="140">
        <v>90451</v>
      </c>
      <c r="J70" s="141" t="s">
        <v>595</v>
      </c>
      <c r="K70" s="139">
        <v>3</v>
      </c>
      <c r="L70" s="139">
        <v>2020</v>
      </c>
      <c r="M70" s="140">
        <v>122288</v>
      </c>
      <c r="N70" s="141" t="s">
        <v>595</v>
      </c>
      <c r="O70" s="139"/>
      <c r="P70" s="139"/>
      <c r="Q70" s="140"/>
      <c r="R70" s="141" t="s">
        <v>595</v>
      </c>
      <c r="S70" s="139"/>
      <c r="T70" s="139"/>
      <c r="U70" s="140"/>
      <c r="V70" s="141" t="s">
        <v>595</v>
      </c>
      <c r="W70" s="139"/>
      <c r="X70" s="139"/>
      <c r="Y70" s="140"/>
    </row>
    <row r="71" spans="1:25" x14ac:dyDescent="0.25">
      <c r="A71" s="142" t="s">
        <v>239</v>
      </c>
      <c r="B71" s="138">
        <f>_xlfn.XLOOKUP(A71,'[2]FRV Output'!$B:$B,'[2]FRV Output'!$F:$F)</f>
        <v>1104946060</v>
      </c>
      <c r="C71" s="139">
        <v>3</v>
      </c>
      <c r="D71" s="139">
        <v>2016</v>
      </c>
      <c r="E71" s="140">
        <v>229322</v>
      </c>
      <c r="F71" s="141" t="s">
        <v>595</v>
      </c>
      <c r="G71" s="139">
        <v>3</v>
      </c>
      <c r="H71" s="139">
        <v>2017</v>
      </c>
      <c r="I71" s="140">
        <v>349104.65</v>
      </c>
      <c r="J71" s="141" t="s">
        <v>595</v>
      </c>
      <c r="K71" s="139">
        <v>3</v>
      </c>
      <c r="L71" s="139">
        <v>2019</v>
      </c>
      <c r="M71" s="140">
        <v>69841</v>
      </c>
      <c r="N71" s="141" t="s">
        <v>595</v>
      </c>
      <c r="O71" s="139">
        <v>3</v>
      </c>
      <c r="P71" s="139">
        <v>2021</v>
      </c>
      <c r="Q71" s="140">
        <v>279068</v>
      </c>
      <c r="R71" s="141" t="s">
        <v>595</v>
      </c>
      <c r="S71" s="139"/>
      <c r="T71" s="139"/>
      <c r="U71" s="140"/>
      <c r="V71" s="141" t="s">
        <v>595</v>
      </c>
      <c r="W71" s="139"/>
      <c r="X71" s="139"/>
      <c r="Y71" s="140"/>
    </row>
    <row r="72" spans="1:25" x14ac:dyDescent="0.25">
      <c r="A72" s="142" t="s">
        <v>240</v>
      </c>
      <c r="B72" s="138">
        <f>_xlfn.XLOOKUP(A72,'[2]FRV Output'!$B:$B,'[2]FRV Output'!$F:$F)</f>
        <v>1861513715</v>
      </c>
      <c r="C72" s="139">
        <v>3</v>
      </c>
      <c r="D72" s="139">
        <v>2016</v>
      </c>
      <c r="E72" s="140">
        <v>62568</v>
      </c>
      <c r="F72" s="141" t="s">
        <v>595</v>
      </c>
      <c r="G72" s="139">
        <v>3</v>
      </c>
      <c r="H72" s="139">
        <v>2019</v>
      </c>
      <c r="I72" s="140">
        <v>45941</v>
      </c>
      <c r="J72" s="141" t="s">
        <v>595</v>
      </c>
      <c r="K72" s="139">
        <v>3</v>
      </c>
      <c r="L72" s="139">
        <v>2020</v>
      </c>
      <c r="M72" s="140">
        <v>74488</v>
      </c>
      <c r="N72" s="141" t="s">
        <v>595</v>
      </c>
      <c r="O72" s="139">
        <v>3</v>
      </c>
      <c r="P72" s="139">
        <v>2021</v>
      </c>
      <c r="Q72" s="140">
        <v>491398</v>
      </c>
      <c r="R72" s="141" t="s">
        <v>595</v>
      </c>
      <c r="S72" s="139"/>
      <c r="T72" s="139"/>
      <c r="U72" s="140"/>
      <c r="V72" s="141" t="s">
        <v>595</v>
      </c>
      <c r="W72" s="139"/>
      <c r="X72" s="139"/>
      <c r="Y72" s="140"/>
    </row>
    <row r="73" spans="1:25" x14ac:dyDescent="0.25">
      <c r="A73" s="138" t="s">
        <v>241</v>
      </c>
      <c r="B73" s="138">
        <f>_xlfn.XLOOKUP(A73,'[2]FRV Output'!$B:$B,'[2]FRV Output'!$F:$F)</f>
        <v>1730209677</v>
      </c>
      <c r="C73" s="139">
        <v>3</v>
      </c>
      <c r="D73" s="139">
        <v>2016</v>
      </c>
      <c r="E73" s="140">
        <v>192571</v>
      </c>
      <c r="F73" s="141" t="s">
        <v>595</v>
      </c>
      <c r="G73" s="143">
        <v>3</v>
      </c>
      <c r="H73" s="143">
        <v>2020</v>
      </c>
      <c r="I73" s="144">
        <v>316695</v>
      </c>
      <c r="J73" s="141" t="s">
        <v>595</v>
      </c>
      <c r="K73" s="139"/>
      <c r="L73" s="139"/>
      <c r="M73" s="140"/>
      <c r="N73" s="141" t="s">
        <v>595</v>
      </c>
      <c r="O73" s="139"/>
      <c r="P73" s="139"/>
      <c r="Q73" s="140"/>
      <c r="R73" s="141" t="s">
        <v>595</v>
      </c>
      <c r="S73" s="139"/>
      <c r="T73" s="139"/>
      <c r="U73" s="140"/>
      <c r="V73" s="141" t="s">
        <v>595</v>
      </c>
      <c r="W73" s="139"/>
      <c r="X73" s="139"/>
      <c r="Y73" s="140"/>
    </row>
    <row r="74" spans="1:25" x14ac:dyDescent="0.25">
      <c r="A74" s="138" t="s">
        <v>242</v>
      </c>
      <c r="B74" s="138">
        <f>_xlfn.XLOOKUP(A74,'[2]FRV Output'!$B:$B,'[2]FRV Output'!$F:$F)</f>
        <v>1710008669</v>
      </c>
      <c r="C74" s="139">
        <v>3</v>
      </c>
      <c r="D74" s="139">
        <v>2016</v>
      </c>
      <c r="E74" s="140">
        <v>111991</v>
      </c>
      <c r="F74" s="141" t="s">
        <v>595</v>
      </c>
      <c r="G74" s="139"/>
      <c r="H74" s="139"/>
      <c r="I74" s="140"/>
      <c r="J74" s="141" t="s">
        <v>595</v>
      </c>
      <c r="K74" s="139"/>
      <c r="L74" s="139"/>
      <c r="M74" s="140"/>
      <c r="N74" s="141" t="s">
        <v>595</v>
      </c>
      <c r="O74" s="139"/>
      <c r="P74" s="139"/>
      <c r="Q74" s="140"/>
      <c r="R74" s="141" t="s">
        <v>595</v>
      </c>
      <c r="S74" s="139"/>
      <c r="T74" s="139"/>
      <c r="U74" s="140"/>
      <c r="V74" s="141" t="s">
        <v>595</v>
      </c>
      <c r="W74" s="139"/>
      <c r="X74" s="139"/>
      <c r="Y74" s="140"/>
    </row>
    <row r="75" spans="1:25" x14ac:dyDescent="0.25">
      <c r="A75" s="142" t="s">
        <v>243</v>
      </c>
      <c r="B75" s="138">
        <f>_xlfn.XLOOKUP(A75,'[2]FRV Output'!$B:$B,'[2]FRV Output'!$F:$F)</f>
        <v>1609996552</v>
      </c>
      <c r="C75" s="139">
        <v>3</v>
      </c>
      <c r="D75" s="139">
        <v>2016</v>
      </c>
      <c r="E75" s="140">
        <v>87523</v>
      </c>
      <c r="F75" s="141" t="s">
        <v>595</v>
      </c>
      <c r="G75" s="139">
        <v>3</v>
      </c>
      <c r="H75" s="139">
        <v>2019</v>
      </c>
      <c r="I75" s="140">
        <v>2097573.21</v>
      </c>
      <c r="J75" s="141" t="s">
        <v>595</v>
      </c>
      <c r="K75" s="139">
        <v>3</v>
      </c>
      <c r="L75" s="139">
        <v>2020</v>
      </c>
      <c r="M75" s="140">
        <v>1076206</v>
      </c>
      <c r="N75" s="141" t="s">
        <v>595</v>
      </c>
      <c r="O75" s="139"/>
      <c r="P75" s="139"/>
      <c r="Q75" s="140"/>
      <c r="R75" s="141" t="s">
        <v>595</v>
      </c>
      <c r="S75" s="139"/>
      <c r="T75" s="139"/>
      <c r="U75" s="140"/>
      <c r="V75" s="141" t="s">
        <v>595</v>
      </c>
      <c r="W75" s="139"/>
      <c r="X75" s="139"/>
      <c r="Y75" s="140"/>
    </row>
    <row r="76" spans="1:25" x14ac:dyDescent="0.25">
      <c r="A76" s="138" t="s">
        <v>244</v>
      </c>
      <c r="B76" s="138">
        <f>_xlfn.XLOOKUP(A76,'[2]FRV Output'!$B:$B,'[2]FRV Output'!$F:$F)</f>
        <v>1629198577</v>
      </c>
      <c r="C76" s="139">
        <v>3</v>
      </c>
      <c r="D76" s="139">
        <v>2016</v>
      </c>
      <c r="E76" s="140">
        <v>184624</v>
      </c>
      <c r="F76" s="141" t="s">
        <v>595</v>
      </c>
      <c r="G76" s="139">
        <v>3</v>
      </c>
      <c r="H76" s="139">
        <v>2017</v>
      </c>
      <c r="I76" s="140">
        <v>184147.05</v>
      </c>
      <c r="J76" s="141" t="s">
        <v>595</v>
      </c>
      <c r="K76" s="139">
        <v>3</v>
      </c>
      <c r="L76" s="139">
        <v>2020</v>
      </c>
      <c r="M76" s="140">
        <v>392684</v>
      </c>
      <c r="N76" s="141" t="s">
        <v>595</v>
      </c>
      <c r="O76" s="139">
        <v>3</v>
      </c>
      <c r="P76" s="139">
        <v>2021</v>
      </c>
      <c r="Q76" s="140">
        <v>83380</v>
      </c>
      <c r="R76" s="141" t="s">
        <v>595</v>
      </c>
      <c r="S76" s="139"/>
      <c r="T76" s="139"/>
      <c r="U76" s="140"/>
      <c r="V76" s="141" t="s">
        <v>595</v>
      </c>
      <c r="W76" s="139"/>
      <c r="X76" s="139"/>
      <c r="Y76" s="140"/>
    </row>
    <row r="77" spans="1:25" x14ac:dyDescent="0.25">
      <c r="A77" s="138" t="s">
        <v>245</v>
      </c>
      <c r="B77" s="138">
        <f>_xlfn.XLOOKUP(A77,'[2]FRV Output'!$B:$B,'[2]FRV Output'!$F:$F)</f>
        <v>1639299571</v>
      </c>
      <c r="C77" s="139">
        <v>3</v>
      </c>
      <c r="D77" s="139">
        <v>2016</v>
      </c>
      <c r="E77" s="140">
        <v>146870</v>
      </c>
      <c r="F77" s="141" t="s">
        <v>595</v>
      </c>
      <c r="G77" s="139">
        <v>3</v>
      </c>
      <c r="H77" s="139">
        <v>2017</v>
      </c>
      <c r="I77" s="140">
        <v>82593.22</v>
      </c>
      <c r="J77" s="141" t="s">
        <v>595</v>
      </c>
      <c r="K77" s="139">
        <v>3</v>
      </c>
      <c r="L77" s="139">
        <v>2020</v>
      </c>
      <c r="M77" s="140">
        <v>227234</v>
      </c>
      <c r="N77" s="141" t="s">
        <v>595</v>
      </c>
      <c r="O77" s="139">
        <v>3</v>
      </c>
      <c r="P77" s="139">
        <v>2021</v>
      </c>
      <c r="Q77" s="140">
        <v>228983</v>
      </c>
      <c r="R77" s="141" t="s">
        <v>595</v>
      </c>
      <c r="S77" s="139"/>
      <c r="T77" s="139"/>
      <c r="U77" s="140"/>
      <c r="V77" s="141" t="s">
        <v>595</v>
      </c>
      <c r="W77" s="139"/>
      <c r="X77" s="139"/>
      <c r="Y77" s="140"/>
    </row>
    <row r="78" spans="1:25" x14ac:dyDescent="0.25">
      <c r="A78" s="138" t="s">
        <v>246</v>
      </c>
      <c r="B78" s="138">
        <f>_xlfn.XLOOKUP(A78,'[2]FRV Output'!$B:$B,'[2]FRV Output'!$F:$F)</f>
        <v>1831219781</v>
      </c>
      <c r="C78" s="139">
        <v>3</v>
      </c>
      <c r="D78" s="139">
        <v>2016</v>
      </c>
      <c r="E78" s="140">
        <v>67121</v>
      </c>
      <c r="F78" s="141" t="s">
        <v>595</v>
      </c>
      <c r="G78" s="139">
        <v>3</v>
      </c>
      <c r="H78" s="139">
        <v>2017</v>
      </c>
      <c r="I78" s="140">
        <v>60392.480000000003</v>
      </c>
      <c r="J78" s="141" t="s">
        <v>595</v>
      </c>
      <c r="K78" s="139">
        <v>3</v>
      </c>
      <c r="L78" s="139">
        <v>2020</v>
      </c>
      <c r="M78" s="140">
        <v>50472</v>
      </c>
      <c r="N78" s="141" t="s">
        <v>595</v>
      </c>
      <c r="O78" s="139">
        <v>3</v>
      </c>
      <c r="P78" s="139">
        <v>2021</v>
      </c>
      <c r="Q78" s="140">
        <v>213346</v>
      </c>
      <c r="R78" s="141" t="s">
        <v>595</v>
      </c>
      <c r="S78" s="139"/>
      <c r="T78" s="139"/>
      <c r="U78" s="140"/>
      <c r="V78" s="141" t="s">
        <v>595</v>
      </c>
      <c r="W78" s="139"/>
      <c r="X78" s="139"/>
      <c r="Y78" s="140"/>
    </row>
    <row r="79" spans="1:25" x14ac:dyDescent="0.25">
      <c r="A79" s="138" t="s">
        <v>247</v>
      </c>
      <c r="B79" s="138">
        <f>_xlfn.XLOOKUP(A79,'[2]FRV Output'!$B:$B,'[2]FRV Output'!$F:$F)</f>
        <v>1518088830</v>
      </c>
      <c r="C79" s="139">
        <v>3</v>
      </c>
      <c r="D79" s="139">
        <v>2016</v>
      </c>
      <c r="E79" s="140">
        <v>195605</v>
      </c>
      <c r="F79" s="141" t="s">
        <v>595</v>
      </c>
      <c r="G79" s="139">
        <v>3</v>
      </c>
      <c r="H79" s="139">
        <v>2017</v>
      </c>
      <c r="I79" s="140">
        <v>174886.68</v>
      </c>
      <c r="J79" s="141" t="s">
        <v>595</v>
      </c>
      <c r="K79" s="139">
        <v>3</v>
      </c>
      <c r="L79" s="139">
        <v>2020</v>
      </c>
      <c r="M79" s="140">
        <v>81413</v>
      </c>
      <c r="N79" s="141" t="s">
        <v>595</v>
      </c>
      <c r="O79" s="139"/>
      <c r="P79" s="139"/>
      <c r="Q79" s="140"/>
      <c r="R79" s="141" t="s">
        <v>595</v>
      </c>
      <c r="S79" s="139"/>
      <c r="T79" s="139"/>
      <c r="U79" s="140"/>
      <c r="V79" s="141" t="s">
        <v>595</v>
      </c>
      <c r="W79" s="139"/>
      <c r="X79" s="139"/>
      <c r="Y79" s="140"/>
    </row>
    <row r="80" spans="1:25" x14ac:dyDescent="0.25">
      <c r="A80" s="138" t="s">
        <v>248</v>
      </c>
      <c r="B80" s="138">
        <f>_xlfn.XLOOKUP(A80,'[2]FRV Output'!$B:$B,'[2]FRV Output'!$F:$F)</f>
        <v>1740300607</v>
      </c>
      <c r="C80" s="139">
        <v>3</v>
      </c>
      <c r="D80" s="139">
        <v>2016</v>
      </c>
      <c r="E80" s="140">
        <v>358183</v>
      </c>
      <c r="F80" s="141" t="s">
        <v>595</v>
      </c>
      <c r="G80" s="139">
        <v>3</v>
      </c>
      <c r="H80" s="139">
        <v>2017</v>
      </c>
      <c r="I80" s="140">
        <v>186325.56</v>
      </c>
      <c r="J80" s="141" t="s">
        <v>595</v>
      </c>
      <c r="K80" s="139">
        <v>3</v>
      </c>
      <c r="L80" s="139">
        <v>2021</v>
      </c>
      <c r="M80" s="140">
        <v>57968</v>
      </c>
      <c r="N80" s="141" t="s">
        <v>595</v>
      </c>
      <c r="O80" s="139"/>
      <c r="P80" s="139"/>
      <c r="Q80" s="140"/>
      <c r="R80" s="141" t="s">
        <v>595</v>
      </c>
      <c r="S80" s="139"/>
      <c r="T80" s="139"/>
      <c r="U80" s="140"/>
      <c r="V80" s="141" t="s">
        <v>595</v>
      </c>
      <c r="W80" s="139"/>
      <c r="X80" s="139"/>
      <c r="Y80" s="140"/>
    </row>
    <row r="81" spans="1:25" x14ac:dyDescent="0.25">
      <c r="A81" s="138" t="s">
        <v>249</v>
      </c>
      <c r="B81" s="138">
        <f>_xlfn.XLOOKUP(A81,'[2]FRV Output'!$B:$B,'[2]FRV Output'!$F:$F)</f>
        <v>1134249006</v>
      </c>
      <c r="C81" s="139">
        <v>3</v>
      </c>
      <c r="D81" s="139">
        <v>2016</v>
      </c>
      <c r="E81" s="140">
        <v>81712</v>
      </c>
      <c r="F81" s="141" t="s">
        <v>595</v>
      </c>
      <c r="G81" s="139">
        <v>3</v>
      </c>
      <c r="H81" s="139">
        <v>2017</v>
      </c>
      <c r="I81" s="140">
        <v>56256.41</v>
      </c>
      <c r="J81" s="141" t="s">
        <v>595</v>
      </c>
      <c r="K81" s="139">
        <v>3</v>
      </c>
      <c r="L81" s="139">
        <v>2020</v>
      </c>
      <c r="M81" s="140">
        <v>95507</v>
      </c>
      <c r="N81" s="141" t="s">
        <v>595</v>
      </c>
      <c r="O81" s="139">
        <v>3</v>
      </c>
      <c r="P81" s="139">
        <v>2021</v>
      </c>
      <c r="Q81" s="140">
        <v>511980</v>
      </c>
      <c r="R81" s="141" t="s">
        <v>595</v>
      </c>
      <c r="S81" s="139"/>
      <c r="T81" s="139"/>
      <c r="U81" s="140"/>
      <c r="V81" s="141" t="s">
        <v>595</v>
      </c>
      <c r="W81" s="139"/>
      <c r="X81" s="139"/>
      <c r="Y81" s="140"/>
    </row>
    <row r="82" spans="1:25" x14ac:dyDescent="0.25">
      <c r="A82" s="138" t="s">
        <v>250</v>
      </c>
      <c r="B82" s="138">
        <f>_xlfn.XLOOKUP(A82,'[2]FRV Output'!$B:$B,'[2]FRV Output'!$F:$F)</f>
        <v>1740301050</v>
      </c>
      <c r="C82" s="139">
        <v>3</v>
      </c>
      <c r="D82" s="139">
        <v>2016</v>
      </c>
      <c r="E82" s="140">
        <v>59968</v>
      </c>
      <c r="F82" s="141" t="s">
        <v>595</v>
      </c>
      <c r="G82" s="139">
        <v>3</v>
      </c>
      <c r="H82" s="139">
        <v>2017</v>
      </c>
      <c r="I82" s="140">
        <v>73256.72</v>
      </c>
      <c r="J82" s="141" t="s">
        <v>595</v>
      </c>
      <c r="K82" s="139">
        <v>3</v>
      </c>
      <c r="L82" s="139">
        <v>2020</v>
      </c>
      <c r="M82" s="140">
        <v>143433</v>
      </c>
      <c r="N82" s="141" t="s">
        <v>595</v>
      </c>
      <c r="O82" s="139">
        <v>3</v>
      </c>
      <c r="P82" s="139">
        <v>2021</v>
      </c>
      <c r="Q82" s="140">
        <v>75381</v>
      </c>
      <c r="R82" s="141" t="s">
        <v>595</v>
      </c>
      <c r="S82" s="139"/>
      <c r="T82" s="139"/>
      <c r="U82" s="140"/>
      <c r="V82" s="141" t="s">
        <v>595</v>
      </c>
      <c r="W82" s="139"/>
      <c r="X82" s="139"/>
      <c r="Y82" s="140"/>
    </row>
    <row r="83" spans="1:25" x14ac:dyDescent="0.25">
      <c r="A83" s="138" t="s">
        <v>251</v>
      </c>
      <c r="B83" s="138">
        <f>_xlfn.XLOOKUP(A83,'[2]FRV Output'!$B:$B,'[2]FRV Output'!$F:$F)</f>
        <v>1326169285</v>
      </c>
      <c r="C83" s="139">
        <v>3</v>
      </c>
      <c r="D83" s="139">
        <v>2016</v>
      </c>
      <c r="E83" s="140">
        <v>102495</v>
      </c>
      <c r="F83" s="141" t="s">
        <v>595</v>
      </c>
      <c r="G83" s="139"/>
      <c r="H83" s="139"/>
      <c r="I83" s="140"/>
      <c r="J83" s="141" t="s">
        <v>595</v>
      </c>
      <c r="K83" s="139"/>
      <c r="L83" s="139"/>
      <c r="M83" s="140"/>
      <c r="N83" s="141" t="s">
        <v>595</v>
      </c>
      <c r="O83" s="139"/>
      <c r="P83" s="139"/>
      <c r="Q83" s="140"/>
      <c r="R83" s="141" t="s">
        <v>595</v>
      </c>
      <c r="S83" s="139"/>
      <c r="T83" s="139"/>
      <c r="U83" s="140"/>
      <c r="V83" s="141" t="s">
        <v>595</v>
      </c>
      <c r="W83" s="139"/>
      <c r="X83" s="139"/>
      <c r="Y83" s="140"/>
    </row>
    <row r="84" spans="1:25" x14ac:dyDescent="0.25">
      <c r="A84" s="142" t="s">
        <v>252</v>
      </c>
      <c r="B84" s="138">
        <f>_xlfn.XLOOKUP(A84,'[2]FRV Output'!$B:$B,'[2]FRV Output'!$F:$F)</f>
        <v>1578683439</v>
      </c>
      <c r="C84" s="139">
        <v>3</v>
      </c>
      <c r="D84" s="139">
        <v>2016</v>
      </c>
      <c r="E84" s="140">
        <v>98658</v>
      </c>
      <c r="F84" s="141" t="s">
        <v>595</v>
      </c>
      <c r="G84" s="139">
        <v>3</v>
      </c>
      <c r="H84" s="139">
        <v>2017</v>
      </c>
      <c r="I84" s="140">
        <v>83773.03</v>
      </c>
      <c r="J84" s="141" t="s">
        <v>595</v>
      </c>
      <c r="K84" s="139">
        <v>3</v>
      </c>
      <c r="L84" s="139">
        <v>2019</v>
      </c>
      <c r="M84" s="140">
        <v>113005</v>
      </c>
      <c r="N84" s="141" t="s">
        <v>595</v>
      </c>
      <c r="O84" s="139">
        <v>3</v>
      </c>
      <c r="P84" s="139">
        <v>2020</v>
      </c>
      <c r="Q84" s="140">
        <v>172971</v>
      </c>
      <c r="R84" s="141" t="s">
        <v>595</v>
      </c>
      <c r="S84" s="139">
        <v>3</v>
      </c>
      <c r="T84" s="139">
        <v>2021</v>
      </c>
      <c r="U84" s="140">
        <v>103049</v>
      </c>
      <c r="V84" s="141" t="s">
        <v>595</v>
      </c>
      <c r="W84" s="139"/>
      <c r="X84" s="139"/>
      <c r="Y84" s="140"/>
    </row>
    <row r="85" spans="1:25" x14ac:dyDescent="0.25">
      <c r="A85" s="138" t="s">
        <v>253</v>
      </c>
      <c r="B85" s="138">
        <f>_xlfn.XLOOKUP(A85,'[2]FRV Output'!$B:$B,'[2]FRV Output'!$F:$F)</f>
        <v>1235236878</v>
      </c>
      <c r="C85" s="139">
        <v>3</v>
      </c>
      <c r="D85" s="139">
        <v>2016</v>
      </c>
      <c r="E85" s="140">
        <v>60216</v>
      </c>
      <c r="F85" s="141" t="s">
        <v>595</v>
      </c>
      <c r="G85" s="139"/>
      <c r="H85" s="139"/>
      <c r="I85" s="140"/>
      <c r="J85" s="141" t="s">
        <v>595</v>
      </c>
      <c r="K85" s="139"/>
      <c r="L85" s="139"/>
      <c r="M85" s="140"/>
      <c r="N85" s="141" t="s">
        <v>595</v>
      </c>
      <c r="O85" s="139"/>
      <c r="P85" s="139"/>
      <c r="Q85" s="140"/>
      <c r="R85" s="141" t="s">
        <v>595</v>
      </c>
      <c r="S85" s="139"/>
      <c r="T85" s="139"/>
      <c r="U85" s="140"/>
      <c r="V85" s="141" t="s">
        <v>595</v>
      </c>
      <c r="W85" s="139"/>
      <c r="X85" s="139"/>
      <c r="Y85" s="140"/>
    </row>
    <row r="86" spans="1:25" x14ac:dyDescent="0.25">
      <c r="A86" s="138" t="s">
        <v>254</v>
      </c>
      <c r="B86" s="138">
        <f>_xlfn.XLOOKUP(A86,'[2]FRV Output'!$B:$B,'[2]FRV Output'!$F:$F)</f>
        <v>1295723377</v>
      </c>
      <c r="C86" s="139"/>
      <c r="D86" s="139"/>
      <c r="E86" s="140"/>
      <c r="F86" s="141" t="s">
        <v>595</v>
      </c>
      <c r="G86" s="139"/>
      <c r="H86" s="139"/>
      <c r="I86" s="140"/>
      <c r="J86" s="141" t="s">
        <v>595</v>
      </c>
      <c r="K86" s="139"/>
      <c r="L86" s="139"/>
      <c r="M86" s="140"/>
      <c r="N86" s="141" t="s">
        <v>595</v>
      </c>
      <c r="O86" s="139"/>
      <c r="P86" s="139"/>
      <c r="Q86" s="140"/>
      <c r="R86" s="141" t="s">
        <v>595</v>
      </c>
      <c r="S86" s="139"/>
      <c r="T86" s="139"/>
      <c r="U86" s="140"/>
      <c r="V86" s="141" t="s">
        <v>595</v>
      </c>
      <c r="W86" s="139"/>
      <c r="X86" s="139"/>
      <c r="Y86" s="140"/>
    </row>
    <row r="87" spans="1:25" x14ac:dyDescent="0.25">
      <c r="A87" s="138" t="s">
        <v>255</v>
      </c>
      <c r="B87" s="138">
        <f>_xlfn.XLOOKUP(A87,'[2]FRV Output'!$B:$B,'[2]FRV Output'!$F:$F)</f>
        <v>1952446510</v>
      </c>
      <c r="C87" s="139">
        <v>3</v>
      </c>
      <c r="D87" s="139">
        <v>2020</v>
      </c>
      <c r="E87" s="140">
        <v>595264</v>
      </c>
      <c r="F87" s="141" t="s">
        <v>595</v>
      </c>
      <c r="G87" s="139"/>
      <c r="H87" s="139"/>
      <c r="I87" s="140"/>
      <c r="J87" s="141" t="s">
        <v>595</v>
      </c>
      <c r="K87" s="139"/>
      <c r="L87" s="139"/>
      <c r="M87" s="140"/>
      <c r="N87" s="141" t="s">
        <v>595</v>
      </c>
      <c r="O87" s="139"/>
      <c r="P87" s="139"/>
      <c r="Q87" s="140"/>
      <c r="R87" s="141" t="s">
        <v>595</v>
      </c>
      <c r="S87" s="139"/>
      <c r="T87" s="139"/>
      <c r="U87" s="140"/>
      <c r="V87" s="141" t="s">
        <v>595</v>
      </c>
      <c r="W87" s="139"/>
      <c r="X87" s="139"/>
      <c r="Y87" s="140"/>
    </row>
    <row r="88" spans="1:25" x14ac:dyDescent="0.25">
      <c r="A88" s="142" t="s">
        <v>658</v>
      </c>
      <c r="B88" s="138">
        <f>_xlfn.XLOOKUP(A88,'[2]FRV Output'!$B:$B,'[2]FRV Output'!$F:$F)</f>
        <v>1558872333</v>
      </c>
      <c r="C88" s="139">
        <v>3</v>
      </c>
      <c r="D88" s="139">
        <v>2019</v>
      </c>
      <c r="E88" s="140">
        <v>63998</v>
      </c>
      <c r="F88" s="148" t="s">
        <v>595</v>
      </c>
      <c r="G88" s="139">
        <v>3</v>
      </c>
      <c r="H88" s="139">
        <v>2021</v>
      </c>
      <c r="I88" s="140">
        <v>64660</v>
      </c>
      <c r="J88" s="148" t="s">
        <v>595</v>
      </c>
      <c r="K88" s="139"/>
      <c r="L88" s="139"/>
      <c r="M88" s="140"/>
      <c r="N88" s="148" t="s">
        <v>595</v>
      </c>
      <c r="O88" s="139"/>
      <c r="P88" s="139"/>
      <c r="Q88" s="140"/>
      <c r="R88" s="148" t="s">
        <v>595</v>
      </c>
      <c r="S88" s="139"/>
      <c r="T88" s="139"/>
      <c r="U88" s="140"/>
      <c r="V88" s="141" t="s">
        <v>595</v>
      </c>
      <c r="W88" s="139"/>
      <c r="X88" s="139"/>
      <c r="Y88" s="140"/>
    </row>
    <row r="89" spans="1:25" x14ac:dyDescent="0.25">
      <c r="A89" s="142" t="s">
        <v>659</v>
      </c>
      <c r="B89" s="138">
        <f>_xlfn.XLOOKUP(A89,'[2]FRV Output'!$B:$B,'[2]FRV Output'!$F:$F)</f>
        <v>1306372230</v>
      </c>
      <c r="C89" s="139"/>
      <c r="D89" s="139"/>
      <c r="E89" s="140"/>
      <c r="F89" s="141" t="s">
        <v>595</v>
      </c>
      <c r="G89" s="139"/>
      <c r="H89" s="139"/>
      <c r="I89" s="140"/>
      <c r="J89" s="141" t="s">
        <v>595</v>
      </c>
      <c r="K89" s="139"/>
      <c r="L89" s="139"/>
      <c r="M89" s="140"/>
      <c r="N89" s="141" t="s">
        <v>595</v>
      </c>
      <c r="O89" s="139"/>
      <c r="P89" s="139"/>
      <c r="Q89" s="140"/>
      <c r="R89" s="141" t="s">
        <v>595</v>
      </c>
      <c r="S89" s="139"/>
      <c r="T89" s="139"/>
      <c r="U89" s="140"/>
      <c r="V89" s="141" t="s">
        <v>595</v>
      </c>
      <c r="W89" s="139"/>
      <c r="X89" s="139"/>
      <c r="Y89" s="140"/>
    </row>
    <row r="90" spans="1:25" x14ac:dyDescent="0.25">
      <c r="A90" s="142" t="s">
        <v>660</v>
      </c>
      <c r="B90" s="138">
        <f>_xlfn.XLOOKUP(A90,'[2]FRV Output'!$B:$B,'[2]FRV Output'!$F:$F)</f>
        <v>1255385720</v>
      </c>
      <c r="C90" s="139">
        <v>3</v>
      </c>
      <c r="D90" s="139">
        <v>2016</v>
      </c>
      <c r="E90" s="140">
        <v>459359</v>
      </c>
      <c r="F90" s="141" t="s">
        <v>595</v>
      </c>
      <c r="G90" s="139">
        <v>3</v>
      </c>
      <c r="H90" s="139">
        <v>2019</v>
      </c>
      <c r="I90" s="140">
        <v>148877</v>
      </c>
      <c r="J90" s="141" t="s">
        <v>595</v>
      </c>
      <c r="K90" s="139">
        <v>3</v>
      </c>
      <c r="L90" s="139">
        <v>2020</v>
      </c>
      <c r="M90" s="140">
        <v>72944</v>
      </c>
      <c r="N90" s="141" t="s">
        <v>595</v>
      </c>
      <c r="O90" s="139">
        <v>3</v>
      </c>
      <c r="P90" s="139">
        <v>2021</v>
      </c>
      <c r="Q90" s="140">
        <v>390310</v>
      </c>
      <c r="R90" s="141" t="s">
        <v>595</v>
      </c>
      <c r="S90" s="139"/>
      <c r="T90" s="139"/>
      <c r="U90" s="140"/>
      <c r="V90" s="141" t="s">
        <v>595</v>
      </c>
      <c r="W90" s="139"/>
      <c r="X90" s="139"/>
      <c r="Y90" s="140"/>
    </row>
    <row r="91" spans="1:25" x14ac:dyDescent="0.25">
      <c r="A91" s="138" t="s">
        <v>259</v>
      </c>
      <c r="B91" s="138">
        <f>_xlfn.XLOOKUP(A91,'[2]FRV Output'!$B:$B,'[2]FRV Output'!$F:$F)</f>
        <v>1336196526</v>
      </c>
      <c r="C91" s="139">
        <v>3</v>
      </c>
      <c r="D91" s="139">
        <v>2016</v>
      </c>
      <c r="E91" s="140">
        <v>34270</v>
      </c>
      <c r="F91" s="141" t="s">
        <v>595</v>
      </c>
      <c r="G91" s="139">
        <v>3</v>
      </c>
      <c r="H91" s="139">
        <v>2017</v>
      </c>
      <c r="I91" s="140">
        <v>134169</v>
      </c>
      <c r="J91" s="141" t="s">
        <v>595</v>
      </c>
      <c r="K91" s="139">
        <v>3</v>
      </c>
      <c r="L91" s="139">
        <v>2018</v>
      </c>
      <c r="M91" s="140">
        <v>36294</v>
      </c>
      <c r="N91" s="141" t="s">
        <v>595</v>
      </c>
      <c r="O91" s="139">
        <v>3</v>
      </c>
      <c r="P91" s="139">
        <v>2021</v>
      </c>
      <c r="Q91" s="140">
        <v>62022</v>
      </c>
      <c r="R91" s="141" t="s">
        <v>595</v>
      </c>
      <c r="S91" s="139"/>
      <c r="T91" s="139"/>
      <c r="U91" s="140"/>
      <c r="V91" s="141" t="s">
        <v>595</v>
      </c>
      <c r="W91" s="139"/>
      <c r="X91" s="139"/>
      <c r="Y91" s="140"/>
    </row>
    <row r="92" spans="1:25" x14ac:dyDescent="0.25">
      <c r="A92" s="142" t="s">
        <v>661</v>
      </c>
      <c r="B92" s="138">
        <f>_xlfn.XLOOKUP(A92,'[2]FRV Output'!$B:$B,'[2]FRV Output'!$F:$F)</f>
        <v>1295279594</v>
      </c>
      <c r="C92" s="139">
        <v>3</v>
      </c>
      <c r="D92" s="139">
        <v>2017</v>
      </c>
      <c r="E92" s="140">
        <v>1011097</v>
      </c>
      <c r="F92" s="141" t="s">
        <v>595</v>
      </c>
      <c r="G92" s="139">
        <v>3</v>
      </c>
      <c r="H92" s="139">
        <v>2019</v>
      </c>
      <c r="I92" s="140">
        <v>639225</v>
      </c>
      <c r="J92" s="141" t="s">
        <v>595</v>
      </c>
      <c r="K92" s="139"/>
      <c r="L92" s="139"/>
      <c r="M92" s="140"/>
      <c r="N92" s="141" t="s">
        <v>595</v>
      </c>
      <c r="O92" s="139"/>
      <c r="P92" s="139"/>
      <c r="Q92" s="140"/>
      <c r="R92" s="141" t="s">
        <v>595</v>
      </c>
      <c r="S92" s="139"/>
      <c r="T92" s="139"/>
      <c r="U92" s="140"/>
      <c r="V92" s="141" t="s">
        <v>595</v>
      </c>
      <c r="W92" s="139"/>
      <c r="X92" s="139"/>
      <c r="Y92" s="140"/>
    </row>
    <row r="93" spans="1:25" x14ac:dyDescent="0.25">
      <c r="A93" s="142" t="s">
        <v>662</v>
      </c>
      <c r="B93" s="138">
        <f>_xlfn.XLOOKUP(A93,'[2]FRV Output'!$B:$B,'[2]FRV Output'!$F:$F)</f>
        <v>1225524747</v>
      </c>
      <c r="C93" s="139">
        <v>3</v>
      </c>
      <c r="D93" s="139">
        <v>2018</v>
      </c>
      <c r="E93" s="140">
        <v>61789</v>
      </c>
      <c r="F93" s="141" t="s">
        <v>595</v>
      </c>
      <c r="G93" s="139">
        <v>3</v>
      </c>
      <c r="H93" s="139">
        <v>2019</v>
      </c>
      <c r="I93" s="140">
        <v>257502</v>
      </c>
      <c r="J93" s="141" t="s">
        <v>595</v>
      </c>
      <c r="K93" s="139">
        <v>3</v>
      </c>
      <c r="L93" s="139">
        <v>2020</v>
      </c>
      <c r="M93" s="140">
        <v>418967</v>
      </c>
      <c r="N93" s="141" t="s">
        <v>595</v>
      </c>
      <c r="O93" s="139">
        <v>3</v>
      </c>
      <c r="P93" s="139">
        <v>2021</v>
      </c>
      <c r="Q93" s="140">
        <v>1065483</v>
      </c>
      <c r="R93" s="141" t="s">
        <v>595</v>
      </c>
      <c r="S93" s="139"/>
      <c r="T93" s="139"/>
      <c r="U93" s="140"/>
      <c r="V93" s="141" t="s">
        <v>595</v>
      </c>
      <c r="W93" s="139"/>
      <c r="X93" s="139"/>
      <c r="Y93" s="140"/>
    </row>
    <row r="94" spans="1:25" x14ac:dyDescent="0.25">
      <c r="A94" s="142" t="s">
        <v>263</v>
      </c>
      <c r="B94" s="138">
        <f>_xlfn.XLOOKUP(A94,'[2]FRV Output'!$B:$B,'[2]FRV Output'!$F:$F)</f>
        <v>1215400668</v>
      </c>
      <c r="C94" s="139">
        <v>3</v>
      </c>
      <c r="D94" s="139">
        <v>2017</v>
      </c>
      <c r="E94" s="140">
        <v>81483.56</v>
      </c>
      <c r="F94" s="141" t="s">
        <v>595</v>
      </c>
      <c r="G94" s="139">
        <v>3</v>
      </c>
      <c r="H94" s="139">
        <v>2019</v>
      </c>
      <c r="I94" s="140">
        <v>167841</v>
      </c>
      <c r="J94" s="141" t="s">
        <v>595</v>
      </c>
      <c r="K94" s="139">
        <v>3</v>
      </c>
      <c r="L94" s="139">
        <v>2020</v>
      </c>
      <c r="M94" s="140">
        <v>1056046</v>
      </c>
      <c r="N94" s="141" t="s">
        <v>595</v>
      </c>
      <c r="O94" s="139">
        <v>3</v>
      </c>
      <c r="P94" s="139">
        <v>2021</v>
      </c>
      <c r="Q94" s="140">
        <v>930246</v>
      </c>
      <c r="R94" s="141" t="s">
        <v>595</v>
      </c>
      <c r="S94" s="139"/>
      <c r="T94" s="139"/>
      <c r="U94" s="140"/>
      <c r="V94" s="141" t="s">
        <v>595</v>
      </c>
      <c r="W94" s="139"/>
      <c r="X94" s="139"/>
      <c r="Y94" s="140"/>
    </row>
    <row r="95" spans="1:25" x14ac:dyDescent="0.25">
      <c r="A95" s="142" t="s">
        <v>264</v>
      </c>
      <c r="B95" s="138">
        <f>_xlfn.XLOOKUP(A95,'[2]FRV Output'!$B:$B,'[2]FRV Output'!$F:$F)</f>
        <v>1144804485</v>
      </c>
      <c r="C95" s="139">
        <v>3</v>
      </c>
      <c r="D95" s="139">
        <v>2016</v>
      </c>
      <c r="E95" s="140">
        <v>555672</v>
      </c>
      <c r="F95" s="141" t="s">
        <v>595</v>
      </c>
      <c r="G95" s="139">
        <v>3</v>
      </c>
      <c r="H95" s="139">
        <v>2017</v>
      </c>
      <c r="I95" s="140">
        <v>48081</v>
      </c>
      <c r="J95" s="141" t="s">
        <v>595</v>
      </c>
      <c r="K95" s="139">
        <v>3</v>
      </c>
      <c r="L95" s="139">
        <v>2018</v>
      </c>
      <c r="M95" s="140">
        <v>205071</v>
      </c>
      <c r="N95" s="141" t="s">
        <v>595</v>
      </c>
      <c r="O95" s="139">
        <v>3</v>
      </c>
      <c r="P95" s="139">
        <v>2019</v>
      </c>
      <c r="Q95" s="140">
        <v>154675</v>
      </c>
      <c r="R95" s="141" t="s">
        <v>595</v>
      </c>
      <c r="S95" s="139">
        <v>3</v>
      </c>
      <c r="T95" s="139">
        <v>2020</v>
      </c>
      <c r="U95" s="140">
        <v>148297</v>
      </c>
      <c r="V95" s="141" t="s">
        <v>595</v>
      </c>
      <c r="W95" s="139"/>
      <c r="X95" s="139"/>
      <c r="Y95" s="140"/>
    </row>
    <row r="96" spans="1:25" x14ac:dyDescent="0.25">
      <c r="A96" s="142" t="s">
        <v>663</v>
      </c>
      <c r="B96" s="138">
        <f>_xlfn.XLOOKUP(A96,'[2]FRV Output'!$B:$B,'[2]FRV Output'!$F:$F)</f>
        <v>1114501459</v>
      </c>
      <c r="C96" s="139">
        <v>3</v>
      </c>
      <c r="D96" s="139">
        <v>2016</v>
      </c>
      <c r="E96" s="140">
        <v>154485</v>
      </c>
      <c r="F96" s="141" t="s">
        <v>595</v>
      </c>
      <c r="G96" s="139">
        <v>3</v>
      </c>
      <c r="H96" s="139">
        <v>2017</v>
      </c>
      <c r="I96" s="140">
        <v>90443</v>
      </c>
      <c r="J96" s="141" t="s">
        <v>595</v>
      </c>
      <c r="K96" s="139">
        <v>3</v>
      </c>
      <c r="L96" s="139">
        <v>2018</v>
      </c>
      <c r="M96" s="140">
        <v>205155</v>
      </c>
      <c r="N96" s="141" t="s">
        <v>595</v>
      </c>
      <c r="O96" s="139">
        <v>3</v>
      </c>
      <c r="P96" s="139">
        <v>2019</v>
      </c>
      <c r="Q96" s="140">
        <v>313608</v>
      </c>
      <c r="R96" s="141" t="s">
        <v>595</v>
      </c>
      <c r="S96" s="139">
        <v>3</v>
      </c>
      <c r="T96" s="139">
        <v>2020</v>
      </c>
      <c r="U96" s="140">
        <v>230327</v>
      </c>
      <c r="V96" s="141" t="s">
        <v>595</v>
      </c>
      <c r="W96" s="139">
        <v>3</v>
      </c>
      <c r="X96" s="139">
        <v>2021</v>
      </c>
      <c r="Y96" s="140">
        <v>579779</v>
      </c>
    </row>
    <row r="97" spans="1:25" x14ac:dyDescent="0.25">
      <c r="A97" s="142" t="s">
        <v>664</v>
      </c>
      <c r="B97" s="138">
        <f>_xlfn.XLOOKUP(A97,'[2]FRV Output'!$B:$B,'[2]FRV Output'!$F:$F)</f>
        <v>1558393835</v>
      </c>
      <c r="C97" s="139">
        <v>3</v>
      </c>
      <c r="D97" s="139">
        <v>2019</v>
      </c>
      <c r="E97" s="140">
        <v>108829</v>
      </c>
      <c r="F97" s="141" t="s">
        <v>595</v>
      </c>
      <c r="G97" s="139">
        <v>3</v>
      </c>
      <c r="H97" s="139">
        <v>2020</v>
      </c>
      <c r="I97" s="140">
        <v>310408</v>
      </c>
      <c r="J97" s="141" t="s">
        <v>595</v>
      </c>
      <c r="K97" s="139">
        <v>3</v>
      </c>
      <c r="L97" s="139">
        <v>2021</v>
      </c>
      <c r="M97" s="140">
        <v>496517</v>
      </c>
      <c r="N97" s="141" t="s">
        <v>595</v>
      </c>
      <c r="O97" s="139"/>
      <c r="P97" s="139"/>
      <c r="Q97" s="140"/>
      <c r="R97" s="141" t="s">
        <v>595</v>
      </c>
      <c r="S97" s="139"/>
      <c r="T97" s="139"/>
      <c r="U97" s="140"/>
      <c r="V97" s="141" t="s">
        <v>595</v>
      </c>
      <c r="W97" s="139"/>
      <c r="X97" s="139"/>
      <c r="Y97" s="140"/>
    </row>
    <row r="98" spans="1:25" x14ac:dyDescent="0.25">
      <c r="A98" s="138" t="s">
        <v>266</v>
      </c>
      <c r="B98" s="138">
        <f>_xlfn.XLOOKUP(A98,'[2]FRV Output'!$B:$B,'[2]FRV Output'!$F:$F)</f>
        <v>1083711626</v>
      </c>
      <c r="C98" s="139">
        <v>3</v>
      </c>
      <c r="D98" s="139">
        <v>2016</v>
      </c>
      <c r="E98" s="140">
        <v>717449</v>
      </c>
      <c r="F98" s="141" t="s">
        <v>595</v>
      </c>
      <c r="G98" s="139"/>
      <c r="H98" s="139"/>
      <c r="I98" s="140"/>
      <c r="J98" s="141" t="s">
        <v>595</v>
      </c>
      <c r="K98" s="139"/>
      <c r="L98" s="139"/>
      <c r="M98" s="140"/>
      <c r="N98" s="141" t="s">
        <v>595</v>
      </c>
      <c r="O98" s="139"/>
      <c r="P98" s="139"/>
      <c r="Q98" s="140"/>
      <c r="R98" s="141" t="s">
        <v>595</v>
      </c>
      <c r="S98" s="139"/>
      <c r="T98" s="139"/>
      <c r="U98" s="140"/>
      <c r="V98" s="141" t="s">
        <v>595</v>
      </c>
      <c r="W98" s="139"/>
      <c r="X98" s="139"/>
      <c r="Y98" s="140"/>
    </row>
    <row r="99" spans="1:25" x14ac:dyDescent="0.25">
      <c r="A99" s="138" t="s">
        <v>267</v>
      </c>
      <c r="B99" s="138">
        <f>_xlfn.XLOOKUP(A99,'[2]FRV Output'!$B:$B,'[2]FRV Output'!$F:$F)</f>
        <v>1669821336</v>
      </c>
      <c r="C99" s="139"/>
      <c r="D99" s="139"/>
      <c r="E99" s="140"/>
      <c r="F99" s="141" t="s">
        <v>595</v>
      </c>
      <c r="G99" s="139"/>
      <c r="H99" s="139"/>
      <c r="I99" s="140"/>
      <c r="J99" s="141" t="s">
        <v>595</v>
      </c>
      <c r="K99" s="139"/>
      <c r="L99" s="139"/>
      <c r="M99" s="140"/>
      <c r="N99" s="141" t="s">
        <v>595</v>
      </c>
      <c r="O99" s="139"/>
      <c r="P99" s="139"/>
      <c r="Q99" s="140"/>
      <c r="R99" s="141" t="s">
        <v>595</v>
      </c>
      <c r="S99" s="139"/>
      <c r="T99" s="139"/>
      <c r="U99" s="140"/>
      <c r="V99" s="141" t="s">
        <v>595</v>
      </c>
      <c r="W99" s="139"/>
      <c r="X99" s="139"/>
      <c r="Y99" s="140"/>
    </row>
    <row r="100" spans="1:25" x14ac:dyDescent="0.25">
      <c r="A100" s="138" t="s">
        <v>268</v>
      </c>
      <c r="B100" s="138">
        <f>_xlfn.XLOOKUP(A100,'[2]FRV Output'!$B:$B,'[2]FRV Output'!$F:$F)</f>
        <v>1083661193</v>
      </c>
      <c r="C100" s="139">
        <v>3</v>
      </c>
      <c r="D100" s="139">
        <v>2016</v>
      </c>
      <c r="E100" s="140">
        <v>677774</v>
      </c>
      <c r="F100" s="141" t="s">
        <v>595</v>
      </c>
      <c r="G100" s="139">
        <v>3</v>
      </c>
      <c r="H100" s="139">
        <v>2017</v>
      </c>
      <c r="I100" s="140">
        <v>112928</v>
      </c>
      <c r="J100" s="141" t="s">
        <v>595</v>
      </c>
      <c r="K100" s="139">
        <v>3</v>
      </c>
      <c r="L100" s="139">
        <v>2020</v>
      </c>
      <c r="M100" s="140">
        <v>65666</v>
      </c>
      <c r="N100" s="141" t="s">
        <v>595</v>
      </c>
      <c r="O100" s="139">
        <v>3</v>
      </c>
      <c r="P100" s="139">
        <v>2021</v>
      </c>
      <c r="Q100" s="140">
        <v>78781</v>
      </c>
      <c r="R100" s="141" t="s">
        <v>595</v>
      </c>
      <c r="S100" s="139"/>
      <c r="T100" s="139"/>
      <c r="U100" s="140"/>
      <c r="V100" s="141" t="s">
        <v>595</v>
      </c>
      <c r="W100" s="139"/>
      <c r="X100" s="139"/>
      <c r="Y100" s="140"/>
    </row>
    <row r="101" spans="1:25" x14ac:dyDescent="0.25">
      <c r="A101" s="142" t="s">
        <v>269</v>
      </c>
      <c r="B101" s="138">
        <f>_xlfn.XLOOKUP(A101,'[2]FRV Output'!$B:$B,'[2]FRV Output'!$F:$F)</f>
        <v>1336118298</v>
      </c>
      <c r="C101" s="139">
        <v>3</v>
      </c>
      <c r="D101" s="139">
        <v>2018</v>
      </c>
      <c r="E101" s="140">
        <v>61519</v>
      </c>
      <c r="F101" s="141" t="s">
        <v>595</v>
      </c>
      <c r="G101" s="139">
        <v>3</v>
      </c>
      <c r="H101" s="139">
        <v>2019</v>
      </c>
      <c r="I101" s="140">
        <v>70638</v>
      </c>
      <c r="J101" s="141" t="s">
        <v>595</v>
      </c>
      <c r="K101" s="139">
        <v>3</v>
      </c>
      <c r="L101" s="139">
        <v>2020</v>
      </c>
      <c r="M101" s="140">
        <v>79602</v>
      </c>
      <c r="N101" s="141" t="s">
        <v>595</v>
      </c>
      <c r="O101" s="139">
        <v>3</v>
      </c>
      <c r="P101" s="139">
        <v>2021</v>
      </c>
      <c r="Q101" s="140">
        <v>83508</v>
      </c>
      <c r="R101" s="141" t="s">
        <v>595</v>
      </c>
      <c r="S101" s="139"/>
      <c r="T101" s="139"/>
      <c r="U101" s="140"/>
      <c r="V101" s="141" t="s">
        <v>595</v>
      </c>
      <c r="W101" s="139"/>
      <c r="X101" s="139"/>
      <c r="Y101" s="140"/>
    </row>
    <row r="102" spans="1:25" x14ac:dyDescent="0.25">
      <c r="A102" s="142" t="s">
        <v>270</v>
      </c>
      <c r="B102" s="138">
        <f>_xlfn.XLOOKUP(A102,'[2]FRV Output'!$B:$B,'[2]FRV Output'!$F:$F)</f>
        <v>1194309336</v>
      </c>
      <c r="C102" s="139">
        <v>3</v>
      </c>
      <c r="D102" s="139">
        <v>2016</v>
      </c>
      <c r="E102" s="140">
        <v>76124</v>
      </c>
      <c r="F102" s="141" t="s">
        <v>595</v>
      </c>
      <c r="G102" s="139">
        <v>1</v>
      </c>
      <c r="H102" s="139">
        <v>2016</v>
      </c>
      <c r="I102" s="140">
        <v>-30</v>
      </c>
      <c r="J102" s="141" t="s">
        <v>595</v>
      </c>
      <c r="K102" s="139">
        <v>3</v>
      </c>
      <c r="L102" s="139">
        <v>2017</v>
      </c>
      <c r="M102" s="140">
        <v>579710</v>
      </c>
      <c r="N102" s="141" t="s">
        <v>595</v>
      </c>
      <c r="O102" s="139">
        <v>3</v>
      </c>
      <c r="P102" s="139">
        <v>2018</v>
      </c>
      <c r="Q102" s="140">
        <v>64517</v>
      </c>
      <c r="R102" s="141" t="s">
        <v>595</v>
      </c>
      <c r="S102" s="139">
        <v>3</v>
      </c>
      <c r="T102" s="139">
        <v>2019</v>
      </c>
      <c r="U102" s="140">
        <v>135887</v>
      </c>
      <c r="V102" s="141" t="s">
        <v>595</v>
      </c>
      <c r="W102" s="139">
        <v>3</v>
      </c>
      <c r="X102" s="139">
        <v>2020</v>
      </c>
      <c r="Y102" s="140">
        <v>73013</v>
      </c>
    </row>
    <row r="103" spans="1:25" x14ac:dyDescent="0.25">
      <c r="A103" s="142" t="s">
        <v>665</v>
      </c>
      <c r="B103" s="138">
        <f>_xlfn.XLOOKUP(A103,'[2]FRV Output'!$B:$B,'[2]FRV Output'!$F:$F)</f>
        <v>1699710293</v>
      </c>
      <c r="C103" s="139">
        <v>3</v>
      </c>
      <c r="D103" s="139">
        <v>2016</v>
      </c>
      <c r="E103" s="140">
        <v>61350</v>
      </c>
      <c r="F103" s="141" t="s">
        <v>595</v>
      </c>
      <c r="G103" s="139">
        <v>3</v>
      </c>
      <c r="H103" s="139">
        <v>2019</v>
      </c>
      <c r="I103" s="140">
        <v>62912</v>
      </c>
      <c r="J103" s="141" t="s">
        <v>595</v>
      </c>
      <c r="K103" s="139">
        <v>3</v>
      </c>
      <c r="L103" s="139">
        <v>2020</v>
      </c>
      <c r="M103" s="140">
        <v>370277</v>
      </c>
      <c r="N103" s="141" t="s">
        <v>595</v>
      </c>
      <c r="O103" s="139">
        <v>3</v>
      </c>
      <c r="P103" s="139">
        <v>2021</v>
      </c>
      <c r="Q103" s="140">
        <v>140784</v>
      </c>
      <c r="R103" s="141" t="s">
        <v>595</v>
      </c>
      <c r="S103" s="139"/>
      <c r="T103" s="139"/>
      <c r="U103" s="140"/>
      <c r="V103" s="141" t="s">
        <v>595</v>
      </c>
      <c r="W103" s="139"/>
      <c r="X103" s="139"/>
      <c r="Y103" s="140"/>
    </row>
    <row r="104" spans="1:25" x14ac:dyDescent="0.25">
      <c r="A104" s="138" t="s">
        <v>666</v>
      </c>
      <c r="B104" s="138">
        <f>_xlfn.XLOOKUP(A104,'[2]FRV Output'!$B:$B,'[2]FRV Output'!$F:$F)</f>
        <v>1083659692</v>
      </c>
      <c r="C104" s="139">
        <v>3</v>
      </c>
      <c r="D104" s="139">
        <v>2021</v>
      </c>
      <c r="E104" s="140">
        <v>186223</v>
      </c>
      <c r="F104" s="141" t="s">
        <v>595</v>
      </c>
      <c r="G104" s="139"/>
      <c r="H104" s="139"/>
      <c r="I104" s="140"/>
      <c r="J104" s="141" t="s">
        <v>595</v>
      </c>
      <c r="K104" s="139"/>
      <c r="L104" s="139"/>
      <c r="M104" s="140"/>
      <c r="N104" s="141" t="s">
        <v>595</v>
      </c>
      <c r="O104" s="139"/>
      <c r="P104" s="139"/>
      <c r="Q104" s="140"/>
      <c r="R104" s="141" t="s">
        <v>595</v>
      </c>
      <c r="S104" s="139"/>
      <c r="T104" s="139"/>
      <c r="U104" s="140"/>
      <c r="V104" s="141" t="s">
        <v>595</v>
      </c>
      <c r="W104" s="139"/>
      <c r="X104" s="139"/>
      <c r="Y104" s="140"/>
    </row>
    <row r="105" spans="1:25" x14ac:dyDescent="0.25">
      <c r="A105" s="142" t="s">
        <v>667</v>
      </c>
      <c r="B105" s="138">
        <f>_xlfn.XLOOKUP(A105,'[2]FRV Output'!$B:$B,'[2]FRV Output'!$F:$F)</f>
        <v>1740249382</v>
      </c>
      <c r="C105" s="139">
        <v>3</v>
      </c>
      <c r="D105" s="139">
        <v>2017</v>
      </c>
      <c r="E105" s="140">
        <v>64982</v>
      </c>
      <c r="F105" s="141" t="s">
        <v>595</v>
      </c>
      <c r="G105" s="139">
        <v>3</v>
      </c>
      <c r="H105" s="139">
        <v>2018</v>
      </c>
      <c r="I105" s="140">
        <v>48484</v>
      </c>
      <c r="J105" s="141" t="s">
        <v>595</v>
      </c>
      <c r="K105" s="139">
        <v>3</v>
      </c>
      <c r="L105" s="139">
        <v>2019</v>
      </c>
      <c r="M105" s="140">
        <v>70105</v>
      </c>
      <c r="N105" s="141" t="s">
        <v>595</v>
      </c>
      <c r="O105" s="139">
        <v>3</v>
      </c>
      <c r="P105" s="139">
        <v>2020</v>
      </c>
      <c r="Q105" s="140">
        <v>59690</v>
      </c>
      <c r="R105" s="141" t="s">
        <v>595</v>
      </c>
      <c r="S105" s="139">
        <v>3</v>
      </c>
      <c r="T105" s="139">
        <v>2021</v>
      </c>
      <c r="U105" s="140">
        <v>160903</v>
      </c>
      <c r="V105" s="141" t="s">
        <v>595</v>
      </c>
      <c r="W105" s="139"/>
      <c r="X105" s="139"/>
      <c r="Y105" s="140"/>
    </row>
    <row r="106" spans="1:25" x14ac:dyDescent="0.25">
      <c r="A106" s="142" t="s">
        <v>668</v>
      </c>
      <c r="B106" s="138">
        <f>_xlfn.XLOOKUP(A106,'[2]FRV Output'!$B:$B,'[2]FRV Output'!$F:$F)</f>
        <v>1225000888</v>
      </c>
      <c r="C106" s="139">
        <v>3</v>
      </c>
      <c r="D106" s="139">
        <v>2018</v>
      </c>
      <c r="E106" s="140">
        <v>59652</v>
      </c>
      <c r="F106" s="141" t="s">
        <v>595</v>
      </c>
      <c r="G106" s="139">
        <v>3</v>
      </c>
      <c r="H106" s="139">
        <v>2019</v>
      </c>
      <c r="I106" s="140">
        <v>61794</v>
      </c>
      <c r="J106" s="141" t="s">
        <v>595</v>
      </c>
      <c r="K106" s="139">
        <v>3</v>
      </c>
      <c r="L106" s="139">
        <v>2020</v>
      </c>
      <c r="M106" s="140">
        <v>85469</v>
      </c>
      <c r="N106" s="141" t="s">
        <v>595</v>
      </c>
      <c r="O106" s="139">
        <v>3</v>
      </c>
      <c r="P106" s="139">
        <v>2021</v>
      </c>
      <c r="Q106" s="140">
        <v>97657</v>
      </c>
      <c r="R106" s="141" t="s">
        <v>595</v>
      </c>
      <c r="S106" s="139"/>
      <c r="T106" s="139"/>
      <c r="U106" s="140"/>
      <c r="V106" s="141" t="s">
        <v>595</v>
      </c>
      <c r="W106" s="139"/>
      <c r="X106" s="139"/>
      <c r="Y106" s="140"/>
    </row>
    <row r="107" spans="1:25" x14ac:dyDescent="0.25">
      <c r="A107" s="138" t="s">
        <v>275</v>
      </c>
      <c r="B107" s="138">
        <f>_xlfn.XLOOKUP(A107,'[2]FRV Output'!$B:$B,'[2]FRV Output'!$F:$F)</f>
        <v>1407803679</v>
      </c>
      <c r="C107" s="139">
        <v>3</v>
      </c>
      <c r="D107" s="139">
        <v>2017</v>
      </c>
      <c r="E107" s="140">
        <v>138750</v>
      </c>
      <c r="F107" s="141" t="s">
        <v>595</v>
      </c>
      <c r="G107" s="139">
        <v>3</v>
      </c>
      <c r="H107" s="139">
        <v>2020</v>
      </c>
      <c r="I107" s="140">
        <v>258451</v>
      </c>
      <c r="J107" s="141" t="s">
        <v>595</v>
      </c>
      <c r="K107" s="139">
        <v>3</v>
      </c>
      <c r="L107" s="139">
        <v>2021</v>
      </c>
      <c r="M107" s="140">
        <v>102708</v>
      </c>
      <c r="N107" s="141" t="s">
        <v>595</v>
      </c>
      <c r="O107" s="139"/>
      <c r="P107" s="139"/>
      <c r="Q107" s="140"/>
      <c r="R107" s="141" t="s">
        <v>595</v>
      </c>
      <c r="S107" s="139"/>
      <c r="T107" s="139"/>
      <c r="U107" s="140"/>
      <c r="V107" s="141" t="s">
        <v>595</v>
      </c>
      <c r="W107" s="139"/>
      <c r="X107" s="139"/>
      <c r="Y107" s="140"/>
    </row>
    <row r="108" spans="1:25" x14ac:dyDescent="0.25">
      <c r="A108" s="142" t="s">
        <v>276</v>
      </c>
      <c r="B108" s="138">
        <f>_xlfn.XLOOKUP(A108,'[2]FRV Output'!$B:$B,'[2]FRV Output'!$F:$F)</f>
        <v>1710312079</v>
      </c>
      <c r="C108" s="139"/>
      <c r="D108" s="139"/>
      <c r="E108" s="140"/>
      <c r="F108" s="141"/>
      <c r="G108" s="139"/>
      <c r="H108" s="139"/>
      <c r="I108" s="140"/>
      <c r="J108" s="141"/>
      <c r="K108" s="139"/>
      <c r="L108" s="139"/>
      <c r="M108" s="140"/>
      <c r="N108" s="141"/>
      <c r="O108" s="139"/>
      <c r="P108" s="139"/>
      <c r="Q108" s="140"/>
      <c r="R108" s="141"/>
      <c r="S108" s="139"/>
      <c r="T108" s="139"/>
      <c r="U108" s="140"/>
      <c r="V108" s="141"/>
      <c r="W108" s="139"/>
      <c r="X108" s="139"/>
      <c r="Y108" s="140"/>
    </row>
    <row r="109" spans="1:25" x14ac:dyDescent="0.25">
      <c r="A109" s="142" t="s">
        <v>277</v>
      </c>
      <c r="B109" s="138">
        <f>_xlfn.XLOOKUP(A109,'[2]FRV Output'!$B:$B,'[2]FRV Output'!$F:$F)</f>
        <v>1710537998</v>
      </c>
      <c r="C109" s="139">
        <v>3</v>
      </c>
      <c r="D109" s="139">
        <v>2016</v>
      </c>
      <c r="E109" s="140">
        <v>193672</v>
      </c>
      <c r="F109" s="141" t="s">
        <v>595</v>
      </c>
      <c r="G109" s="139">
        <v>3</v>
      </c>
      <c r="H109" s="139">
        <v>2017</v>
      </c>
      <c r="I109" s="140">
        <v>129899</v>
      </c>
      <c r="J109" s="141" t="s">
        <v>595</v>
      </c>
      <c r="K109" s="139">
        <v>3</v>
      </c>
      <c r="L109" s="139">
        <v>2018</v>
      </c>
      <c r="M109" s="140">
        <v>3207654</v>
      </c>
      <c r="N109" s="141" t="s">
        <v>595</v>
      </c>
      <c r="O109" s="139">
        <v>3</v>
      </c>
      <c r="P109" s="139">
        <v>2019</v>
      </c>
      <c r="Q109" s="140">
        <v>179524</v>
      </c>
      <c r="R109" s="141" t="s">
        <v>595</v>
      </c>
      <c r="S109" s="139">
        <v>3</v>
      </c>
      <c r="T109" s="139">
        <v>2020</v>
      </c>
      <c r="U109" s="140">
        <v>195565</v>
      </c>
      <c r="V109" s="141" t="s">
        <v>595</v>
      </c>
      <c r="W109" s="139"/>
      <c r="X109" s="139"/>
      <c r="Y109" s="140"/>
    </row>
    <row r="110" spans="1:25" x14ac:dyDescent="0.25">
      <c r="A110" s="142" t="s">
        <v>278</v>
      </c>
      <c r="B110" s="138">
        <f>_xlfn.XLOOKUP(A110,'[2]FRV Output'!$B:$B,'[2]FRV Output'!$F:$F)</f>
        <v>1841854361</v>
      </c>
      <c r="C110" s="139">
        <v>3</v>
      </c>
      <c r="D110" s="139">
        <v>2019</v>
      </c>
      <c r="E110" s="140">
        <v>118259</v>
      </c>
      <c r="F110" s="141" t="s">
        <v>595</v>
      </c>
      <c r="G110" s="139">
        <v>3</v>
      </c>
      <c r="H110" s="139">
        <v>2021</v>
      </c>
      <c r="I110" s="140">
        <v>210976</v>
      </c>
      <c r="J110" s="141" t="s">
        <v>595</v>
      </c>
      <c r="K110" s="139"/>
      <c r="L110" s="139"/>
      <c r="M110" s="140"/>
      <c r="N110" s="141" t="s">
        <v>595</v>
      </c>
      <c r="O110" s="139"/>
      <c r="P110" s="139"/>
      <c r="Q110" s="140"/>
      <c r="R110" s="141" t="s">
        <v>595</v>
      </c>
      <c r="S110" s="139"/>
      <c r="T110" s="139"/>
      <c r="U110" s="140"/>
      <c r="V110" s="141" t="s">
        <v>595</v>
      </c>
      <c r="W110" s="139"/>
      <c r="X110" s="139"/>
      <c r="Y110" s="140"/>
    </row>
    <row r="111" spans="1:25" x14ac:dyDescent="0.25">
      <c r="A111" s="138" t="s">
        <v>279</v>
      </c>
      <c r="B111" s="138">
        <f>_xlfn.XLOOKUP(A111,'[2]FRV Output'!$B:$B,'[2]FRV Output'!$F:$F)</f>
        <v>1346806015</v>
      </c>
      <c r="C111" s="139">
        <v>3</v>
      </c>
      <c r="D111" s="139">
        <v>2016</v>
      </c>
      <c r="E111" s="140">
        <v>57412</v>
      </c>
      <c r="F111" s="141" t="s">
        <v>595</v>
      </c>
      <c r="G111" s="139">
        <v>3</v>
      </c>
      <c r="H111" s="139">
        <v>2017</v>
      </c>
      <c r="I111" s="140">
        <v>34547</v>
      </c>
      <c r="J111" s="141" t="s">
        <v>595</v>
      </c>
      <c r="K111" s="139"/>
      <c r="L111" s="139"/>
      <c r="M111" s="140"/>
      <c r="N111" s="141" t="s">
        <v>595</v>
      </c>
      <c r="O111" s="139"/>
      <c r="P111" s="139"/>
      <c r="Q111" s="140"/>
      <c r="R111" s="141" t="s">
        <v>595</v>
      </c>
      <c r="S111" s="139"/>
      <c r="T111" s="139"/>
      <c r="U111" s="140"/>
      <c r="V111" s="141" t="s">
        <v>595</v>
      </c>
      <c r="W111" s="139"/>
      <c r="X111" s="139"/>
      <c r="Y111" s="140"/>
    </row>
    <row r="112" spans="1:25" x14ac:dyDescent="0.25">
      <c r="A112" s="138" t="s">
        <v>280</v>
      </c>
      <c r="B112" s="138">
        <f>_xlfn.XLOOKUP(A112,'[2]FRV Output'!$B:$B,'[2]FRV Output'!$F:$F)</f>
        <v>1801428768</v>
      </c>
      <c r="C112" s="139">
        <v>3</v>
      </c>
      <c r="D112" s="139">
        <v>2021</v>
      </c>
      <c r="E112" s="140">
        <v>500565</v>
      </c>
      <c r="F112" s="141" t="s">
        <v>595</v>
      </c>
      <c r="G112" s="139"/>
      <c r="H112" s="139"/>
      <c r="I112" s="140"/>
      <c r="J112" s="141" t="s">
        <v>595</v>
      </c>
      <c r="K112" s="139"/>
      <c r="L112" s="139"/>
      <c r="M112" s="140"/>
      <c r="N112" s="141" t="s">
        <v>595</v>
      </c>
      <c r="O112" s="139"/>
      <c r="P112" s="139"/>
      <c r="Q112" s="140"/>
      <c r="R112" s="141" t="s">
        <v>595</v>
      </c>
      <c r="S112" s="139"/>
      <c r="T112" s="139"/>
      <c r="U112" s="140"/>
      <c r="V112" s="141" t="s">
        <v>595</v>
      </c>
      <c r="W112" s="139"/>
      <c r="X112" s="139"/>
      <c r="Y112" s="140"/>
    </row>
    <row r="113" spans="1:25" x14ac:dyDescent="0.25">
      <c r="A113" s="138" t="s">
        <v>281</v>
      </c>
      <c r="B113" s="138">
        <f>_xlfn.XLOOKUP(A113,'[2]FRV Output'!$B:$B,'[2]FRV Output'!$F:$F)</f>
        <v>1407325103</v>
      </c>
      <c r="C113" s="139"/>
      <c r="D113" s="139"/>
      <c r="E113" s="140"/>
      <c r="F113" s="141" t="s">
        <v>595</v>
      </c>
      <c r="G113" s="139"/>
      <c r="H113" s="139"/>
      <c r="I113" s="140"/>
      <c r="J113" s="141" t="s">
        <v>595</v>
      </c>
      <c r="K113" s="139"/>
      <c r="L113" s="139"/>
      <c r="M113" s="140"/>
      <c r="N113" s="141" t="s">
        <v>595</v>
      </c>
      <c r="O113" s="139"/>
      <c r="P113" s="139"/>
      <c r="Q113" s="140"/>
      <c r="R113" s="141" t="s">
        <v>595</v>
      </c>
      <c r="S113" s="139"/>
      <c r="T113" s="139"/>
      <c r="U113" s="140"/>
      <c r="V113" s="141" t="s">
        <v>595</v>
      </c>
      <c r="W113" s="139"/>
      <c r="X113" s="139"/>
      <c r="Y113" s="140"/>
    </row>
    <row r="114" spans="1:25" x14ac:dyDescent="0.25">
      <c r="A114" s="142" t="s">
        <v>282</v>
      </c>
      <c r="B114" s="138">
        <f>_xlfn.XLOOKUP(A114,'[2]FRV Output'!$B:$B,'[2]FRV Output'!$F:$F)</f>
        <v>1891722187</v>
      </c>
      <c r="C114" s="139">
        <v>3</v>
      </c>
      <c r="D114" s="139">
        <v>2016</v>
      </c>
      <c r="E114" s="140">
        <v>59142</v>
      </c>
      <c r="F114" s="141" t="s">
        <v>595</v>
      </c>
      <c r="G114" s="139">
        <v>3</v>
      </c>
      <c r="H114" s="139">
        <v>2017</v>
      </c>
      <c r="I114" s="140">
        <v>57314</v>
      </c>
      <c r="J114" s="141" t="s">
        <v>595</v>
      </c>
      <c r="K114" s="139">
        <v>3</v>
      </c>
      <c r="L114" s="139">
        <v>2018</v>
      </c>
      <c r="M114" s="140">
        <v>70077</v>
      </c>
      <c r="N114" s="141" t="s">
        <v>595</v>
      </c>
      <c r="O114" s="139">
        <v>3</v>
      </c>
      <c r="P114" s="139">
        <v>2019</v>
      </c>
      <c r="Q114" s="140">
        <v>55470</v>
      </c>
      <c r="R114" s="141" t="s">
        <v>595</v>
      </c>
      <c r="S114" s="139">
        <v>3</v>
      </c>
      <c r="T114" s="139">
        <v>2020</v>
      </c>
      <c r="U114" s="140">
        <v>72870</v>
      </c>
      <c r="V114" s="141" t="s">
        <v>595</v>
      </c>
      <c r="W114" s="139">
        <v>3</v>
      </c>
      <c r="X114" s="139">
        <v>2021</v>
      </c>
      <c r="Y114" s="140">
        <v>66019</v>
      </c>
    </row>
    <row r="115" spans="1:25" x14ac:dyDescent="0.25">
      <c r="A115" s="138" t="s">
        <v>669</v>
      </c>
      <c r="B115" s="138">
        <f>_xlfn.XLOOKUP(A115,'[2]FRV Output'!$B:$B,'[2]FRV Output'!$F:$F)</f>
        <v>1346851052</v>
      </c>
      <c r="C115" s="139">
        <v>3</v>
      </c>
      <c r="D115" s="139">
        <v>2021</v>
      </c>
      <c r="E115" s="140">
        <v>137925</v>
      </c>
      <c r="F115" s="141" t="s">
        <v>595</v>
      </c>
      <c r="G115" s="139"/>
      <c r="H115" s="139"/>
      <c r="I115" s="140"/>
      <c r="J115" s="141" t="s">
        <v>595</v>
      </c>
      <c r="K115" s="139"/>
      <c r="L115" s="139"/>
      <c r="M115" s="140"/>
      <c r="N115" s="141" t="s">
        <v>595</v>
      </c>
      <c r="O115" s="139"/>
      <c r="P115" s="139"/>
      <c r="Q115" s="140"/>
      <c r="R115" s="141" t="s">
        <v>595</v>
      </c>
      <c r="S115" s="139"/>
      <c r="T115" s="139"/>
      <c r="U115" s="140"/>
      <c r="V115" s="141" t="s">
        <v>595</v>
      </c>
      <c r="W115" s="139"/>
      <c r="X115" s="139"/>
      <c r="Y115" s="140"/>
    </row>
    <row r="116" spans="1:25" x14ac:dyDescent="0.25">
      <c r="A116" s="138" t="s">
        <v>283</v>
      </c>
      <c r="B116" s="138">
        <f>_xlfn.XLOOKUP(A116,'[2]FRV Output'!$B:$B,'[2]FRV Output'!$F:$F)</f>
        <v>1073599510</v>
      </c>
      <c r="C116" s="139"/>
      <c r="D116" s="139"/>
      <c r="E116" s="140"/>
      <c r="F116" s="141" t="s">
        <v>595</v>
      </c>
      <c r="G116" s="139"/>
      <c r="H116" s="139"/>
      <c r="I116" s="140"/>
      <c r="J116" s="141" t="s">
        <v>595</v>
      </c>
      <c r="K116" s="139"/>
      <c r="L116" s="139"/>
      <c r="M116" s="140"/>
      <c r="N116" s="141" t="s">
        <v>595</v>
      </c>
      <c r="O116" s="139"/>
      <c r="P116" s="139"/>
      <c r="Q116" s="140"/>
      <c r="R116" s="141" t="s">
        <v>595</v>
      </c>
      <c r="S116" s="139"/>
      <c r="T116" s="139"/>
      <c r="U116" s="140"/>
      <c r="V116" s="141" t="s">
        <v>595</v>
      </c>
      <c r="W116" s="139"/>
      <c r="X116" s="139"/>
      <c r="Y116" s="140"/>
    </row>
    <row r="117" spans="1:25" x14ac:dyDescent="0.25">
      <c r="A117" s="142" t="s">
        <v>284</v>
      </c>
      <c r="B117" s="138">
        <f>_xlfn.XLOOKUP(A117,'[2]FRV Output'!$B:$B,'[2]FRV Output'!$F:$F)</f>
        <v>1972587376</v>
      </c>
      <c r="C117" s="139">
        <v>3</v>
      </c>
      <c r="D117" s="139">
        <v>2016</v>
      </c>
      <c r="E117" s="140">
        <v>183781</v>
      </c>
      <c r="F117" s="141" t="s">
        <v>595</v>
      </c>
      <c r="G117" s="139">
        <v>3</v>
      </c>
      <c r="H117" s="139">
        <v>2017</v>
      </c>
      <c r="I117" s="140">
        <v>643284</v>
      </c>
      <c r="J117" s="141" t="s">
        <v>595</v>
      </c>
      <c r="K117" s="139">
        <v>3</v>
      </c>
      <c r="L117" s="139">
        <v>2018</v>
      </c>
      <c r="M117" s="140">
        <v>280245</v>
      </c>
      <c r="N117" s="141" t="s">
        <v>595</v>
      </c>
      <c r="O117" s="139">
        <v>3</v>
      </c>
      <c r="P117" s="139">
        <v>2019</v>
      </c>
      <c r="Q117" s="140">
        <v>471375</v>
      </c>
      <c r="R117" s="141" t="s">
        <v>595</v>
      </c>
      <c r="S117" s="139">
        <v>3</v>
      </c>
      <c r="T117" s="139">
        <v>2020</v>
      </c>
      <c r="U117" s="140">
        <v>400937</v>
      </c>
      <c r="V117" s="141" t="s">
        <v>595</v>
      </c>
      <c r="W117" s="139">
        <v>3</v>
      </c>
      <c r="X117" s="139">
        <v>2021</v>
      </c>
      <c r="Y117" s="140">
        <v>511918</v>
      </c>
    </row>
    <row r="118" spans="1:25" x14ac:dyDescent="0.25">
      <c r="A118" s="142" t="s">
        <v>670</v>
      </c>
      <c r="B118" s="138">
        <f>_xlfn.XLOOKUP(A118,'[2]FRV Output'!$B:$B,'[2]FRV Output'!$F:$F)</f>
        <v>1942236161</v>
      </c>
      <c r="C118" s="139">
        <v>3</v>
      </c>
      <c r="D118" s="139">
        <v>2019</v>
      </c>
      <c r="E118" s="140">
        <v>191926</v>
      </c>
      <c r="F118" s="141" t="s">
        <v>595</v>
      </c>
      <c r="G118" s="139">
        <v>3</v>
      </c>
      <c r="H118" s="139">
        <v>2021</v>
      </c>
      <c r="I118" s="140">
        <v>56153</v>
      </c>
      <c r="J118" s="141" t="s">
        <v>595</v>
      </c>
      <c r="K118" s="139"/>
      <c r="L118" s="139"/>
      <c r="M118" s="140"/>
      <c r="N118" s="141" t="s">
        <v>595</v>
      </c>
      <c r="O118" s="139"/>
      <c r="P118" s="139"/>
      <c r="Q118" s="140"/>
      <c r="R118" s="141" t="s">
        <v>595</v>
      </c>
      <c r="S118" s="139"/>
      <c r="T118" s="139"/>
      <c r="U118" s="140"/>
      <c r="V118" s="141" t="s">
        <v>595</v>
      </c>
      <c r="W118" s="139"/>
      <c r="X118" s="139"/>
      <c r="Y118" s="140"/>
    </row>
    <row r="119" spans="1:25" x14ac:dyDescent="0.25">
      <c r="A119" s="142" t="s">
        <v>286</v>
      </c>
      <c r="B119" s="138">
        <f>_xlfn.XLOOKUP(A119,'[2]FRV Output'!$B:$B,'[2]FRV Output'!$F:$F)</f>
        <v>1437103850</v>
      </c>
      <c r="C119" s="139">
        <v>3</v>
      </c>
      <c r="D119" s="139">
        <v>2019</v>
      </c>
      <c r="E119" s="140">
        <v>198738</v>
      </c>
      <c r="F119" s="141" t="s">
        <v>595</v>
      </c>
      <c r="G119" s="139">
        <v>3</v>
      </c>
      <c r="H119" s="139">
        <v>2020</v>
      </c>
      <c r="I119" s="140">
        <v>34179</v>
      </c>
      <c r="J119" s="141" t="s">
        <v>595</v>
      </c>
      <c r="K119" s="139"/>
      <c r="L119" s="139"/>
      <c r="M119" s="140"/>
      <c r="N119" s="141" t="s">
        <v>595</v>
      </c>
      <c r="O119" s="139"/>
      <c r="P119" s="139"/>
      <c r="Q119" s="140"/>
      <c r="R119" s="141" t="s">
        <v>595</v>
      </c>
      <c r="S119" s="139"/>
      <c r="T119" s="139"/>
      <c r="U119" s="140"/>
      <c r="V119" s="141" t="s">
        <v>595</v>
      </c>
      <c r="W119" s="139"/>
      <c r="X119" s="139"/>
      <c r="Y119" s="140"/>
    </row>
    <row r="120" spans="1:25" x14ac:dyDescent="0.25">
      <c r="A120" s="138" t="s">
        <v>287</v>
      </c>
      <c r="B120" s="138">
        <f>_xlfn.XLOOKUP(A120,'[2]FRV Output'!$B:$B,'[2]FRV Output'!$F:$F)</f>
        <v>1851375703</v>
      </c>
      <c r="C120" s="139">
        <v>3</v>
      </c>
      <c r="D120" s="139">
        <v>2017</v>
      </c>
      <c r="E120" s="140">
        <v>49917</v>
      </c>
      <c r="F120" s="141" t="s">
        <v>595</v>
      </c>
      <c r="G120" s="139">
        <v>3</v>
      </c>
      <c r="H120" s="139">
        <v>2021</v>
      </c>
      <c r="I120" s="140">
        <v>121159</v>
      </c>
      <c r="J120" s="141" t="s">
        <v>595</v>
      </c>
      <c r="K120" s="139"/>
      <c r="L120" s="139"/>
      <c r="M120" s="140"/>
      <c r="N120" s="141" t="s">
        <v>595</v>
      </c>
      <c r="O120" s="139"/>
      <c r="P120" s="139"/>
      <c r="Q120" s="140"/>
      <c r="R120" s="141" t="s">
        <v>595</v>
      </c>
      <c r="S120" s="139"/>
      <c r="T120" s="139"/>
      <c r="U120" s="140"/>
      <c r="V120" s="141" t="s">
        <v>595</v>
      </c>
      <c r="W120" s="139"/>
      <c r="X120" s="139"/>
      <c r="Y120" s="140"/>
    </row>
    <row r="121" spans="1:25" x14ac:dyDescent="0.25">
      <c r="A121" s="138" t="s">
        <v>671</v>
      </c>
      <c r="B121" s="138">
        <f>_xlfn.XLOOKUP(A121,'[2]FRV Output'!$B:$B,'[2]FRV Output'!$F:$F)</f>
        <v>1225654098</v>
      </c>
      <c r="C121" s="139">
        <v>3</v>
      </c>
      <c r="D121" s="139">
        <v>2021</v>
      </c>
      <c r="E121" s="140">
        <v>196698</v>
      </c>
      <c r="F121" s="141" t="s">
        <v>595</v>
      </c>
      <c r="G121" s="139"/>
      <c r="H121" s="139"/>
      <c r="I121" s="140"/>
      <c r="J121" s="141" t="s">
        <v>595</v>
      </c>
      <c r="K121" s="139"/>
      <c r="L121" s="139"/>
      <c r="M121" s="140"/>
      <c r="N121" s="141" t="s">
        <v>595</v>
      </c>
      <c r="O121" s="139"/>
      <c r="P121" s="139"/>
      <c r="Q121" s="140"/>
      <c r="R121" s="141" t="s">
        <v>595</v>
      </c>
      <c r="S121" s="139"/>
      <c r="T121" s="139"/>
      <c r="U121" s="140"/>
      <c r="V121" s="141" t="s">
        <v>595</v>
      </c>
      <c r="W121" s="139"/>
      <c r="X121" s="139"/>
      <c r="Y121" s="140"/>
    </row>
    <row r="122" spans="1:25" x14ac:dyDescent="0.25">
      <c r="A122" s="142" t="s">
        <v>289</v>
      </c>
      <c r="B122" s="138">
        <f>_xlfn.XLOOKUP(A122,'[2]FRV Output'!$B:$B,'[2]FRV Output'!$F:$F)</f>
        <v>1639630452</v>
      </c>
      <c r="C122" s="139">
        <v>3</v>
      </c>
      <c r="D122" s="139">
        <v>2016</v>
      </c>
      <c r="E122" s="140">
        <v>984332</v>
      </c>
      <c r="F122" s="141" t="s">
        <v>595</v>
      </c>
      <c r="G122" s="139">
        <v>3</v>
      </c>
      <c r="H122" s="139">
        <v>2017</v>
      </c>
      <c r="I122" s="140">
        <v>303342</v>
      </c>
      <c r="J122" s="141" t="s">
        <v>595</v>
      </c>
      <c r="K122" s="139">
        <v>3</v>
      </c>
      <c r="L122" s="139">
        <v>2018</v>
      </c>
      <c r="M122" s="140">
        <v>289490</v>
      </c>
      <c r="N122" s="141" t="s">
        <v>595</v>
      </c>
      <c r="O122" s="139">
        <v>3</v>
      </c>
      <c r="P122" s="139">
        <v>2019</v>
      </c>
      <c r="Q122" s="140">
        <v>73177</v>
      </c>
      <c r="R122" s="141" t="s">
        <v>595</v>
      </c>
      <c r="S122" s="139">
        <v>3</v>
      </c>
      <c r="T122" s="139">
        <v>2019</v>
      </c>
      <c r="U122" s="140">
        <v>757142</v>
      </c>
      <c r="V122" s="141" t="s">
        <v>595</v>
      </c>
      <c r="W122" s="139">
        <v>3</v>
      </c>
      <c r="X122" s="139">
        <v>2021</v>
      </c>
      <c r="Y122" s="140">
        <v>601522</v>
      </c>
    </row>
    <row r="123" spans="1:25" x14ac:dyDescent="0.25">
      <c r="A123" s="142" t="s">
        <v>290</v>
      </c>
      <c r="B123" s="138">
        <f>_xlfn.XLOOKUP(A123,'[2]FRV Output'!$B:$B,'[2]FRV Output'!$F:$F)</f>
        <v>1093131310</v>
      </c>
      <c r="C123" s="139">
        <v>3</v>
      </c>
      <c r="D123" s="139">
        <v>2016</v>
      </c>
      <c r="E123" s="140">
        <v>50895</v>
      </c>
      <c r="F123" s="141" t="s">
        <v>595</v>
      </c>
      <c r="G123" s="139">
        <v>3</v>
      </c>
      <c r="H123" s="139">
        <v>2019</v>
      </c>
      <c r="I123" s="140">
        <v>100660</v>
      </c>
      <c r="J123" s="141" t="s">
        <v>595</v>
      </c>
      <c r="K123" s="139">
        <v>3</v>
      </c>
      <c r="L123" s="139">
        <v>2020</v>
      </c>
      <c r="M123" s="140">
        <v>90025</v>
      </c>
      <c r="N123" s="141" t="s">
        <v>595</v>
      </c>
      <c r="O123" s="139"/>
      <c r="P123" s="139"/>
      <c r="Q123" s="140"/>
      <c r="R123" s="141" t="s">
        <v>595</v>
      </c>
      <c r="S123" s="139"/>
      <c r="T123" s="139"/>
      <c r="U123" s="140"/>
      <c r="V123" s="141" t="s">
        <v>595</v>
      </c>
      <c r="W123" s="139"/>
      <c r="X123" s="139"/>
      <c r="Y123" s="140"/>
    </row>
    <row r="124" spans="1:25" x14ac:dyDescent="0.25">
      <c r="A124" s="142" t="s">
        <v>291</v>
      </c>
      <c r="B124" s="138">
        <f>_xlfn.XLOOKUP(A124,'[2]FRV Output'!$B:$B,'[2]FRV Output'!$F:$F)</f>
        <v>1912485517</v>
      </c>
      <c r="C124" s="139">
        <v>3</v>
      </c>
      <c r="D124" s="139">
        <v>2018</v>
      </c>
      <c r="E124" s="140">
        <v>64197</v>
      </c>
      <c r="F124" s="141" t="s">
        <v>595</v>
      </c>
      <c r="G124" s="139">
        <v>2</v>
      </c>
      <c r="H124" s="139">
        <v>2019</v>
      </c>
      <c r="I124" s="140">
        <v>96</v>
      </c>
      <c r="J124" s="141" t="s">
        <v>595</v>
      </c>
      <c r="K124" s="139"/>
      <c r="L124" s="139"/>
      <c r="M124" s="140"/>
      <c r="N124" s="141" t="s">
        <v>595</v>
      </c>
      <c r="O124" s="139"/>
      <c r="P124" s="139"/>
      <c r="Q124" s="140"/>
      <c r="R124" s="141" t="s">
        <v>595</v>
      </c>
      <c r="S124" s="139"/>
      <c r="T124" s="139"/>
      <c r="U124" s="140"/>
      <c r="V124" s="141" t="s">
        <v>595</v>
      </c>
      <c r="W124" s="139"/>
      <c r="X124" s="139"/>
      <c r="Y124" s="140"/>
    </row>
    <row r="125" spans="1:25" x14ac:dyDescent="0.25">
      <c r="A125" s="142" t="s">
        <v>672</v>
      </c>
      <c r="B125" s="138">
        <f>_xlfn.XLOOKUP(A125,'[2]FRV Output'!$B:$B,'[2]FRV Output'!$F:$F)</f>
        <v>1841697422</v>
      </c>
      <c r="C125" s="139"/>
      <c r="D125" s="139"/>
      <c r="E125" s="140"/>
      <c r="F125" s="148" t="s">
        <v>595</v>
      </c>
      <c r="G125" s="139"/>
      <c r="H125" s="139"/>
      <c r="I125" s="140"/>
      <c r="J125" s="148" t="s">
        <v>595</v>
      </c>
      <c r="K125" s="139"/>
      <c r="L125" s="139"/>
      <c r="M125" s="140"/>
      <c r="N125" s="148" t="s">
        <v>595</v>
      </c>
      <c r="O125" s="139"/>
      <c r="P125" s="139"/>
      <c r="Q125" s="140"/>
      <c r="R125" s="148" t="s">
        <v>595</v>
      </c>
      <c r="S125" s="139"/>
      <c r="T125" s="139"/>
      <c r="U125" s="140"/>
      <c r="V125" s="141" t="s">
        <v>595</v>
      </c>
      <c r="W125" s="139"/>
      <c r="X125" s="139"/>
      <c r="Y125" s="140"/>
    </row>
    <row r="126" spans="1:25" x14ac:dyDescent="0.25">
      <c r="A126" s="138" t="s">
        <v>293</v>
      </c>
      <c r="B126" s="138">
        <f>_xlfn.XLOOKUP(A126,'[2]FRV Output'!$B:$B,'[2]FRV Output'!$F:$F)</f>
        <v>1356346191</v>
      </c>
      <c r="C126" s="139">
        <v>3</v>
      </c>
      <c r="D126" s="139">
        <v>2017</v>
      </c>
      <c r="E126" s="140">
        <v>159916</v>
      </c>
      <c r="F126" s="141" t="s">
        <v>595</v>
      </c>
      <c r="G126" s="139">
        <v>3</v>
      </c>
      <c r="H126" s="139">
        <v>2018</v>
      </c>
      <c r="I126" s="140">
        <v>162801</v>
      </c>
      <c r="J126" s="141" t="s">
        <v>595</v>
      </c>
      <c r="K126" s="139">
        <v>3</v>
      </c>
      <c r="L126" s="139">
        <v>2020</v>
      </c>
      <c r="M126" s="140">
        <v>135935</v>
      </c>
      <c r="N126" s="141" t="s">
        <v>595</v>
      </c>
      <c r="O126" s="139">
        <v>3</v>
      </c>
      <c r="P126" s="139">
        <v>2021</v>
      </c>
      <c r="Q126" s="140">
        <v>950195</v>
      </c>
      <c r="R126" s="141" t="s">
        <v>595</v>
      </c>
      <c r="S126" s="139"/>
      <c r="T126" s="139"/>
      <c r="U126" s="140"/>
      <c r="V126" s="141" t="s">
        <v>595</v>
      </c>
      <c r="W126" s="139"/>
      <c r="X126" s="139"/>
      <c r="Y126" s="140"/>
    </row>
    <row r="127" spans="1:25" x14ac:dyDescent="0.25">
      <c r="A127" s="138" t="s">
        <v>294</v>
      </c>
      <c r="B127" s="138">
        <f>_xlfn.XLOOKUP(A127,'[2]FRV Output'!$B:$B,'[2]FRV Output'!$F:$F)</f>
        <v>1477537199</v>
      </c>
      <c r="C127" s="139"/>
      <c r="D127" s="139"/>
      <c r="E127" s="140"/>
      <c r="F127" s="141" t="s">
        <v>595</v>
      </c>
      <c r="G127" s="139"/>
      <c r="H127" s="139"/>
      <c r="I127" s="140"/>
      <c r="J127" s="141" t="s">
        <v>595</v>
      </c>
      <c r="K127" s="139"/>
      <c r="L127" s="139"/>
      <c r="M127" s="140"/>
      <c r="N127" s="141" t="s">
        <v>595</v>
      </c>
      <c r="O127" s="139"/>
      <c r="P127" s="139"/>
      <c r="Q127" s="140"/>
      <c r="R127" s="141" t="s">
        <v>595</v>
      </c>
      <c r="S127" s="139"/>
      <c r="T127" s="139"/>
      <c r="U127" s="140"/>
      <c r="V127" s="141" t="s">
        <v>595</v>
      </c>
      <c r="W127" s="139"/>
      <c r="X127" s="139"/>
      <c r="Y127" s="140"/>
    </row>
    <row r="128" spans="1:25" x14ac:dyDescent="0.25">
      <c r="A128" s="142" t="s">
        <v>673</v>
      </c>
      <c r="B128" s="138">
        <f>_xlfn.XLOOKUP(A128,'[2]FRV Output'!$B:$B,'[2]FRV Output'!$F:$F)</f>
        <v>1831551514</v>
      </c>
      <c r="C128" s="139">
        <v>3</v>
      </c>
      <c r="D128" s="139">
        <v>2018</v>
      </c>
      <c r="E128" s="140">
        <v>189321</v>
      </c>
      <c r="F128" s="141" t="s">
        <v>595</v>
      </c>
      <c r="G128" s="139">
        <v>3</v>
      </c>
      <c r="H128" s="139">
        <v>2019</v>
      </c>
      <c r="I128" s="140">
        <v>110487</v>
      </c>
      <c r="J128" s="141" t="s">
        <v>595</v>
      </c>
      <c r="K128" s="139"/>
      <c r="L128" s="139"/>
      <c r="M128" s="140"/>
      <c r="N128" s="141" t="s">
        <v>595</v>
      </c>
      <c r="O128" s="139"/>
      <c r="P128" s="139"/>
      <c r="Q128" s="140"/>
      <c r="R128" s="141" t="s">
        <v>595</v>
      </c>
      <c r="S128" s="139"/>
      <c r="T128" s="139"/>
      <c r="U128" s="140"/>
      <c r="V128" s="141" t="s">
        <v>595</v>
      </c>
      <c r="W128" s="139"/>
      <c r="X128" s="139"/>
      <c r="Y128" s="140"/>
    </row>
    <row r="129" spans="1:25" x14ac:dyDescent="0.25">
      <c r="A129" s="138" t="s">
        <v>674</v>
      </c>
      <c r="B129" s="138">
        <f>_xlfn.XLOOKUP(A129,'[2]FRV Output'!$B:$B,'[2]FRV Output'!$F:$F)</f>
        <v>1154792000</v>
      </c>
      <c r="C129" s="139"/>
      <c r="D129" s="139"/>
      <c r="E129" s="140"/>
      <c r="F129" s="141" t="s">
        <v>595</v>
      </c>
      <c r="G129" s="139"/>
      <c r="H129" s="139"/>
      <c r="I129" s="140"/>
      <c r="J129" s="141" t="s">
        <v>595</v>
      </c>
      <c r="K129" s="139"/>
      <c r="L129" s="139"/>
      <c r="M129" s="140"/>
      <c r="N129" s="141" t="s">
        <v>595</v>
      </c>
      <c r="O129" s="139"/>
      <c r="P129" s="139"/>
      <c r="Q129" s="140"/>
      <c r="R129" s="141" t="s">
        <v>595</v>
      </c>
      <c r="S129" s="139"/>
      <c r="T129" s="139"/>
      <c r="U129" s="140"/>
      <c r="V129" s="141" t="s">
        <v>595</v>
      </c>
      <c r="W129" s="139"/>
      <c r="X129" s="139"/>
      <c r="Y129" s="140"/>
    </row>
    <row r="130" spans="1:25" x14ac:dyDescent="0.25">
      <c r="A130" s="138" t="s">
        <v>297</v>
      </c>
      <c r="B130" s="138">
        <f>_xlfn.XLOOKUP(A130,'[2]FRV Output'!$B:$B,'[2]FRV Output'!$F:$F)</f>
        <v>1184196206</v>
      </c>
      <c r="C130" s="139"/>
      <c r="D130" s="139"/>
      <c r="E130" s="140"/>
      <c r="F130" s="141" t="s">
        <v>595</v>
      </c>
      <c r="G130" s="139"/>
      <c r="H130" s="139"/>
      <c r="I130" s="140"/>
      <c r="J130" s="141" t="s">
        <v>595</v>
      </c>
      <c r="K130" s="139"/>
      <c r="L130" s="139"/>
      <c r="M130" s="140"/>
      <c r="N130" s="141" t="s">
        <v>595</v>
      </c>
      <c r="O130" s="139"/>
      <c r="P130" s="139"/>
      <c r="Q130" s="140"/>
      <c r="R130" s="141" t="s">
        <v>595</v>
      </c>
      <c r="S130" s="139"/>
      <c r="T130" s="139"/>
      <c r="U130" s="140"/>
      <c r="V130" s="141" t="s">
        <v>595</v>
      </c>
      <c r="W130" s="139"/>
      <c r="X130" s="139"/>
      <c r="Y130" s="140"/>
    </row>
    <row r="131" spans="1:25" x14ac:dyDescent="0.25">
      <c r="A131" s="142" t="s">
        <v>675</v>
      </c>
      <c r="B131" s="138">
        <f>_xlfn.XLOOKUP(A131,'[2]FRV Output'!$B:$B,'[2]FRV Output'!$F:$F)</f>
        <v>1003366311</v>
      </c>
      <c r="C131" s="139">
        <v>3</v>
      </c>
      <c r="D131" s="139">
        <v>2019</v>
      </c>
      <c r="E131" s="140">
        <v>126904</v>
      </c>
      <c r="F131" s="141" t="s">
        <v>595</v>
      </c>
      <c r="G131" s="139">
        <v>3</v>
      </c>
      <c r="H131" s="139">
        <v>2020</v>
      </c>
      <c r="I131" s="140">
        <v>136134</v>
      </c>
      <c r="J131" s="141" t="s">
        <v>595</v>
      </c>
      <c r="K131" s="139"/>
      <c r="L131" s="139"/>
      <c r="M131" s="140"/>
      <c r="N131" s="141" t="s">
        <v>595</v>
      </c>
      <c r="O131" s="139"/>
      <c r="P131" s="139"/>
      <c r="Q131" s="140"/>
      <c r="R131" s="141" t="s">
        <v>595</v>
      </c>
      <c r="S131" s="139"/>
      <c r="T131" s="139"/>
      <c r="U131" s="140"/>
      <c r="V131" s="141" t="s">
        <v>595</v>
      </c>
      <c r="W131" s="139"/>
      <c r="X131" s="139"/>
      <c r="Y131" s="140"/>
    </row>
    <row r="132" spans="1:25" x14ac:dyDescent="0.25">
      <c r="A132" s="138" t="s">
        <v>299</v>
      </c>
      <c r="B132" s="138">
        <f>_xlfn.XLOOKUP(A132,'[2]FRV Output'!$B:$B,'[2]FRV Output'!$F:$F)</f>
        <v>1750418802</v>
      </c>
      <c r="C132" s="139"/>
      <c r="D132" s="139"/>
      <c r="E132" s="140"/>
      <c r="F132" s="141" t="s">
        <v>595</v>
      </c>
      <c r="G132" s="139"/>
      <c r="H132" s="139"/>
      <c r="I132" s="140"/>
      <c r="J132" s="141" t="s">
        <v>595</v>
      </c>
      <c r="K132" s="139"/>
      <c r="L132" s="139"/>
      <c r="M132" s="140"/>
      <c r="N132" s="141" t="s">
        <v>595</v>
      </c>
      <c r="O132" s="139"/>
      <c r="P132" s="139"/>
      <c r="Q132" s="140"/>
      <c r="R132" s="141" t="s">
        <v>595</v>
      </c>
      <c r="S132" s="139"/>
      <c r="T132" s="139"/>
      <c r="U132" s="140"/>
      <c r="V132" s="141" t="s">
        <v>595</v>
      </c>
      <c r="W132" s="139"/>
      <c r="X132" s="139"/>
      <c r="Y132" s="140"/>
    </row>
    <row r="133" spans="1:25" x14ac:dyDescent="0.25">
      <c r="A133" s="138" t="s">
        <v>676</v>
      </c>
      <c r="B133" s="138">
        <f>_xlfn.XLOOKUP(A133,'[2]FRV Output'!$B:$B,'[2]FRV Output'!$F:$F)</f>
        <v>1659365666</v>
      </c>
      <c r="C133" s="139"/>
      <c r="D133" s="139"/>
      <c r="E133" s="140"/>
      <c r="F133" s="141" t="s">
        <v>595</v>
      </c>
      <c r="G133" s="139"/>
      <c r="H133" s="139"/>
      <c r="I133" s="140"/>
      <c r="J133" s="141" t="s">
        <v>595</v>
      </c>
      <c r="K133" s="139"/>
      <c r="L133" s="139"/>
      <c r="M133" s="140"/>
      <c r="N133" s="141" t="s">
        <v>595</v>
      </c>
      <c r="O133" s="139"/>
      <c r="P133" s="139"/>
      <c r="Q133" s="140"/>
      <c r="R133" s="141" t="s">
        <v>595</v>
      </c>
      <c r="S133" s="139"/>
      <c r="T133" s="139"/>
      <c r="U133" s="140"/>
      <c r="V133" s="141" t="s">
        <v>595</v>
      </c>
      <c r="W133" s="139"/>
      <c r="X133" s="139"/>
      <c r="Y133" s="140"/>
    </row>
    <row r="134" spans="1:25" x14ac:dyDescent="0.25">
      <c r="A134" s="138" t="s">
        <v>300</v>
      </c>
      <c r="B134" s="138">
        <f>_xlfn.XLOOKUP(A134,'[2]FRV Output'!$B:$B,'[2]FRV Output'!$F:$F)</f>
        <v>1265556294</v>
      </c>
      <c r="C134" s="139">
        <v>3</v>
      </c>
      <c r="D134" s="139">
        <v>2018</v>
      </c>
      <c r="E134" s="140">
        <v>90857</v>
      </c>
      <c r="F134" s="141" t="s">
        <v>595</v>
      </c>
      <c r="G134" s="139">
        <v>3</v>
      </c>
      <c r="H134" s="139">
        <v>2020</v>
      </c>
      <c r="I134" s="140">
        <v>143728</v>
      </c>
      <c r="J134" s="141" t="s">
        <v>595</v>
      </c>
      <c r="K134" s="139"/>
      <c r="L134" s="139"/>
      <c r="M134" s="140"/>
      <c r="N134" s="141" t="s">
        <v>595</v>
      </c>
      <c r="O134" s="139"/>
      <c r="P134" s="139"/>
      <c r="Q134" s="140"/>
      <c r="R134" s="141" t="s">
        <v>595</v>
      </c>
      <c r="S134" s="139"/>
      <c r="T134" s="139"/>
      <c r="U134" s="140"/>
      <c r="V134" s="141" t="s">
        <v>595</v>
      </c>
      <c r="W134" s="139"/>
      <c r="X134" s="139"/>
      <c r="Y134" s="140"/>
    </row>
    <row r="135" spans="1:25" x14ac:dyDescent="0.25">
      <c r="A135" s="138" t="s">
        <v>677</v>
      </c>
      <c r="B135" s="138">
        <f>_xlfn.XLOOKUP(A135,'[2]FRV Output'!$B:$B,'[2]FRV Output'!$F:$F)</f>
        <v>1952766271</v>
      </c>
      <c r="C135" s="139">
        <v>3</v>
      </c>
      <c r="D135" s="139">
        <v>2016</v>
      </c>
      <c r="E135" s="140">
        <v>183846</v>
      </c>
      <c r="F135" s="141" t="s">
        <v>595</v>
      </c>
      <c r="G135" s="139">
        <v>3</v>
      </c>
      <c r="H135" s="139">
        <v>2018</v>
      </c>
      <c r="I135" s="140">
        <v>188852</v>
      </c>
      <c r="J135" s="141" t="s">
        <v>595</v>
      </c>
      <c r="K135" s="139">
        <v>1</v>
      </c>
      <c r="L135" s="139">
        <v>2021</v>
      </c>
      <c r="M135" s="140">
        <v>24</v>
      </c>
      <c r="N135" s="141" t="s">
        <v>678</v>
      </c>
      <c r="O135" s="139"/>
      <c r="P135" s="139"/>
      <c r="Q135" s="140"/>
      <c r="R135" s="141" t="s">
        <v>595</v>
      </c>
      <c r="S135" s="139"/>
      <c r="T135" s="139"/>
      <c r="U135" s="140"/>
      <c r="V135" s="141" t="s">
        <v>595</v>
      </c>
      <c r="W135" s="139"/>
      <c r="X135" s="139"/>
      <c r="Y135" s="140"/>
    </row>
    <row r="136" spans="1:25" x14ac:dyDescent="0.25">
      <c r="A136" s="142" t="s">
        <v>302</v>
      </c>
      <c r="B136" s="138">
        <f>_xlfn.XLOOKUP(A136,'[2]FRV Output'!$B:$B,'[2]FRV Output'!$F:$F)</f>
        <v>1609124155</v>
      </c>
      <c r="C136" s="139">
        <v>3</v>
      </c>
      <c r="D136" s="139">
        <v>2018</v>
      </c>
      <c r="E136" s="140">
        <v>77247</v>
      </c>
      <c r="F136" s="141" t="s">
        <v>595</v>
      </c>
      <c r="G136" s="139">
        <v>3</v>
      </c>
      <c r="H136" s="139">
        <v>2019</v>
      </c>
      <c r="I136" s="140">
        <v>50413</v>
      </c>
      <c r="J136" s="141" t="s">
        <v>595</v>
      </c>
      <c r="K136" s="139">
        <v>3</v>
      </c>
      <c r="L136" s="139">
        <v>2021</v>
      </c>
      <c r="M136" s="140">
        <v>55455</v>
      </c>
      <c r="N136" s="141" t="s">
        <v>595</v>
      </c>
      <c r="O136" s="139"/>
      <c r="P136" s="139"/>
      <c r="Q136" s="140"/>
      <c r="R136" s="141" t="s">
        <v>595</v>
      </c>
      <c r="S136" s="139"/>
      <c r="T136" s="139"/>
      <c r="U136" s="140"/>
      <c r="V136" s="141" t="s">
        <v>595</v>
      </c>
      <c r="W136" s="139"/>
      <c r="X136" s="139"/>
      <c r="Y136" s="140"/>
    </row>
    <row r="137" spans="1:25" x14ac:dyDescent="0.25">
      <c r="A137" s="138" t="s">
        <v>303</v>
      </c>
      <c r="B137" s="138">
        <f>_xlfn.XLOOKUP(A137,'[2]FRV Output'!$B:$B,'[2]FRV Output'!$F:$F)</f>
        <v>1407803828</v>
      </c>
      <c r="C137" s="139">
        <v>3</v>
      </c>
      <c r="D137" s="139">
        <v>2018</v>
      </c>
      <c r="E137" s="140">
        <v>52129</v>
      </c>
      <c r="F137" s="141" t="s">
        <v>595</v>
      </c>
      <c r="G137" s="139">
        <v>3</v>
      </c>
      <c r="H137" s="139">
        <v>2021</v>
      </c>
      <c r="I137" s="140">
        <v>105383</v>
      </c>
      <c r="J137" s="141" t="s">
        <v>595</v>
      </c>
      <c r="K137" s="139"/>
      <c r="L137" s="139"/>
      <c r="M137" s="140"/>
      <c r="N137" s="141" t="s">
        <v>595</v>
      </c>
      <c r="O137" s="139"/>
      <c r="P137" s="139"/>
      <c r="Q137" s="140"/>
      <c r="R137" s="141" t="s">
        <v>595</v>
      </c>
      <c r="S137" s="139"/>
      <c r="T137" s="139"/>
      <c r="U137" s="140"/>
      <c r="V137" s="141" t="s">
        <v>595</v>
      </c>
      <c r="W137" s="139"/>
      <c r="X137" s="139"/>
      <c r="Y137" s="140"/>
    </row>
    <row r="138" spans="1:25" x14ac:dyDescent="0.25">
      <c r="A138" s="138" t="s">
        <v>679</v>
      </c>
      <c r="B138" s="138">
        <f>_xlfn.XLOOKUP(A138,'[2]FRV Output'!$B:$B,'[2]FRV Output'!$F:$F)</f>
        <v>1821024274</v>
      </c>
      <c r="C138" s="139"/>
      <c r="D138" s="139"/>
      <c r="E138" s="140"/>
      <c r="F138" s="141" t="s">
        <v>595</v>
      </c>
      <c r="G138" s="139"/>
      <c r="H138" s="139"/>
      <c r="I138" s="140"/>
      <c r="J138" s="141" t="s">
        <v>595</v>
      </c>
      <c r="K138" s="139"/>
      <c r="L138" s="139"/>
      <c r="M138" s="140"/>
      <c r="N138" s="141" t="s">
        <v>595</v>
      </c>
      <c r="O138" s="139"/>
      <c r="P138" s="139"/>
      <c r="Q138" s="140"/>
      <c r="R138" s="141" t="s">
        <v>595</v>
      </c>
      <c r="S138" s="139"/>
      <c r="T138" s="139"/>
      <c r="U138" s="140"/>
      <c r="V138" s="141" t="s">
        <v>595</v>
      </c>
      <c r="W138" s="139"/>
      <c r="X138" s="139"/>
      <c r="Y138" s="140"/>
    </row>
    <row r="139" spans="1:25" x14ac:dyDescent="0.25">
      <c r="A139" s="138" t="s">
        <v>680</v>
      </c>
      <c r="B139" s="138">
        <f>_xlfn.XLOOKUP(A139,'[2]FRV Output'!$B:$B,'[2]FRV Output'!$F:$F)</f>
        <v>1770995094</v>
      </c>
      <c r="C139" s="139">
        <v>3</v>
      </c>
      <c r="D139" s="139">
        <v>2016</v>
      </c>
      <c r="E139" s="140">
        <v>92613</v>
      </c>
      <c r="F139" s="141" t="s">
        <v>595</v>
      </c>
      <c r="G139" s="139">
        <v>3</v>
      </c>
      <c r="H139" s="139">
        <v>2021</v>
      </c>
      <c r="I139" s="140">
        <v>107658</v>
      </c>
      <c r="J139" s="141" t="s">
        <v>595</v>
      </c>
      <c r="K139" s="139"/>
      <c r="L139" s="139"/>
      <c r="M139" s="140"/>
      <c r="N139" s="141" t="s">
        <v>595</v>
      </c>
      <c r="O139" s="139"/>
      <c r="P139" s="139"/>
      <c r="Q139" s="140"/>
      <c r="R139" s="141" t="s">
        <v>595</v>
      </c>
      <c r="S139" s="139"/>
      <c r="T139" s="139"/>
      <c r="U139" s="140"/>
      <c r="V139" s="141" t="s">
        <v>595</v>
      </c>
      <c r="W139" s="139"/>
      <c r="X139" s="139"/>
      <c r="Y139" s="140"/>
    </row>
    <row r="140" spans="1:25" x14ac:dyDescent="0.25">
      <c r="A140" s="142" t="s">
        <v>306</v>
      </c>
      <c r="B140" s="138">
        <f>_xlfn.XLOOKUP(A140,'[2]FRV Output'!$B:$B,'[2]FRV Output'!$F:$F)</f>
        <v>1275508970</v>
      </c>
      <c r="C140" s="139">
        <v>3</v>
      </c>
      <c r="D140" s="139">
        <v>2016</v>
      </c>
      <c r="E140" s="140">
        <v>17283</v>
      </c>
      <c r="F140" s="141" t="s">
        <v>595</v>
      </c>
      <c r="G140" s="139">
        <v>3</v>
      </c>
      <c r="H140" s="139">
        <v>2018</v>
      </c>
      <c r="I140" s="140">
        <v>26036</v>
      </c>
      <c r="J140" s="141" t="s">
        <v>595</v>
      </c>
      <c r="K140" s="139">
        <v>3</v>
      </c>
      <c r="L140" s="139">
        <v>2019</v>
      </c>
      <c r="M140" s="140">
        <v>17404</v>
      </c>
      <c r="N140" s="141" t="s">
        <v>595</v>
      </c>
      <c r="O140" s="139">
        <v>3</v>
      </c>
      <c r="P140" s="139">
        <v>2020</v>
      </c>
      <c r="Q140" s="140">
        <v>16926</v>
      </c>
      <c r="R140" s="141" t="s">
        <v>595</v>
      </c>
      <c r="S140" s="139">
        <v>3</v>
      </c>
      <c r="T140" s="139">
        <v>2021</v>
      </c>
      <c r="U140" s="140">
        <v>36164</v>
      </c>
      <c r="V140" s="141" t="s">
        <v>595</v>
      </c>
      <c r="W140" s="139"/>
      <c r="X140" s="139"/>
      <c r="Y140" s="140"/>
    </row>
    <row r="141" spans="1:25" x14ac:dyDescent="0.25">
      <c r="A141" s="138" t="s">
        <v>307</v>
      </c>
      <c r="B141" s="138">
        <f>_xlfn.XLOOKUP(A141,'[2]FRV Output'!$B:$B,'[2]FRV Output'!$F:$F)</f>
        <v>1417944752</v>
      </c>
      <c r="C141" s="139">
        <v>3</v>
      </c>
      <c r="D141" s="139">
        <v>2020</v>
      </c>
      <c r="E141" s="140">
        <v>321912</v>
      </c>
      <c r="F141" s="141" t="s">
        <v>595</v>
      </c>
      <c r="G141" s="139">
        <v>3</v>
      </c>
      <c r="H141" s="139">
        <v>2021</v>
      </c>
      <c r="I141" s="140">
        <v>227215</v>
      </c>
      <c r="J141" s="141" t="s">
        <v>595</v>
      </c>
      <c r="K141" s="139"/>
      <c r="L141" s="139"/>
      <c r="M141" s="140"/>
      <c r="N141" s="141" t="s">
        <v>595</v>
      </c>
      <c r="O141" s="139"/>
      <c r="P141" s="139"/>
      <c r="Q141" s="140"/>
      <c r="R141" s="141" t="s">
        <v>595</v>
      </c>
      <c r="S141" s="139"/>
      <c r="T141" s="139"/>
      <c r="U141" s="140"/>
      <c r="V141" s="141" t="s">
        <v>595</v>
      </c>
      <c r="W141" s="139"/>
      <c r="X141" s="139"/>
      <c r="Y141" s="140"/>
    </row>
    <row r="142" spans="1:25" x14ac:dyDescent="0.25">
      <c r="A142" s="138" t="s">
        <v>308</v>
      </c>
      <c r="B142" s="138">
        <f>_xlfn.XLOOKUP(A142,'[2]FRV Output'!$B:$B,'[2]FRV Output'!$F:$F)</f>
        <v>1396747689</v>
      </c>
      <c r="C142" s="139">
        <v>3</v>
      </c>
      <c r="D142" s="139">
        <v>2016</v>
      </c>
      <c r="E142" s="140">
        <v>376856</v>
      </c>
      <c r="F142" s="141" t="s">
        <v>595</v>
      </c>
      <c r="G142" s="139">
        <v>3</v>
      </c>
      <c r="H142" s="139">
        <v>2020</v>
      </c>
      <c r="I142" s="140">
        <v>61588</v>
      </c>
      <c r="J142" s="141" t="s">
        <v>595</v>
      </c>
      <c r="K142" s="139">
        <v>3</v>
      </c>
      <c r="L142" s="139">
        <v>2021</v>
      </c>
      <c r="M142" s="140">
        <v>84360</v>
      </c>
      <c r="N142" s="141" t="s">
        <v>595</v>
      </c>
      <c r="O142" s="139"/>
      <c r="P142" s="139"/>
      <c r="Q142" s="140"/>
      <c r="R142" s="141" t="s">
        <v>595</v>
      </c>
      <c r="S142" s="139"/>
      <c r="T142" s="139"/>
      <c r="U142" s="140"/>
      <c r="V142" s="141" t="s">
        <v>595</v>
      </c>
      <c r="W142" s="139"/>
      <c r="X142" s="139"/>
      <c r="Y142" s="140"/>
    </row>
    <row r="143" spans="1:25" x14ac:dyDescent="0.25">
      <c r="A143" s="138" t="s">
        <v>309</v>
      </c>
      <c r="B143" s="138">
        <f>_xlfn.XLOOKUP(A143,'[2]FRV Output'!$B:$B,'[2]FRV Output'!$F:$F)</f>
        <v>1932135381</v>
      </c>
      <c r="C143" s="139">
        <v>3</v>
      </c>
      <c r="D143" s="139">
        <v>2018</v>
      </c>
      <c r="E143" s="140">
        <v>34555</v>
      </c>
      <c r="F143" s="141" t="s">
        <v>595</v>
      </c>
      <c r="G143" s="139">
        <v>3</v>
      </c>
      <c r="H143" s="139">
        <v>2020</v>
      </c>
      <c r="I143" s="140">
        <v>51578</v>
      </c>
      <c r="J143" s="141" t="s">
        <v>595</v>
      </c>
      <c r="K143" s="139">
        <v>3</v>
      </c>
      <c r="L143" s="139">
        <v>2021</v>
      </c>
      <c r="M143" s="140">
        <v>55332</v>
      </c>
      <c r="N143" s="141" t="s">
        <v>595</v>
      </c>
      <c r="O143" s="139"/>
      <c r="P143" s="139"/>
      <c r="Q143" s="140"/>
      <c r="R143" s="141" t="s">
        <v>595</v>
      </c>
      <c r="S143" s="139"/>
      <c r="T143" s="139"/>
      <c r="U143" s="140"/>
      <c r="V143" s="141" t="s">
        <v>595</v>
      </c>
      <c r="W143" s="139"/>
      <c r="X143" s="139"/>
      <c r="Y143" s="140"/>
    </row>
    <row r="144" spans="1:25" x14ac:dyDescent="0.25">
      <c r="A144" s="142" t="s">
        <v>310</v>
      </c>
      <c r="B144" s="138">
        <f>_xlfn.XLOOKUP(A144,'[2]FRV Output'!$B:$B,'[2]FRV Output'!$F:$F)</f>
        <v>1710932355</v>
      </c>
      <c r="C144" s="139">
        <v>3</v>
      </c>
      <c r="D144" s="139">
        <v>2016</v>
      </c>
      <c r="E144" s="140">
        <v>30750</v>
      </c>
      <c r="F144" s="141" t="s">
        <v>595</v>
      </c>
      <c r="G144" s="139">
        <v>3</v>
      </c>
      <c r="H144" s="139">
        <v>2017</v>
      </c>
      <c r="I144" s="140">
        <v>67319</v>
      </c>
      <c r="J144" s="141" t="s">
        <v>595</v>
      </c>
      <c r="K144" s="139">
        <v>3</v>
      </c>
      <c r="L144" s="139">
        <v>2018</v>
      </c>
      <c r="M144" s="140">
        <v>38687</v>
      </c>
      <c r="N144" s="141" t="s">
        <v>595</v>
      </c>
      <c r="O144" s="139">
        <v>3</v>
      </c>
      <c r="P144" s="139">
        <v>2019</v>
      </c>
      <c r="Q144" s="140">
        <v>154884</v>
      </c>
      <c r="R144" s="141" t="s">
        <v>595</v>
      </c>
      <c r="S144" s="139">
        <v>3</v>
      </c>
      <c r="T144" s="139">
        <v>2020</v>
      </c>
      <c r="U144" s="140">
        <v>131321</v>
      </c>
      <c r="V144" s="141" t="s">
        <v>595</v>
      </c>
      <c r="W144" s="139"/>
      <c r="X144" s="139"/>
      <c r="Y144" s="140"/>
    </row>
    <row r="145" spans="1:25" x14ac:dyDescent="0.25">
      <c r="A145" s="138" t="s">
        <v>681</v>
      </c>
      <c r="B145" s="138">
        <f>_xlfn.XLOOKUP(A145,'[2]FRV Output'!$B:$B,'[2]FRV Output'!$F:$F)</f>
        <v>1376570275</v>
      </c>
      <c r="C145" s="139">
        <v>3</v>
      </c>
      <c r="D145" s="139">
        <v>2021</v>
      </c>
      <c r="E145" s="140">
        <v>165263</v>
      </c>
      <c r="F145" s="141" t="s">
        <v>595</v>
      </c>
      <c r="G145" s="139"/>
      <c r="H145" s="139"/>
      <c r="I145" s="140"/>
      <c r="J145" s="141" t="s">
        <v>595</v>
      </c>
      <c r="K145" s="139"/>
      <c r="L145" s="139"/>
      <c r="M145" s="140"/>
      <c r="N145" s="141" t="s">
        <v>595</v>
      </c>
      <c r="O145" s="139"/>
      <c r="P145" s="139"/>
      <c r="Q145" s="140"/>
      <c r="R145" s="141" t="s">
        <v>595</v>
      </c>
      <c r="S145" s="139"/>
      <c r="T145" s="139"/>
      <c r="U145" s="140"/>
      <c r="V145" s="141" t="s">
        <v>595</v>
      </c>
      <c r="W145" s="139"/>
      <c r="X145" s="139"/>
      <c r="Y145" s="140"/>
    </row>
    <row r="146" spans="1:25" x14ac:dyDescent="0.25">
      <c r="A146" s="138" t="s">
        <v>312</v>
      </c>
      <c r="B146" s="138">
        <f>_xlfn.XLOOKUP(A146,'[2]FRV Output'!$B:$B,'[2]FRV Output'!$F:$F)</f>
        <v>1417951492</v>
      </c>
      <c r="C146" s="139"/>
      <c r="D146" s="139"/>
      <c r="E146" s="140"/>
      <c r="F146" s="141" t="s">
        <v>595</v>
      </c>
      <c r="G146" s="139"/>
      <c r="H146" s="139"/>
      <c r="I146" s="140"/>
      <c r="J146" s="141" t="s">
        <v>595</v>
      </c>
      <c r="K146" s="139"/>
      <c r="L146" s="139"/>
      <c r="M146" s="140"/>
      <c r="N146" s="141" t="s">
        <v>595</v>
      </c>
      <c r="O146" s="139"/>
      <c r="P146" s="139"/>
      <c r="Q146" s="140"/>
      <c r="R146" s="141" t="s">
        <v>595</v>
      </c>
      <c r="S146" s="139"/>
      <c r="T146" s="139"/>
      <c r="U146" s="140"/>
      <c r="V146" s="141" t="s">
        <v>595</v>
      </c>
      <c r="W146" s="139"/>
      <c r="X146" s="139"/>
      <c r="Y146" s="140"/>
    </row>
    <row r="147" spans="1:25" x14ac:dyDescent="0.25">
      <c r="A147" s="142" t="s">
        <v>313</v>
      </c>
      <c r="B147" s="138">
        <f>_xlfn.XLOOKUP(A147,'[2]FRV Output'!$B:$B,'[2]FRV Output'!$F:$F)</f>
        <v>1730183625</v>
      </c>
      <c r="C147" s="139"/>
      <c r="D147" s="139"/>
      <c r="E147" s="140"/>
      <c r="F147" s="148" t="s">
        <v>595</v>
      </c>
      <c r="G147" s="139"/>
      <c r="H147" s="139"/>
      <c r="I147" s="140"/>
      <c r="J147" s="148" t="s">
        <v>595</v>
      </c>
      <c r="K147" s="139"/>
      <c r="L147" s="139"/>
      <c r="M147" s="140"/>
      <c r="N147" s="148" t="s">
        <v>595</v>
      </c>
      <c r="O147" s="139"/>
      <c r="P147" s="139"/>
      <c r="Q147" s="140"/>
      <c r="R147" s="148" t="s">
        <v>595</v>
      </c>
      <c r="S147" s="139"/>
      <c r="T147" s="139"/>
      <c r="U147" s="140"/>
      <c r="V147" s="141" t="s">
        <v>595</v>
      </c>
      <c r="W147" s="139"/>
      <c r="X147" s="139"/>
      <c r="Y147" s="140"/>
    </row>
    <row r="148" spans="1:25" x14ac:dyDescent="0.25">
      <c r="A148" s="138" t="s">
        <v>682</v>
      </c>
      <c r="B148" s="138">
        <f>_xlfn.XLOOKUP(A148,'[2]FRV Output'!$B:$B,'[2]FRV Output'!$F:$F)</f>
        <v>1730136128</v>
      </c>
      <c r="C148" s="139">
        <v>3</v>
      </c>
      <c r="D148" s="139">
        <v>2017</v>
      </c>
      <c r="E148" s="140">
        <v>65406</v>
      </c>
      <c r="F148" s="141" t="s">
        <v>595</v>
      </c>
      <c r="G148" s="139">
        <v>3</v>
      </c>
      <c r="H148" s="139">
        <v>2018</v>
      </c>
      <c r="I148" s="140">
        <v>148431</v>
      </c>
      <c r="J148" s="141" t="s">
        <v>595</v>
      </c>
      <c r="K148" s="139"/>
      <c r="L148" s="139"/>
      <c r="M148" s="140"/>
      <c r="N148" s="141" t="s">
        <v>595</v>
      </c>
      <c r="O148" s="139"/>
      <c r="P148" s="139"/>
      <c r="Q148" s="140"/>
      <c r="R148" s="141" t="s">
        <v>595</v>
      </c>
      <c r="S148" s="139"/>
      <c r="T148" s="139"/>
      <c r="U148" s="140"/>
      <c r="V148" s="141" t="s">
        <v>595</v>
      </c>
      <c r="W148" s="139"/>
      <c r="X148" s="139"/>
      <c r="Y148" s="140"/>
    </row>
    <row r="149" spans="1:25" x14ac:dyDescent="0.25">
      <c r="A149" s="142" t="s">
        <v>315</v>
      </c>
      <c r="B149" s="138">
        <f>_xlfn.XLOOKUP(A149,'[2]FRV Output'!$B:$B,'[2]FRV Output'!$F:$F)</f>
        <v>1679555403</v>
      </c>
      <c r="C149" s="139">
        <v>3</v>
      </c>
      <c r="D149" s="139">
        <v>2016</v>
      </c>
      <c r="E149" s="140">
        <v>146564</v>
      </c>
      <c r="F149" s="141" t="s">
        <v>595</v>
      </c>
      <c r="G149" s="139">
        <v>3</v>
      </c>
      <c r="H149" s="139">
        <v>2017</v>
      </c>
      <c r="I149" s="140">
        <v>124810</v>
      </c>
      <c r="J149" s="141" t="s">
        <v>595</v>
      </c>
      <c r="K149" s="139">
        <v>3</v>
      </c>
      <c r="L149" s="139">
        <v>2018</v>
      </c>
      <c r="M149" s="140">
        <v>115738</v>
      </c>
      <c r="N149" s="141" t="s">
        <v>595</v>
      </c>
      <c r="O149" s="139">
        <v>3</v>
      </c>
      <c r="P149" s="139">
        <v>2019</v>
      </c>
      <c r="Q149" s="140">
        <v>241225</v>
      </c>
      <c r="R149" s="141" t="s">
        <v>595</v>
      </c>
      <c r="S149" s="139">
        <v>3</v>
      </c>
      <c r="T149" s="139">
        <v>2020</v>
      </c>
      <c r="U149" s="140">
        <v>87808</v>
      </c>
      <c r="V149" s="141" t="s">
        <v>595</v>
      </c>
      <c r="W149" s="139">
        <v>3</v>
      </c>
      <c r="X149" s="139">
        <v>2021</v>
      </c>
      <c r="Y149" s="140">
        <v>71750</v>
      </c>
    </row>
    <row r="150" spans="1:25" x14ac:dyDescent="0.25">
      <c r="A150" s="138" t="s">
        <v>316</v>
      </c>
      <c r="B150" s="138">
        <f>_xlfn.XLOOKUP(A150,'[2]FRV Output'!$B:$B,'[2]FRV Output'!$F:$F)</f>
        <v>1982948550</v>
      </c>
      <c r="C150" s="139">
        <v>3</v>
      </c>
      <c r="D150" s="139">
        <v>2016</v>
      </c>
      <c r="E150" s="140">
        <v>138198</v>
      </c>
      <c r="F150" s="141" t="s">
        <v>595</v>
      </c>
      <c r="G150" s="139">
        <v>3</v>
      </c>
      <c r="H150" s="139">
        <v>2017</v>
      </c>
      <c r="I150" s="140">
        <v>49303</v>
      </c>
      <c r="J150" s="141" t="s">
        <v>595</v>
      </c>
      <c r="K150" s="139">
        <v>3</v>
      </c>
      <c r="L150" s="139">
        <v>2018</v>
      </c>
      <c r="M150" s="140">
        <v>33635</v>
      </c>
      <c r="N150" s="141" t="s">
        <v>595</v>
      </c>
      <c r="O150" s="139">
        <v>3</v>
      </c>
      <c r="P150" s="139">
        <v>2020</v>
      </c>
      <c r="Q150" s="140">
        <v>38538</v>
      </c>
      <c r="R150" s="141" t="s">
        <v>595</v>
      </c>
      <c r="S150" s="139"/>
      <c r="T150" s="139"/>
      <c r="U150" s="140"/>
      <c r="V150" s="141" t="s">
        <v>595</v>
      </c>
      <c r="W150" s="139"/>
      <c r="X150" s="139"/>
      <c r="Y150" s="140"/>
    </row>
    <row r="151" spans="1:25" x14ac:dyDescent="0.25">
      <c r="A151" s="138" t="s">
        <v>317</v>
      </c>
      <c r="B151" s="138">
        <f>_xlfn.XLOOKUP(A151,'[2]FRV Output'!$B:$B,'[2]FRV Output'!$F:$F)</f>
        <v>1174524458</v>
      </c>
      <c r="C151" s="139">
        <v>3</v>
      </c>
      <c r="D151" s="139">
        <v>2017</v>
      </c>
      <c r="E151" s="140">
        <v>5568696</v>
      </c>
      <c r="F151" s="141" t="s">
        <v>595</v>
      </c>
      <c r="G151" s="139"/>
      <c r="H151" s="139"/>
      <c r="I151" s="140"/>
      <c r="J151" s="141" t="s">
        <v>595</v>
      </c>
      <c r="K151" s="139"/>
      <c r="L151" s="139"/>
      <c r="M151" s="140"/>
      <c r="N151" s="141" t="s">
        <v>595</v>
      </c>
      <c r="O151" s="139"/>
      <c r="P151" s="139"/>
      <c r="Q151" s="140"/>
      <c r="R151" s="141" t="s">
        <v>595</v>
      </c>
      <c r="S151" s="139"/>
      <c r="T151" s="139"/>
      <c r="U151" s="140"/>
      <c r="V151" s="141" t="s">
        <v>595</v>
      </c>
      <c r="W151" s="139"/>
      <c r="X151" s="139"/>
      <c r="Y151" s="140"/>
    </row>
    <row r="152" spans="1:25" x14ac:dyDescent="0.25">
      <c r="A152" s="138" t="s">
        <v>318</v>
      </c>
      <c r="B152" s="138">
        <f>_xlfn.XLOOKUP(A152,'[2]FRV Output'!$B:$B,'[2]FRV Output'!$F:$F)</f>
        <v>1477511079</v>
      </c>
      <c r="C152" s="139"/>
      <c r="D152" s="139"/>
      <c r="E152" s="140"/>
      <c r="F152" s="141" t="s">
        <v>595</v>
      </c>
      <c r="G152" s="139"/>
      <c r="H152" s="139"/>
      <c r="I152" s="140"/>
      <c r="J152" s="141" t="s">
        <v>595</v>
      </c>
      <c r="K152" s="139"/>
      <c r="L152" s="139"/>
      <c r="M152" s="140"/>
      <c r="N152" s="141" t="s">
        <v>595</v>
      </c>
      <c r="O152" s="139"/>
      <c r="P152" s="139"/>
      <c r="Q152" s="140"/>
      <c r="R152" s="141" t="s">
        <v>595</v>
      </c>
      <c r="S152" s="139"/>
      <c r="T152" s="139"/>
      <c r="U152" s="140"/>
      <c r="V152" s="141" t="s">
        <v>595</v>
      </c>
      <c r="W152" s="139"/>
      <c r="X152" s="139"/>
      <c r="Y152" s="140"/>
    </row>
    <row r="153" spans="1:25" x14ac:dyDescent="0.25">
      <c r="A153" s="138" t="s">
        <v>319</v>
      </c>
      <c r="B153" s="138">
        <f>_xlfn.XLOOKUP(A153,'[2]FRV Output'!$B:$B,'[2]FRV Output'!$F:$F)</f>
        <v>1396802260</v>
      </c>
      <c r="C153" s="139">
        <v>3</v>
      </c>
      <c r="D153" s="139">
        <v>2016</v>
      </c>
      <c r="E153" s="140">
        <v>40770</v>
      </c>
      <c r="F153" s="141" t="s">
        <v>595</v>
      </c>
      <c r="G153" s="139">
        <v>3</v>
      </c>
      <c r="H153" s="139">
        <v>2017</v>
      </c>
      <c r="I153" s="140">
        <v>101235</v>
      </c>
      <c r="J153" s="141" t="s">
        <v>595</v>
      </c>
      <c r="K153" s="139">
        <v>3</v>
      </c>
      <c r="L153" s="139">
        <v>2021</v>
      </c>
      <c r="M153" s="140">
        <v>28058</v>
      </c>
      <c r="N153" s="141" t="s">
        <v>595</v>
      </c>
      <c r="O153" s="139"/>
      <c r="P153" s="139"/>
      <c r="Q153" s="140"/>
      <c r="R153" s="141" t="s">
        <v>595</v>
      </c>
      <c r="S153" s="139"/>
      <c r="T153" s="139"/>
      <c r="U153" s="140"/>
      <c r="V153" s="141" t="s">
        <v>595</v>
      </c>
      <c r="W153" s="139"/>
      <c r="X153" s="139"/>
      <c r="Y153" s="140"/>
    </row>
    <row r="154" spans="1:25" x14ac:dyDescent="0.25">
      <c r="A154" s="138" t="s">
        <v>320</v>
      </c>
      <c r="B154" s="138">
        <f>_xlfn.XLOOKUP(A154,'[2]FRV Output'!$B:$B,'[2]FRV Output'!$F:$F)</f>
        <v>1588618045</v>
      </c>
      <c r="C154" s="139">
        <v>3</v>
      </c>
      <c r="D154" s="139">
        <v>2018</v>
      </c>
      <c r="E154" s="140">
        <v>71218</v>
      </c>
      <c r="F154" s="141" t="s">
        <v>595</v>
      </c>
      <c r="G154" s="139">
        <v>3</v>
      </c>
      <c r="H154" s="139">
        <v>2021</v>
      </c>
      <c r="I154" s="140">
        <v>60836</v>
      </c>
      <c r="J154" s="141" t="s">
        <v>595</v>
      </c>
      <c r="K154" s="139"/>
      <c r="L154" s="139"/>
      <c r="M154" s="140"/>
      <c r="N154" s="141" t="s">
        <v>595</v>
      </c>
      <c r="O154" s="139"/>
      <c r="P154" s="139"/>
      <c r="Q154" s="140"/>
      <c r="R154" s="141" t="s">
        <v>595</v>
      </c>
      <c r="S154" s="139"/>
      <c r="T154" s="139"/>
      <c r="U154" s="140"/>
      <c r="V154" s="141" t="s">
        <v>595</v>
      </c>
      <c r="W154" s="139"/>
      <c r="X154" s="139"/>
      <c r="Y154" s="140"/>
    </row>
    <row r="155" spans="1:25" x14ac:dyDescent="0.25">
      <c r="A155" s="142" t="s">
        <v>321</v>
      </c>
      <c r="B155" s="138">
        <f>_xlfn.XLOOKUP(A155,'[2]FRV Output'!$B:$B,'[2]FRV Output'!$F:$F)</f>
        <v>1962066480</v>
      </c>
      <c r="C155" s="139">
        <v>3</v>
      </c>
      <c r="D155" s="139">
        <v>2019</v>
      </c>
      <c r="E155" s="140">
        <v>71465</v>
      </c>
      <c r="F155" s="141" t="s">
        <v>595</v>
      </c>
      <c r="G155" s="139">
        <v>3</v>
      </c>
      <c r="H155" s="139">
        <v>2020</v>
      </c>
      <c r="I155" s="140">
        <v>169988</v>
      </c>
      <c r="J155" s="141" t="s">
        <v>595</v>
      </c>
      <c r="K155" s="139"/>
      <c r="L155" s="139"/>
      <c r="M155" s="140"/>
      <c r="N155" s="141" t="s">
        <v>595</v>
      </c>
      <c r="O155" s="139"/>
      <c r="P155" s="139"/>
      <c r="Q155" s="140"/>
      <c r="R155" s="141" t="s">
        <v>595</v>
      </c>
      <c r="S155" s="139"/>
      <c r="T155" s="139"/>
      <c r="U155" s="140"/>
      <c r="V155" s="141" t="s">
        <v>595</v>
      </c>
      <c r="W155" s="139"/>
      <c r="X155" s="139"/>
      <c r="Y155" s="140"/>
    </row>
    <row r="156" spans="1:25" x14ac:dyDescent="0.25">
      <c r="A156" s="138" t="s">
        <v>683</v>
      </c>
      <c r="B156" s="138">
        <f>_xlfn.XLOOKUP(A156,'[2]FRV Output'!$B:$B,'[2]FRV Output'!$F:$F)</f>
        <v>1366487464</v>
      </c>
      <c r="C156" s="139">
        <v>3</v>
      </c>
      <c r="D156" s="139">
        <v>2021</v>
      </c>
      <c r="E156" s="140">
        <v>43424</v>
      </c>
      <c r="F156" s="141" t="s">
        <v>595</v>
      </c>
      <c r="G156" s="139"/>
      <c r="H156" s="139"/>
      <c r="I156" s="140"/>
      <c r="J156" s="141" t="s">
        <v>595</v>
      </c>
      <c r="K156" s="139"/>
      <c r="L156" s="139"/>
      <c r="M156" s="140"/>
      <c r="N156" s="141" t="s">
        <v>595</v>
      </c>
      <c r="O156" s="139"/>
      <c r="P156" s="139"/>
      <c r="Q156" s="140"/>
      <c r="R156" s="141" t="s">
        <v>595</v>
      </c>
      <c r="S156" s="139"/>
      <c r="T156" s="139"/>
      <c r="U156" s="140"/>
      <c r="V156" s="141" t="s">
        <v>595</v>
      </c>
      <c r="W156" s="139"/>
      <c r="X156" s="139"/>
      <c r="Y156" s="140"/>
    </row>
    <row r="157" spans="1:25" x14ac:dyDescent="0.25">
      <c r="A157" s="138" t="s">
        <v>684</v>
      </c>
      <c r="B157" s="138">
        <f>_xlfn.XLOOKUP(A157,'[2]FRV Output'!$B:$B,'[2]FRV Output'!$F:$F)</f>
        <v>1407882830</v>
      </c>
      <c r="C157" s="139">
        <v>3</v>
      </c>
      <c r="D157" s="139">
        <v>2018</v>
      </c>
      <c r="E157" s="140">
        <v>128020</v>
      </c>
      <c r="F157" s="141" t="s">
        <v>595</v>
      </c>
      <c r="G157" s="139">
        <v>3</v>
      </c>
      <c r="H157" s="139">
        <v>2021</v>
      </c>
      <c r="I157" s="140">
        <v>57335</v>
      </c>
      <c r="J157" s="141" t="s">
        <v>595</v>
      </c>
      <c r="K157" s="139"/>
      <c r="L157" s="139"/>
      <c r="M157" s="140"/>
      <c r="N157" s="141" t="s">
        <v>595</v>
      </c>
      <c r="O157" s="139"/>
      <c r="P157" s="139"/>
      <c r="Q157" s="140"/>
      <c r="R157" s="141" t="s">
        <v>595</v>
      </c>
      <c r="S157" s="139"/>
      <c r="T157" s="139"/>
      <c r="U157" s="140"/>
      <c r="V157" s="141" t="s">
        <v>595</v>
      </c>
      <c r="W157" s="139"/>
      <c r="X157" s="139"/>
      <c r="Y157" s="140"/>
    </row>
    <row r="158" spans="1:25" x14ac:dyDescent="0.25">
      <c r="A158" s="138" t="s">
        <v>324</v>
      </c>
      <c r="B158" s="138">
        <f>_xlfn.XLOOKUP(A158,'[2]FRV Output'!$B:$B,'[2]FRV Output'!$F:$F)</f>
        <v>1588642102</v>
      </c>
      <c r="C158" s="139"/>
      <c r="D158" s="139"/>
      <c r="E158" s="140"/>
      <c r="F158" s="141" t="s">
        <v>595</v>
      </c>
      <c r="G158" s="139"/>
      <c r="H158" s="139"/>
      <c r="I158" s="140"/>
      <c r="J158" s="141" t="s">
        <v>595</v>
      </c>
      <c r="K158" s="139"/>
      <c r="L158" s="139"/>
      <c r="M158" s="140"/>
      <c r="N158" s="141" t="s">
        <v>595</v>
      </c>
      <c r="O158" s="139"/>
      <c r="P158" s="139"/>
      <c r="Q158" s="140"/>
      <c r="R158" s="141" t="s">
        <v>595</v>
      </c>
      <c r="S158" s="139"/>
      <c r="T158" s="139"/>
      <c r="U158" s="140"/>
      <c r="V158" s="141" t="s">
        <v>595</v>
      </c>
      <c r="W158" s="139"/>
      <c r="X158" s="139"/>
      <c r="Y158" s="140"/>
    </row>
    <row r="159" spans="1:25" x14ac:dyDescent="0.25">
      <c r="A159" s="138" t="s">
        <v>685</v>
      </c>
      <c r="B159" s="138">
        <f>_xlfn.XLOOKUP(A159,'[2]FRV Output'!$B:$B,'[2]FRV Output'!$F:$F)</f>
        <v>1063458958</v>
      </c>
      <c r="C159" s="139">
        <v>3</v>
      </c>
      <c r="D159" s="139">
        <v>2017</v>
      </c>
      <c r="E159" s="140">
        <v>60454</v>
      </c>
      <c r="F159" s="141" t="s">
        <v>595</v>
      </c>
      <c r="G159" s="139"/>
      <c r="H159" s="139"/>
      <c r="I159" s="140"/>
      <c r="J159" s="141" t="s">
        <v>595</v>
      </c>
      <c r="K159" s="139"/>
      <c r="L159" s="139"/>
      <c r="M159" s="140"/>
      <c r="N159" s="141" t="s">
        <v>595</v>
      </c>
      <c r="O159" s="139"/>
      <c r="P159" s="139"/>
      <c r="Q159" s="140"/>
      <c r="R159" s="141" t="s">
        <v>595</v>
      </c>
      <c r="S159" s="139"/>
      <c r="T159" s="139"/>
      <c r="U159" s="140"/>
      <c r="V159" s="141" t="s">
        <v>595</v>
      </c>
      <c r="W159" s="139"/>
      <c r="X159" s="139"/>
      <c r="Y159" s="140"/>
    </row>
    <row r="160" spans="1:25" x14ac:dyDescent="0.25">
      <c r="A160" s="138" t="s">
        <v>686</v>
      </c>
      <c r="B160" s="138">
        <f>_xlfn.XLOOKUP(A160,'[2]FRV Output'!$B:$B,'[2]FRV Output'!$F:$F)</f>
        <v>1619908977</v>
      </c>
      <c r="C160" s="139">
        <v>3</v>
      </c>
      <c r="D160" s="139">
        <v>2020</v>
      </c>
      <c r="E160" s="140">
        <v>95499</v>
      </c>
      <c r="F160" s="141" t="s">
        <v>595</v>
      </c>
      <c r="G160" s="139"/>
      <c r="H160" s="139"/>
      <c r="I160" s="140"/>
      <c r="J160" s="141" t="s">
        <v>595</v>
      </c>
      <c r="K160" s="139"/>
      <c r="L160" s="139"/>
      <c r="M160" s="140"/>
      <c r="N160" s="141" t="s">
        <v>595</v>
      </c>
      <c r="O160" s="139"/>
      <c r="P160" s="139"/>
      <c r="Q160" s="140"/>
      <c r="R160" s="141" t="s">
        <v>595</v>
      </c>
      <c r="S160" s="139"/>
      <c r="T160" s="139"/>
      <c r="U160" s="140"/>
      <c r="V160" s="141" t="s">
        <v>595</v>
      </c>
      <c r="W160" s="139"/>
      <c r="X160" s="139"/>
      <c r="Y160" s="140"/>
    </row>
    <row r="161" spans="1:25" x14ac:dyDescent="0.25">
      <c r="A161" s="142" t="s">
        <v>327</v>
      </c>
      <c r="B161" s="138">
        <f>_xlfn.XLOOKUP(A161,'[2]FRV Output'!$B:$B,'[2]FRV Output'!$F:$F)</f>
        <v>1033784970</v>
      </c>
      <c r="C161" s="139">
        <v>3</v>
      </c>
      <c r="D161" s="139">
        <v>2016</v>
      </c>
      <c r="E161" s="140">
        <v>107858</v>
      </c>
      <c r="F161" s="141" t="s">
        <v>595</v>
      </c>
      <c r="G161" s="139">
        <v>3</v>
      </c>
      <c r="H161" s="139">
        <v>2017</v>
      </c>
      <c r="I161" s="140">
        <v>55965</v>
      </c>
      <c r="J161" s="141" t="s">
        <v>595</v>
      </c>
      <c r="K161" s="139">
        <v>3</v>
      </c>
      <c r="L161" s="139">
        <v>2018</v>
      </c>
      <c r="M161" s="140">
        <v>193310</v>
      </c>
      <c r="N161" s="141" t="s">
        <v>595</v>
      </c>
      <c r="O161" s="139">
        <v>3</v>
      </c>
      <c r="P161" s="139">
        <v>2019</v>
      </c>
      <c r="Q161" s="140">
        <v>172761</v>
      </c>
      <c r="R161" s="141" t="s">
        <v>595</v>
      </c>
      <c r="S161" s="139">
        <v>3</v>
      </c>
      <c r="T161" s="139">
        <v>2020</v>
      </c>
      <c r="U161" s="140">
        <v>89187</v>
      </c>
      <c r="V161" s="141" t="s">
        <v>595</v>
      </c>
      <c r="W161" s="139">
        <v>3</v>
      </c>
      <c r="X161" s="139">
        <v>2021</v>
      </c>
      <c r="Y161" s="140">
        <v>59285</v>
      </c>
    </row>
    <row r="162" spans="1:25" x14ac:dyDescent="0.25">
      <c r="A162" s="138" t="s">
        <v>687</v>
      </c>
      <c r="B162" s="138">
        <f>_xlfn.XLOOKUP(A162,'[2]FRV Output'!$B:$B,'[2]FRV Output'!$F:$F)</f>
        <v>1437609732</v>
      </c>
      <c r="C162" s="139">
        <v>3</v>
      </c>
      <c r="D162" s="139">
        <v>2017</v>
      </c>
      <c r="E162" s="140">
        <v>85510.64</v>
      </c>
      <c r="F162" s="141" t="s">
        <v>595</v>
      </c>
      <c r="G162" s="139">
        <v>3</v>
      </c>
      <c r="H162" s="139">
        <v>2021</v>
      </c>
      <c r="I162" s="140">
        <v>80179</v>
      </c>
      <c r="J162" s="141" t="s">
        <v>595</v>
      </c>
      <c r="K162" s="139"/>
      <c r="L162" s="139"/>
      <c r="M162" s="140"/>
      <c r="N162" s="141" t="s">
        <v>595</v>
      </c>
      <c r="O162" s="139"/>
      <c r="P162" s="139"/>
      <c r="Q162" s="140"/>
      <c r="R162" s="141" t="s">
        <v>595</v>
      </c>
      <c r="S162" s="139"/>
      <c r="T162" s="139"/>
      <c r="U162" s="140"/>
      <c r="V162" s="141" t="s">
        <v>595</v>
      </c>
      <c r="W162" s="139"/>
      <c r="X162" s="139"/>
      <c r="Y162" s="140"/>
    </row>
    <row r="163" spans="1:25" x14ac:dyDescent="0.25">
      <c r="A163" s="138" t="s">
        <v>688</v>
      </c>
      <c r="B163" s="138">
        <f>_xlfn.XLOOKUP(A163,'[2]FRV Output'!$B:$B,'[2]FRV Output'!$F:$F)</f>
        <v>1649590498</v>
      </c>
      <c r="C163" s="139">
        <v>3</v>
      </c>
      <c r="D163" s="139">
        <v>2016</v>
      </c>
      <c r="E163" s="140">
        <v>140874</v>
      </c>
      <c r="F163" s="141" t="s">
        <v>595</v>
      </c>
      <c r="G163" s="139">
        <v>3</v>
      </c>
      <c r="H163" s="139">
        <v>2017</v>
      </c>
      <c r="I163" s="140">
        <v>159763</v>
      </c>
      <c r="J163" s="141" t="s">
        <v>595</v>
      </c>
      <c r="K163" s="139"/>
      <c r="L163" s="139"/>
      <c r="M163" s="140"/>
      <c r="N163" s="141" t="s">
        <v>595</v>
      </c>
      <c r="O163" s="139"/>
      <c r="P163" s="139"/>
      <c r="Q163" s="140"/>
      <c r="R163" s="141" t="s">
        <v>595</v>
      </c>
      <c r="S163" s="139"/>
      <c r="T163" s="139"/>
      <c r="U163" s="140"/>
      <c r="V163" s="141" t="s">
        <v>595</v>
      </c>
      <c r="W163" s="139"/>
      <c r="X163" s="139"/>
      <c r="Y163" s="140"/>
    </row>
    <row r="164" spans="1:25" x14ac:dyDescent="0.25">
      <c r="A164" s="142" t="s">
        <v>689</v>
      </c>
      <c r="B164" s="138">
        <f>_xlfn.XLOOKUP(A164,'[2]FRV Output'!$B:$B,'[2]FRV Output'!$F:$F)</f>
        <v>1932145836</v>
      </c>
      <c r="C164" s="139">
        <v>3</v>
      </c>
      <c r="D164" s="139">
        <v>2019</v>
      </c>
      <c r="E164" s="140">
        <v>296160</v>
      </c>
      <c r="F164" s="141" t="s">
        <v>595</v>
      </c>
      <c r="G164" s="139">
        <v>3</v>
      </c>
      <c r="H164" s="139">
        <v>2021</v>
      </c>
      <c r="I164" s="140">
        <v>127381</v>
      </c>
      <c r="J164" s="141" t="s">
        <v>595</v>
      </c>
      <c r="K164" s="139"/>
      <c r="L164" s="139"/>
      <c r="M164" s="140"/>
      <c r="N164" s="141" t="s">
        <v>595</v>
      </c>
      <c r="O164" s="139"/>
      <c r="P164" s="139"/>
      <c r="Q164" s="140"/>
      <c r="R164" s="141" t="s">
        <v>595</v>
      </c>
      <c r="S164" s="139"/>
      <c r="T164" s="139"/>
      <c r="U164" s="140"/>
      <c r="V164" s="141" t="s">
        <v>595</v>
      </c>
      <c r="W164" s="139"/>
      <c r="X164" s="139"/>
      <c r="Y164" s="140"/>
    </row>
    <row r="165" spans="1:25" x14ac:dyDescent="0.25">
      <c r="A165" s="138" t="s">
        <v>690</v>
      </c>
      <c r="B165" s="138">
        <f>_xlfn.XLOOKUP(A165,'[2]FRV Output'!$B:$B,'[2]FRV Output'!$F:$F)</f>
        <v>1285665539</v>
      </c>
      <c r="C165" s="139">
        <v>3</v>
      </c>
      <c r="D165" s="139">
        <v>2016</v>
      </c>
      <c r="E165" s="140">
        <v>300261</v>
      </c>
      <c r="F165" s="141" t="s">
        <v>595</v>
      </c>
      <c r="G165" s="139">
        <v>3</v>
      </c>
      <c r="H165" s="139">
        <v>2017</v>
      </c>
      <c r="I165" s="140">
        <v>107052</v>
      </c>
      <c r="J165" s="141" t="s">
        <v>595</v>
      </c>
      <c r="K165" s="139"/>
      <c r="L165" s="139"/>
      <c r="M165" s="140"/>
      <c r="N165" s="141" t="s">
        <v>595</v>
      </c>
      <c r="O165" s="139"/>
      <c r="P165" s="139"/>
      <c r="Q165" s="140"/>
      <c r="R165" s="141" t="s">
        <v>595</v>
      </c>
      <c r="S165" s="139"/>
      <c r="T165" s="139"/>
      <c r="U165" s="140"/>
      <c r="V165" s="141" t="s">
        <v>595</v>
      </c>
      <c r="W165" s="139"/>
      <c r="X165" s="139"/>
      <c r="Y165" s="140"/>
    </row>
    <row r="166" spans="1:25" x14ac:dyDescent="0.25">
      <c r="A166" s="142" t="s">
        <v>331</v>
      </c>
      <c r="B166" s="138">
        <f>_xlfn.XLOOKUP(A166,'[2]FRV Output'!$B:$B,'[2]FRV Output'!$F:$F)</f>
        <v>1104800069</v>
      </c>
      <c r="C166" s="139">
        <v>3</v>
      </c>
      <c r="D166" s="139">
        <v>2017</v>
      </c>
      <c r="E166" s="140">
        <v>60800</v>
      </c>
      <c r="F166" s="141" t="s">
        <v>595</v>
      </c>
      <c r="G166" s="139">
        <v>3</v>
      </c>
      <c r="H166" s="139">
        <v>2019</v>
      </c>
      <c r="I166" s="140">
        <v>65782</v>
      </c>
      <c r="J166" s="141" t="s">
        <v>595</v>
      </c>
      <c r="K166" s="139">
        <v>3</v>
      </c>
      <c r="L166" s="139">
        <v>2021</v>
      </c>
      <c r="M166" s="140">
        <v>70750</v>
      </c>
      <c r="N166" s="141" t="s">
        <v>595</v>
      </c>
      <c r="O166" s="139"/>
      <c r="P166" s="139"/>
      <c r="Q166" s="140"/>
      <c r="R166" s="141" t="s">
        <v>595</v>
      </c>
      <c r="S166" s="139"/>
      <c r="T166" s="139"/>
      <c r="U166" s="140"/>
      <c r="V166" s="141" t="s">
        <v>595</v>
      </c>
      <c r="W166" s="139"/>
      <c r="X166" s="139"/>
      <c r="Y166" s="140"/>
    </row>
    <row r="167" spans="1:25" x14ac:dyDescent="0.25">
      <c r="A167" s="138" t="s">
        <v>332</v>
      </c>
      <c r="B167" s="138">
        <f>_xlfn.XLOOKUP(A167,'[2]FRV Output'!$B:$B,'[2]FRV Output'!$F:$F)</f>
        <v>1912027871</v>
      </c>
      <c r="C167" s="139">
        <v>3</v>
      </c>
      <c r="D167" s="139">
        <v>2016</v>
      </c>
      <c r="E167" s="140">
        <v>105755</v>
      </c>
      <c r="F167" s="141" t="s">
        <v>595</v>
      </c>
      <c r="G167" s="139">
        <v>3</v>
      </c>
      <c r="H167" s="139">
        <v>2017</v>
      </c>
      <c r="I167" s="140">
        <v>261888.12</v>
      </c>
      <c r="J167" s="141" t="s">
        <v>595</v>
      </c>
      <c r="K167" s="139">
        <v>3</v>
      </c>
      <c r="L167" s="139">
        <v>2020</v>
      </c>
      <c r="M167" s="140">
        <v>60780</v>
      </c>
      <c r="N167" s="141" t="s">
        <v>595</v>
      </c>
      <c r="O167" s="139"/>
      <c r="P167" s="139"/>
      <c r="Q167" s="140"/>
      <c r="R167" s="141" t="s">
        <v>595</v>
      </c>
      <c r="S167" s="139"/>
      <c r="T167" s="139"/>
      <c r="U167" s="140"/>
      <c r="V167" s="141" t="s">
        <v>595</v>
      </c>
      <c r="W167" s="139"/>
      <c r="X167" s="139"/>
      <c r="Y167" s="140"/>
    </row>
    <row r="168" spans="1:25" x14ac:dyDescent="0.25">
      <c r="A168" s="138" t="s">
        <v>333</v>
      </c>
      <c r="B168" s="138">
        <f>_xlfn.XLOOKUP(A168,'[2]FRV Output'!$B:$B,'[2]FRV Output'!$F:$F)</f>
        <v>1326143504</v>
      </c>
      <c r="C168" s="139">
        <v>3</v>
      </c>
      <c r="D168" s="139">
        <v>2017</v>
      </c>
      <c r="E168" s="140">
        <v>190043</v>
      </c>
      <c r="F168" s="141" t="s">
        <v>595</v>
      </c>
      <c r="G168" s="139">
        <v>3</v>
      </c>
      <c r="H168" s="139">
        <v>2021</v>
      </c>
      <c r="I168" s="140">
        <v>67038</v>
      </c>
      <c r="J168" s="141" t="s">
        <v>595</v>
      </c>
      <c r="K168" s="139"/>
      <c r="L168" s="139"/>
      <c r="M168" s="140"/>
      <c r="N168" s="141" t="s">
        <v>595</v>
      </c>
      <c r="O168" s="139"/>
      <c r="P168" s="139"/>
      <c r="Q168" s="140"/>
      <c r="R168" s="141" t="s">
        <v>595</v>
      </c>
      <c r="S168" s="139"/>
      <c r="T168" s="139"/>
      <c r="U168" s="140"/>
      <c r="V168" s="141" t="s">
        <v>595</v>
      </c>
      <c r="W168" s="139"/>
      <c r="X168" s="139"/>
      <c r="Y168" s="140"/>
    </row>
    <row r="169" spans="1:25" x14ac:dyDescent="0.25">
      <c r="A169" s="142" t="s">
        <v>691</v>
      </c>
      <c r="B169" s="138">
        <f>_xlfn.XLOOKUP(A169,'[2]FRV Output'!$B:$B,'[2]FRV Output'!$F:$F)</f>
        <v>1578715504</v>
      </c>
      <c r="C169" s="139">
        <v>3</v>
      </c>
      <c r="D169" s="139">
        <v>2016</v>
      </c>
      <c r="E169" s="140">
        <v>199529</v>
      </c>
      <c r="F169" s="141" t="s">
        <v>595</v>
      </c>
      <c r="G169" s="139">
        <v>3</v>
      </c>
      <c r="H169" s="139">
        <v>2017</v>
      </c>
      <c r="I169" s="140">
        <v>138001</v>
      </c>
      <c r="J169" s="141" t="s">
        <v>595</v>
      </c>
      <c r="K169" s="139">
        <v>3</v>
      </c>
      <c r="L169" s="139">
        <v>2018</v>
      </c>
      <c r="M169" s="140">
        <v>501222</v>
      </c>
      <c r="N169" s="141" t="s">
        <v>595</v>
      </c>
      <c r="O169" s="139">
        <v>3</v>
      </c>
      <c r="P169" s="139">
        <v>2019</v>
      </c>
      <c r="Q169" s="140">
        <v>120618</v>
      </c>
      <c r="R169" s="141" t="s">
        <v>595</v>
      </c>
      <c r="S169" s="139">
        <v>3</v>
      </c>
      <c r="T169" s="139">
        <v>2021</v>
      </c>
      <c r="U169" s="140">
        <v>357305</v>
      </c>
      <c r="V169" s="141" t="s">
        <v>595</v>
      </c>
      <c r="W169" s="139"/>
      <c r="X169" s="139"/>
      <c r="Y169" s="140"/>
    </row>
    <row r="170" spans="1:25" x14ac:dyDescent="0.25">
      <c r="A170" s="138" t="s">
        <v>692</v>
      </c>
      <c r="B170" s="138">
        <f>_xlfn.XLOOKUP(A170,'[2]FRV Output'!$B:$B,'[2]FRV Output'!$F:$F)</f>
        <v>1376926519</v>
      </c>
      <c r="C170" s="139">
        <v>3</v>
      </c>
      <c r="D170" s="139">
        <v>2016</v>
      </c>
      <c r="E170" s="140">
        <v>763045</v>
      </c>
      <c r="F170" s="141" t="s">
        <v>595</v>
      </c>
      <c r="G170" s="139">
        <v>3</v>
      </c>
      <c r="H170" s="139">
        <v>2017</v>
      </c>
      <c r="I170" s="140">
        <v>281250</v>
      </c>
      <c r="J170" s="141" t="s">
        <v>595</v>
      </c>
      <c r="K170" s="139">
        <v>3</v>
      </c>
      <c r="L170" s="139">
        <v>2018</v>
      </c>
      <c r="M170" s="140">
        <v>77016</v>
      </c>
      <c r="N170" s="141" t="s">
        <v>595</v>
      </c>
      <c r="O170" s="139">
        <v>3</v>
      </c>
      <c r="P170" s="139">
        <v>2020</v>
      </c>
      <c r="Q170" s="140">
        <v>143517</v>
      </c>
      <c r="R170" s="141" t="s">
        <v>595</v>
      </c>
      <c r="S170" s="139"/>
      <c r="T170" s="139"/>
      <c r="U170" s="140"/>
      <c r="V170" s="141" t="s">
        <v>595</v>
      </c>
      <c r="W170" s="139"/>
      <c r="X170" s="139"/>
      <c r="Y170" s="140"/>
    </row>
    <row r="171" spans="1:25" x14ac:dyDescent="0.25">
      <c r="A171" s="138" t="s">
        <v>693</v>
      </c>
      <c r="B171" s="138">
        <f>_xlfn.XLOOKUP(A171,'[2]FRV Output'!$B:$B,'[2]FRV Output'!$F:$F)</f>
        <v>1174149934</v>
      </c>
      <c r="C171" s="139">
        <v>3</v>
      </c>
      <c r="D171" s="139">
        <v>2021</v>
      </c>
      <c r="E171" s="140">
        <v>151802</v>
      </c>
      <c r="F171" s="141" t="s">
        <v>595</v>
      </c>
      <c r="G171" s="139"/>
      <c r="H171" s="139"/>
      <c r="I171" s="140"/>
      <c r="J171" s="141" t="s">
        <v>595</v>
      </c>
      <c r="K171" s="139"/>
      <c r="L171" s="139"/>
      <c r="M171" s="140"/>
      <c r="N171" s="141" t="s">
        <v>595</v>
      </c>
      <c r="O171" s="139"/>
      <c r="P171" s="139"/>
      <c r="Q171" s="140"/>
      <c r="R171" s="141" t="s">
        <v>595</v>
      </c>
      <c r="S171" s="139"/>
      <c r="T171" s="139"/>
      <c r="U171" s="140"/>
      <c r="V171" s="141" t="s">
        <v>595</v>
      </c>
      <c r="W171" s="139"/>
      <c r="X171" s="139"/>
      <c r="Y171" s="140"/>
    </row>
    <row r="172" spans="1:25" x14ac:dyDescent="0.25">
      <c r="A172" s="142" t="s">
        <v>694</v>
      </c>
      <c r="B172" s="138">
        <f>_xlfn.XLOOKUP(A172,'[2]FRV Output'!$B:$B,'[2]FRV Output'!$F:$F)</f>
        <v>1699886085</v>
      </c>
      <c r="C172" s="139">
        <v>3</v>
      </c>
      <c r="D172" s="139">
        <v>2019</v>
      </c>
      <c r="E172" s="140">
        <v>126899</v>
      </c>
      <c r="F172" s="141" t="s">
        <v>595</v>
      </c>
      <c r="G172" s="139">
        <v>3</v>
      </c>
      <c r="H172" s="139">
        <v>2021</v>
      </c>
      <c r="I172" s="140">
        <v>112320</v>
      </c>
      <c r="J172" s="141" t="s">
        <v>595</v>
      </c>
      <c r="K172" s="139"/>
      <c r="L172" s="139"/>
      <c r="M172" s="140"/>
      <c r="N172" s="141" t="s">
        <v>595</v>
      </c>
      <c r="O172" s="139"/>
      <c r="P172" s="139"/>
      <c r="Q172" s="140"/>
      <c r="R172" s="141" t="s">
        <v>595</v>
      </c>
      <c r="S172" s="139"/>
      <c r="T172" s="139"/>
      <c r="U172" s="140"/>
      <c r="V172" s="141" t="s">
        <v>595</v>
      </c>
      <c r="W172" s="139"/>
      <c r="X172" s="139"/>
      <c r="Y172" s="140"/>
    </row>
    <row r="173" spans="1:25" x14ac:dyDescent="0.25">
      <c r="A173" s="138" t="s">
        <v>337</v>
      </c>
      <c r="B173" s="138">
        <f>_xlfn.XLOOKUP(A173,'[2]FRV Output'!$B:$B,'[2]FRV Output'!$F:$F)</f>
        <v>1336142470</v>
      </c>
      <c r="C173" s="139"/>
      <c r="D173" s="139"/>
      <c r="E173" s="140"/>
      <c r="F173" s="141" t="s">
        <v>595</v>
      </c>
      <c r="G173" s="139"/>
      <c r="H173" s="139"/>
      <c r="I173" s="140"/>
      <c r="J173" s="141" t="s">
        <v>595</v>
      </c>
      <c r="K173" s="139"/>
      <c r="L173" s="139"/>
      <c r="M173" s="140"/>
      <c r="N173" s="141" t="s">
        <v>595</v>
      </c>
      <c r="O173" s="139"/>
      <c r="P173" s="139"/>
      <c r="Q173" s="140"/>
      <c r="R173" s="141" t="s">
        <v>595</v>
      </c>
      <c r="S173" s="139"/>
      <c r="T173" s="139"/>
      <c r="U173" s="140"/>
      <c r="V173" s="141" t="s">
        <v>595</v>
      </c>
      <c r="W173" s="139"/>
      <c r="X173" s="139"/>
      <c r="Y173" s="140"/>
    </row>
    <row r="174" spans="1:25" x14ac:dyDescent="0.25">
      <c r="A174" s="149" t="s">
        <v>338</v>
      </c>
      <c r="B174" s="138">
        <f>_xlfn.XLOOKUP(A174,'[2]FRV Output'!$B:$B,'[2]FRV Output'!$F:$F)</f>
        <v>1639556806</v>
      </c>
      <c r="C174" s="139">
        <v>3</v>
      </c>
      <c r="D174" s="139">
        <v>2017</v>
      </c>
      <c r="E174" s="140">
        <v>238203</v>
      </c>
      <c r="F174" s="141" t="s">
        <v>595</v>
      </c>
      <c r="G174" s="139"/>
      <c r="H174" s="139"/>
      <c r="I174" s="140"/>
      <c r="J174" s="141" t="s">
        <v>595</v>
      </c>
      <c r="K174" s="139"/>
      <c r="L174" s="139"/>
      <c r="M174" s="140"/>
      <c r="N174" s="141" t="s">
        <v>595</v>
      </c>
      <c r="O174" s="139"/>
      <c r="P174" s="139"/>
      <c r="Q174" s="140"/>
      <c r="R174" s="141" t="s">
        <v>595</v>
      </c>
      <c r="S174" s="139"/>
      <c r="T174" s="139"/>
      <c r="U174" s="140"/>
      <c r="V174" s="141" t="s">
        <v>595</v>
      </c>
      <c r="W174" s="139"/>
      <c r="X174" s="139"/>
      <c r="Y174" s="140"/>
    </row>
    <row r="175" spans="1:25" x14ac:dyDescent="0.25">
      <c r="A175" s="138" t="s">
        <v>339</v>
      </c>
      <c r="B175" s="138">
        <f>_xlfn.XLOOKUP(A175,'[2]FRV Output'!$B:$B,'[2]FRV Output'!$F:$F)</f>
        <v>1811984925</v>
      </c>
      <c r="C175" s="139"/>
      <c r="D175" s="139"/>
      <c r="E175" s="140"/>
      <c r="F175" s="141" t="s">
        <v>595</v>
      </c>
      <c r="G175" s="139"/>
      <c r="H175" s="139"/>
      <c r="I175" s="140"/>
      <c r="J175" s="141" t="s">
        <v>595</v>
      </c>
      <c r="K175" s="139"/>
      <c r="L175" s="139"/>
      <c r="M175" s="140"/>
      <c r="N175" s="141" t="s">
        <v>595</v>
      </c>
      <c r="O175" s="139"/>
      <c r="P175" s="139"/>
      <c r="Q175" s="140"/>
      <c r="R175" s="141" t="s">
        <v>595</v>
      </c>
      <c r="S175" s="139"/>
      <c r="T175" s="139"/>
      <c r="U175" s="140"/>
      <c r="V175" s="141" t="s">
        <v>595</v>
      </c>
      <c r="W175" s="139"/>
      <c r="X175" s="139"/>
      <c r="Y175" s="140"/>
    </row>
    <row r="176" spans="1:25" x14ac:dyDescent="0.25">
      <c r="A176" s="142" t="s">
        <v>340</v>
      </c>
      <c r="B176" s="138">
        <f>_xlfn.XLOOKUP(A176,'[2]FRV Output'!$B:$B,'[2]FRV Output'!$F:$F)</f>
        <v>1104950765</v>
      </c>
      <c r="C176" s="139">
        <v>3</v>
      </c>
      <c r="D176" s="139">
        <v>2016</v>
      </c>
      <c r="E176" s="140">
        <v>83973</v>
      </c>
      <c r="F176" s="141" t="s">
        <v>595</v>
      </c>
      <c r="G176" s="139">
        <v>3</v>
      </c>
      <c r="H176" s="139">
        <v>2017</v>
      </c>
      <c r="I176" s="140">
        <v>119905</v>
      </c>
      <c r="J176" s="141" t="s">
        <v>595</v>
      </c>
      <c r="K176" s="139">
        <v>3</v>
      </c>
      <c r="L176" s="139">
        <v>2018</v>
      </c>
      <c r="M176" s="140">
        <v>138223</v>
      </c>
      <c r="N176" s="141" t="s">
        <v>595</v>
      </c>
      <c r="O176" s="139">
        <v>3</v>
      </c>
      <c r="P176" s="139">
        <v>2019</v>
      </c>
      <c r="Q176" s="140">
        <v>107112</v>
      </c>
      <c r="R176" s="141" t="s">
        <v>595</v>
      </c>
      <c r="S176" s="139">
        <v>3</v>
      </c>
      <c r="T176" s="139">
        <v>2020</v>
      </c>
      <c r="U176" s="140">
        <v>52876</v>
      </c>
      <c r="V176" s="141" t="s">
        <v>595</v>
      </c>
      <c r="W176" s="139">
        <v>3</v>
      </c>
      <c r="X176" s="139">
        <v>2021</v>
      </c>
      <c r="Y176" s="140">
        <v>73945</v>
      </c>
    </row>
    <row r="177" spans="1:25" x14ac:dyDescent="0.25">
      <c r="A177" s="138" t="s">
        <v>695</v>
      </c>
      <c r="B177" s="138">
        <f>_xlfn.XLOOKUP(A177,'[2]FRV Output'!$B:$B,'[2]FRV Output'!$F:$F)</f>
        <v>1922611102</v>
      </c>
      <c r="C177" s="139">
        <v>3</v>
      </c>
      <c r="D177" s="139">
        <v>2021</v>
      </c>
      <c r="E177" s="140">
        <v>198167</v>
      </c>
      <c r="F177" s="141" t="s">
        <v>595</v>
      </c>
      <c r="G177" s="139"/>
      <c r="H177" s="139"/>
      <c r="I177" s="140"/>
      <c r="J177" s="141" t="s">
        <v>595</v>
      </c>
      <c r="K177" s="139"/>
      <c r="L177" s="139"/>
      <c r="M177" s="140"/>
      <c r="N177" s="141" t="s">
        <v>595</v>
      </c>
      <c r="O177" s="139"/>
      <c r="P177" s="139"/>
      <c r="Q177" s="140"/>
      <c r="R177" s="141" t="s">
        <v>595</v>
      </c>
      <c r="S177" s="139"/>
      <c r="T177" s="139"/>
      <c r="U177" s="140"/>
      <c r="V177" s="141" t="s">
        <v>595</v>
      </c>
      <c r="W177" s="139"/>
      <c r="X177" s="139"/>
      <c r="Y177" s="140"/>
    </row>
    <row r="178" spans="1:25" x14ac:dyDescent="0.25">
      <c r="A178" s="138" t="s">
        <v>341</v>
      </c>
      <c r="B178" s="138">
        <f>_xlfn.XLOOKUP(A178,'[2]FRV Output'!$B:$B,'[2]FRV Output'!$F:$F)</f>
        <v>1689621880</v>
      </c>
      <c r="C178" s="139">
        <v>3</v>
      </c>
      <c r="D178" s="139">
        <v>2018</v>
      </c>
      <c r="E178" s="140">
        <v>159232</v>
      </c>
      <c r="F178" s="141" t="s">
        <v>595</v>
      </c>
      <c r="G178" s="139">
        <v>3</v>
      </c>
      <c r="H178" s="139">
        <v>2020</v>
      </c>
      <c r="I178" s="140">
        <v>65630</v>
      </c>
      <c r="J178" s="141" t="s">
        <v>595</v>
      </c>
      <c r="K178" s="139">
        <v>3</v>
      </c>
      <c r="L178" s="139">
        <v>2021</v>
      </c>
      <c r="M178" s="140">
        <v>99757</v>
      </c>
      <c r="N178" s="141" t="s">
        <v>595</v>
      </c>
      <c r="O178" s="139"/>
      <c r="P178" s="139"/>
      <c r="Q178" s="140"/>
      <c r="R178" s="141" t="s">
        <v>595</v>
      </c>
      <c r="S178" s="139"/>
      <c r="T178" s="139"/>
      <c r="U178" s="140"/>
      <c r="V178" s="141" t="s">
        <v>595</v>
      </c>
      <c r="W178" s="139"/>
      <c r="X178" s="139"/>
      <c r="Y178" s="140"/>
    </row>
    <row r="179" spans="1:25" x14ac:dyDescent="0.25">
      <c r="A179" s="150" t="s">
        <v>342</v>
      </c>
      <c r="B179" s="151" t="s">
        <v>696</v>
      </c>
      <c r="C179" s="139">
        <v>3</v>
      </c>
      <c r="D179" s="139">
        <v>2017</v>
      </c>
      <c r="E179" s="140">
        <v>92785</v>
      </c>
      <c r="F179" s="148" t="s">
        <v>595</v>
      </c>
      <c r="G179" s="139">
        <v>3</v>
      </c>
      <c r="H179" s="139">
        <v>2018</v>
      </c>
      <c r="I179" s="140">
        <v>106692</v>
      </c>
      <c r="J179" s="148" t="s">
        <v>595</v>
      </c>
      <c r="K179" s="139">
        <v>3</v>
      </c>
      <c r="L179" s="139">
        <v>2019</v>
      </c>
      <c r="M179" s="140">
        <v>91070</v>
      </c>
      <c r="N179" s="148" t="s">
        <v>595</v>
      </c>
      <c r="O179" s="139">
        <v>3</v>
      </c>
      <c r="P179" s="139">
        <v>2021</v>
      </c>
      <c r="Q179" s="140">
        <v>72953</v>
      </c>
      <c r="R179" s="148" t="s">
        <v>595</v>
      </c>
      <c r="S179" s="139"/>
      <c r="T179" s="139"/>
      <c r="U179" s="140"/>
      <c r="V179" s="141" t="s">
        <v>595</v>
      </c>
      <c r="W179" s="139"/>
      <c r="X179" s="139"/>
      <c r="Y179" s="140"/>
    </row>
    <row r="180" spans="1:25" x14ac:dyDescent="0.25">
      <c r="A180" s="142" t="s">
        <v>343</v>
      </c>
      <c r="B180" s="138">
        <f>_xlfn.XLOOKUP(A180,'[2]FRV Output'!$B:$B,'[2]FRV Output'!$F:$F)</f>
        <v>1932750841</v>
      </c>
      <c r="C180" s="139">
        <v>3</v>
      </c>
      <c r="D180" s="139">
        <v>2016</v>
      </c>
      <c r="E180" s="140">
        <v>554393</v>
      </c>
      <c r="F180" s="141" t="s">
        <v>595</v>
      </c>
      <c r="G180" s="139">
        <v>3</v>
      </c>
      <c r="H180" s="139">
        <v>2017</v>
      </c>
      <c r="I180" s="140">
        <v>573099</v>
      </c>
      <c r="J180" s="141" t="s">
        <v>595</v>
      </c>
      <c r="K180" s="139">
        <v>3</v>
      </c>
      <c r="L180" s="139">
        <v>2018</v>
      </c>
      <c r="M180" s="140">
        <v>1033310</v>
      </c>
      <c r="N180" s="141" t="s">
        <v>595</v>
      </c>
      <c r="O180" s="139">
        <v>3</v>
      </c>
      <c r="P180" s="139">
        <v>2019</v>
      </c>
      <c r="Q180" s="140">
        <v>716717</v>
      </c>
      <c r="R180" s="141" t="s">
        <v>595</v>
      </c>
      <c r="S180" s="139">
        <v>3</v>
      </c>
      <c r="T180" s="139">
        <v>2020</v>
      </c>
      <c r="U180" s="140">
        <v>272844</v>
      </c>
      <c r="V180" s="141" t="s">
        <v>595</v>
      </c>
      <c r="W180" s="139"/>
      <c r="X180" s="139"/>
      <c r="Y180" s="140"/>
    </row>
    <row r="181" spans="1:25" x14ac:dyDescent="0.25">
      <c r="A181" s="138" t="s">
        <v>344</v>
      </c>
      <c r="B181" s="138">
        <f>_xlfn.XLOOKUP(A181,'[2]FRV Output'!$B:$B,'[2]FRV Output'!$F:$F)</f>
        <v>1760462196</v>
      </c>
      <c r="C181" s="139"/>
      <c r="D181" s="139"/>
      <c r="E181" s="140"/>
      <c r="F181" s="141" t="s">
        <v>595</v>
      </c>
      <c r="G181" s="139"/>
      <c r="H181" s="139"/>
      <c r="I181" s="140"/>
      <c r="J181" s="141" t="s">
        <v>595</v>
      </c>
      <c r="K181" s="139"/>
      <c r="L181" s="139"/>
      <c r="M181" s="140"/>
      <c r="N181" s="141" t="s">
        <v>595</v>
      </c>
      <c r="O181" s="139"/>
      <c r="P181" s="139"/>
      <c r="Q181" s="140"/>
      <c r="R181" s="141" t="s">
        <v>595</v>
      </c>
      <c r="S181" s="139"/>
      <c r="T181" s="139"/>
      <c r="U181" s="140"/>
      <c r="V181" s="141" t="s">
        <v>595</v>
      </c>
      <c r="W181" s="139"/>
      <c r="X181" s="139"/>
      <c r="Y181" s="140"/>
    </row>
    <row r="182" spans="1:25" x14ac:dyDescent="0.25">
      <c r="A182" s="142" t="s">
        <v>697</v>
      </c>
      <c r="B182" s="138">
        <f>_xlfn.XLOOKUP(A182,'[2]FRV Output'!$B:$B,'[2]FRV Output'!$F:$F)</f>
        <v>1255367447</v>
      </c>
      <c r="C182" s="139">
        <v>3</v>
      </c>
      <c r="D182" s="139">
        <v>2016</v>
      </c>
      <c r="E182" s="140">
        <v>181076</v>
      </c>
      <c r="F182" s="141" t="s">
        <v>595</v>
      </c>
      <c r="G182" s="139">
        <v>3</v>
      </c>
      <c r="H182" s="139">
        <v>2017</v>
      </c>
      <c r="I182" s="140">
        <v>177219</v>
      </c>
      <c r="J182" s="141" t="s">
        <v>595</v>
      </c>
      <c r="K182" s="139">
        <v>3</v>
      </c>
      <c r="L182" s="139">
        <v>2019</v>
      </c>
      <c r="M182" s="140">
        <v>93820</v>
      </c>
      <c r="N182" s="141" t="s">
        <v>595</v>
      </c>
      <c r="O182" s="139">
        <v>3</v>
      </c>
      <c r="P182" s="139">
        <v>2021</v>
      </c>
      <c r="Q182" s="140">
        <v>95019</v>
      </c>
      <c r="R182" s="141" t="s">
        <v>595</v>
      </c>
      <c r="S182" s="139"/>
      <c r="T182" s="139"/>
      <c r="U182" s="140"/>
      <c r="V182" s="141" t="s">
        <v>595</v>
      </c>
      <c r="W182" s="139"/>
      <c r="X182" s="139"/>
      <c r="Y182" s="140"/>
    </row>
    <row r="183" spans="1:25" x14ac:dyDescent="0.25">
      <c r="A183" s="138" t="s">
        <v>346</v>
      </c>
      <c r="B183" s="138">
        <f>_xlfn.XLOOKUP(A183,'[2]FRV Output'!$B:$B,'[2]FRV Output'!$F:$F)</f>
        <v>1053953844</v>
      </c>
      <c r="C183" s="139">
        <v>3</v>
      </c>
      <c r="D183" s="139">
        <v>2017</v>
      </c>
      <c r="E183" s="140">
        <v>66123</v>
      </c>
      <c r="F183" s="141" t="s">
        <v>595</v>
      </c>
      <c r="G183" s="139"/>
      <c r="H183" s="139"/>
      <c r="I183" s="140"/>
      <c r="J183" s="141" t="s">
        <v>595</v>
      </c>
      <c r="K183" s="139"/>
      <c r="L183" s="139"/>
      <c r="M183" s="140"/>
      <c r="N183" s="141" t="s">
        <v>595</v>
      </c>
      <c r="O183" s="139"/>
      <c r="P183" s="139"/>
      <c r="Q183" s="140"/>
      <c r="R183" s="141" t="s">
        <v>595</v>
      </c>
      <c r="S183" s="139"/>
      <c r="T183" s="139"/>
      <c r="U183" s="140"/>
      <c r="V183" s="141" t="s">
        <v>595</v>
      </c>
      <c r="W183" s="139"/>
      <c r="X183" s="139"/>
      <c r="Y183" s="140"/>
    </row>
    <row r="184" spans="1:25" x14ac:dyDescent="0.25">
      <c r="A184" s="138" t="s">
        <v>347</v>
      </c>
      <c r="B184" s="138">
        <f>_xlfn.XLOOKUP(A184,'[2]FRV Output'!$B:$B,'[2]FRV Output'!$F:$F)</f>
        <v>1689777971</v>
      </c>
      <c r="C184" s="139">
        <v>3</v>
      </c>
      <c r="D184" s="139">
        <v>2016</v>
      </c>
      <c r="E184" s="140">
        <v>73663</v>
      </c>
      <c r="F184" s="141" t="s">
        <v>595</v>
      </c>
      <c r="G184" s="139">
        <v>3</v>
      </c>
      <c r="H184" s="139">
        <v>2017</v>
      </c>
      <c r="I184" s="140">
        <v>48006.46</v>
      </c>
      <c r="J184" s="141" t="s">
        <v>595</v>
      </c>
      <c r="K184" s="139">
        <v>3</v>
      </c>
      <c r="L184" s="139">
        <v>2020</v>
      </c>
      <c r="M184" s="140">
        <v>120392</v>
      </c>
      <c r="N184" s="141" t="s">
        <v>595</v>
      </c>
      <c r="O184" s="139">
        <v>3</v>
      </c>
      <c r="P184" s="139">
        <v>2021</v>
      </c>
      <c r="Q184" s="140">
        <v>209682</v>
      </c>
      <c r="R184" s="141" t="s">
        <v>595</v>
      </c>
      <c r="S184" s="139"/>
      <c r="T184" s="139"/>
      <c r="U184" s="140"/>
      <c r="V184" s="141" t="s">
        <v>595</v>
      </c>
      <c r="W184" s="139"/>
      <c r="X184" s="139"/>
      <c r="Y184" s="140"/>
    </row>
    <row r="185" spans="1:25" x14ac:dyDescent="0.25">
      <c r="A185" s="138" t="s">
        <v>698</v>
      </c>
      <c r="B185" s="138">
        <f>_xlfn.XLOOKUP(A185,'[2]FRV Output'!$B:$B,'[2]FRV Output'!$F:$F)</f>
        <v>1972547321</v>
      </c>
      <c r="C185" s="139">
        <v>3</v>
      </c>
      <c r="D185" s="139">
        <v>2020</v>
      </c>
      <c r="E185" s="140">
        <v>1376961</v>
      </c>
      <c r="F185" s="141" t="s">
        <v>595</v>
      </c>
      <c r="G185" s="139">
        <v>3</v>
      </c>
      <c r="H185" s="139">
        <v>2021</v>
      </c>
      <c r="I185" s="140">
        <v>335076</v>
      </c>
      <c r="J185" s="141" t="s">
        <v>595</v>
      </c>
      <c r="K185" s="139"/>
      <c r="L185" s="139"/>
      <c r="M185" s="140"/>
      <c r="N185" s="141" t="s">
        <v>595</v>
      </c>
      <c r="O185" s="139"/>
      <c r="P185" s="139"/>
      <c r="Q185" s="140"/>
      <c r="R185" s="141" t="s">
        <v>595</v>
      </c>
      <c r="S185" s="139"/>
      <c r="T185" s="139"/>
      <c r="U185" s="140"/>
      <c r="V185" s="141" t="s">
        <v>595</v>
      </c>
      <c r="W185" s="139"/>
      <c r="X185" s="139"/>
      <c r="Y185" s="140"/>
    </row>
    <row r="186" spans="1:25" x14ac:dyDescent="0.25">
      <c r="A186" s="148" t="s">
        <v>349</v>
      </c>
      <c r="B186" s="138">
        <f>_xlfn.XLOOKUP(A186,'[2]FRV Output'!$B:$B,'[2]FRV Output'!$F:$F)</f>
        <v>1134298615</v>
      </c>
      <c r="C186" s="139"/>
      <c r="D186" s="139"/>
      <c r="E186" s="140"/>
      <c r="F186" s="141" t="s">
        <v>595</v>
      </c>
      <c r="G186" s="139"/>
      <c r="H186" s="139"/>
      <c r="I186" s="140"/>
      <c r="J186" s="141" t="s">
        <v>595</v>
      </c>
      <c r="K186" s="139"/>
      <c r="L186" s="139"/>
      <c r="M186" s="140"/>
      <c r="N186" s="141" t="s">
        <v>595</v>
      </c>
      <c r="O186" s="139"/>
      <c r="P186" s="139"/>
      <c r="Q186" s="140"/>
      <c r="R186" s="141" t="s">
        <v>595</v>
      </c>
      <c r="S186" s="139"/>
      <c r="T186" s="139"/>
      <c r="U186" s="140"/>
      <c r="V186" s="141" t="s">
        <v>595</v>
      </c>
      <c r="W186" s="139"/>
      <c r="X186" s="139"/>
      <c r="Y186" s="140"/>
    </row>
    <row r="187" spans="1:25" x14ac:dyDescent="0.25">
      <c r="A187" s="142" t="s">
        <v>350</v>
      </c>
      <c r="B187" s="138">
        <f>_xlfn.XLOOKUP(A187,'[2]FRV Output'!$B:$B,'[2]FRV Output'!$F:$F)</f>
        <v>1548206907</v>
      </c>
      <c r="C187" s="139">
        <v>3</v>
      </c>
      <c r="D187" s="139">
        <v>2017</v>
      </c>
      <c r="E187" s="140">
        <v>2419325</v>
      </c>
      <c r="F187" s="141" t="s">
        <v>595</v>
      </c>
      <c r="G187" s="139">
        <v>3</v>
      </c>
      <c r="H187" s="139">
        <v>2018</v>
      </c>
      <c r="I187" s="140">
        <v>288424</v>
      </c>
      <c r="J187" s="141" t="s">
        <v>595</v>
      </c>
      <c r="K187" s="139">
        <v>3</v>
      </c>
      <c r="L187" s="139">
        <v>2019</v>
      </c>
      <c r="M187" s="140">
        <v>114774</v>
      </c>
      <c r="N187" s="141" t="s">
        <v>595</v>
      </c>
      <c r="O187" s="139"/>
      <c r="P187" s="139"/>
      <c r="Q187" s="140"/>
      <c r="R187" s="141" t="s">
        <v>595</v>
      </c>
      <c r="S187" s="139"/>
      <c r="T187" s="139"/>
      <c r="U187" s="140"/>
      <c r="V187" s="141" t="s">
        <v>595</v>
      </c>
      <c r="W187" s="139"/>
      <c r="X187" s="139"/>
      <c r="Y187" s="140"/>
    </row>
    <row r="188" spans="1:25" x14ac:dyDescent="0.25">
      <c r="A188" s="142" t="s">
        <v>351</v>
      </c>
      <c r="B188" s="138">
        <f>_xlfn.XLOOKUP(A188,'[2]FRV Output'!$B:$B,'[2]FRV Output'!$F:$F)</f>
        <v>1295704849</v>
      </c>
      <c r="C188" s="139">
        <v>3</v>
      </c>
      <c r="D188" s="139">
        <v>2019</v>
      </c>
      <c r="E188" s="140">
        <v>135600</v>
      </c>
      <c r="F188" s="141" t="s">
        <v>595</v>
      </c>
      <c r="G188" s="139"/>
      <c r="H188" s="139"/>
      <c r="I188" s="140"/>
      <c r="J188" s="141" t="s">
        <v>595</v>
      </c>
      <c r="K188" s="139"/>
      <c r="L188" s="139"/>
      <c r="M188" s="140"/>
      <c r="N188" s="141" t="s">
        <v>595</v>
      </c>
      <c r="O188" s="139"/>
      <c r="P188" s="139"/>
      <c r="Q188" s="140"/>
      <c r="R188" s="141" t="s">
        <v>595</v>
      </c>
      <c r="S188" s="139"/>
      <c r="T188" s="139"/>
      <c r="U188" s="140"/>
      <c r="V188" s="141" t="s">
        <v>595</v>
      </c>
      <c r="W188" s="139"/>
      <c r="X188" s="139"/>
      <c r="Y188" s="140"/>
    </row>
    <row r="189" spans="1:25" x14ac:dyDescent="0.25">
      <c r="A189" s="138" t="s">
        <v>699</v>
      </c>
      <c r="B189" s="138">
        <f>_xlfn.XLOOKUP(A189,'[2]FRV Output'!$B:$B,'[2]FRV Output'!$F:$F)</f>
        <v>1386688703</v>
      </c>
      <c r="C189" s="139"/>
      <c r="D189" s="139"/>
      <c r="E189" s="140"/>
      <c r="F189" s="141" t="s">
        <v>595</v>
      </c>
      <c r="G189" s="139"/>
      <c r="H189" s="139"/>
      <c r="I189" s="140"/>
      <c r="J189" s="141" t="s">
        <v>595</v>
      </c>
      <c r="K189" s="139"/>
      <c r="L189" s="139"/>
      <c r="M189" s="140"/>
      <c r="N189" s="141" t="s">
        <v>595</v>
      </c>
      <c r="O189" s="139"/>
      <c r="P189" s="139"/>
      <c r="Q189" s="140"/>
      <c r="R189" s="141" t="s">
        <v>595</v>
      </c>
      <c r="S189" s="139"/>
      <c r="T189" s="139"/>
      <c r="U189" s="140"/>
      <c r="V189" s="141" t="s">
        <v>595</v>
      </c>
      <c r="W189" s="139"/>
      <c r="X189" s="139"/>
      <c r="Y189" s="140"/>
    </row>
    <row r="190" spans="1:25" x14ac:dyDescent="0.25">
      <c r="A190" s="142" t="s">
        <v>352</v>
      </c>
      <c r="B190" s="138">
        <f>_xlfn.XLOOKUP(A190,'[2]FRV Output'!$B:$B,'[2]FRV Output'!$F:$F)</f>
        <v>1083298236</v>
      </c>
      <c r="C190" s="139">
        <v>3</v>
      </c>
      <c r="D190" s="139">
        <v>2016</v>
      </c>
      <c r="E190" s="140">
        <v>57274</v>
      </c>
      <c r="F190" s="141" t="s">
        <v>595</v>
      </c>
      <c r="G190" s="139">
        <v>3</v>
      </c>
      <c r="H190" s="139">
        <v>2017</v>
      </c>
      <c r="I190" s="140">
        <v>127930</v>
      </c>
      <c r="J190" s="141" t="s">
        <v>595</v>
      </c>
      <c r="K190" s="139">
        <v>3</v>
      </c>
      <c r="L190" s="139">
        <v>2018</v>
      </c>
      <c r="M190" s="140">
        <v>119646</v>
      </c>
      <c r="N190" s="141" t="s">
        <v>595</v>
      </c>
      <c r="O190" s="139">
        <v>3</v>
      </c>
      <c r="P190" s="139">
        <v>2019</v>
      </c>
      <c r="Q190" s="140">
        <v>128625</v>
      </c>
      <c r="R190" s="141" t="s">
        <v>595</v>
      </c>
      <c r="S190" s="139">
        <v>3</v>
      </c>
      <c r="T190" s="139">
        <v>2020</v>
      </c>
      <c r="U190" s="140">
        <v>234686</v>
      </c>
      <c r="V190" s="141" t="s">
        <v>595</v>
      </c>
      <c r="W190" s="139">
        <v>3</v>
      </c>
      <c r="X190" s="139">
        <v>2021</v>
      </c>
      <c r="Y190" s="140">
        <v>240173</v>
      </c>
    </row>
    <row r="191" spans="1:25" x14ac:dyDescent="0.25">
      <c r="A191" s="138" t="s">
        <v>353</v>
      </c>
      <c r="B191" s="138">
        <f>_xlfn.XLOOKUP(A191,'[2]FRV Output'!$B:$B,'[2]FRV Output'!$F:$F)</f>
        <v>1538113014</v>
      </c>
      <c r="C191" s="139">
        <v>3</v>
      </c>
      <c r="D191" s="139">
        <v>2019</v>
      </c>
      <c r="E191" s="140">
        <v>371256</v>
      </c>
      <c r="F191" s="141" t="s">
        <v>595</v>
      </c>
      <c r="G191" s="139">
        <v>3</v>
      </c>
      <c r="H191" s="139">
        <v>2020</v>
      </c>
      <c r="I191" s="140">
        <v>226924</v>
      </c>
      <c r="J191" s="141" t="s">
        <v>595</v>
      </c>
      <c r="K191" s="139">
        <v>3</v>
      </c>
      <c r="L191" s="139">
        <v>2021</v>
      </c>
      <c r="M191" s="140">
        <v>73247</v>
      </c>
      <c r="N191" s="141" t="s">
        <v>595</v>
      </c>
      <c r="O191" s="139"/>
      <c r="P191" s="139"/>
      <c r="Q191" s="140"/>
      <c r="R191" s="141" t="s">
        <v>595</v>
      </c>
      <c r="S191" s="139"/>
      <c r="T191" s="139"/>
      <c r="U191" s="140"/>
      <c r="V191" s="141" t="s">
        <v>595</v>
      </c>
      <c r="W191" s="139"/>
      <c r="X191" s="139"/>
      <c r="Y191" s="140"/>
    </row>
    <row r="192" spans="1:25" x14ac:dyDescent="0.25">
      <c r="A192" s="138" t="s">
        <v>354</v>
      </c>
      <c r="B192" s="138">
        <f>_xlfn.XLOOKUP(A192,'[2]FRV Output'!$B:$B,'[2]FRV Output'!$F:$F)</f>
        <v>1164476636</v>
      </c>
      <c r="C192" s="139">
        <v>3</v>
      </c>
      <c r="D192" s="139">
        <v>2019</v>
      </c>
      <c r="E192" s="140">
        <v>281571</v>
      </c>
      <c r="F192" s="141" t="s">
        <v>595</v>
      </c>
      <c r="G192" s="139">
        <v>3</v>
      </c>
      <c r="H192" s="139">
        <v>2020</v>
      </c>
      <c r="I192" s="140">
        <v>75369</v>
      </c>
      <c r="J192" s="141" t="s">
        <v>595</v>
      </c>
      <c r="K192" s="139">
        <v>3</v>
      </c>
      <c r="L192" s="139">
        <v>2021</v>
      </c>
      <c r="M192" s="140">
        <v>90058</v>
      </c>
      <c r="N192" s="141" t="s">
        <v>595</v>
      </c>
      <c r="O192" s="139"/>
      <c r="P192" s="139"/>
      <c r="Q192" s="140"/>
      <c r="R192" s="141" t="s">
        <v>595</v>
      </c>
      <c r="S192" s="139"/>
      <c r="T192" s="139"/>
      <c r="U192" s="140"/>
      <c r="V192" s="141" t="s">
        <v>595</v>
      </c>
      <c r="W192" s="139"/>
      <c r="X192" s="139"/>
      <c r="Y192" s="140"/>
    </row>
    <row r="193" spans="1:25" x14ac:dyDescent="0.25">
      <c r="A193" s="138" t="s">
        <v>355</v>
      </c>
      <c r="B193" s="138">
        <f>_xlfn.XLOOKUP(A193,'[2]FRV Output'!$B:$B,'[2]FRV Output'!$F:$F)</f>
        <v>1669425401</v>
      </c>
      <c r="C193" s="139">
        <v>3</v>
      </c>
      <c r="D193" s="139">
        <v>2019</v>
      </c>
      <c r="E193" s="140">
        <v>125570</v>
      </c>
      <c r="F193" s="141" t="s">
        <v>595</v>
      </c>
      <c r="G193" s="139">
        <v>3</v>
      </c>
      <c r="H193" s="139">
        <v>2021</v>
      </c>
      <c r="I193" s="140">
        <v>59811</v>
      </c>
      <c r="J193" s="141" t="s">
        <v>595</v>
      </c>
      <c r="K193" s="139"/>
      <c r="L193" s="139"/>
      <c r="M193" s="140"/>
      <c r="N193" s="141" t="s">
        <v>595</v>
      </c>
      <c r="O193" s="139"/>
      <c r="P193" s="139"/>
      <c r="Q193" s="140"/>
      <c r="R193" s="141" t="s">
        <v>595</v>
      </c>
      <c r="S193" s="139"/>
      <c r="T193" s="139"/>
      <c r="U193" s="140"/>
      <c r="V193" s="141" t="s">
        <v>595</v>
      </c>
      <c r="W193" s="139"/>
      <c r="X193" s="139"/>
      <c r="Y193" s="140"/>
    </row>
    <row r="194" spans="1:25" x14ac:dyDescent="0.25">
      <c r="A194" s="142" t="s">
        <v>356</v>
      </c>
      <c r="B194" s="138">
        <f>_xlfn.XLOOKUP(A194,'[2]FRV Output'!$B:$B,'[2]FRV Output'!$F:$F)</f>
        <v>1861446338</v>
      </c>
      <c r="C194" s="139">
        <v>3</v>
      </c>
      <c r="D194" s="139">
        <v>2019</v>
      </c>
      <c r="E194" s="140">
        <v>158689</v>
      </c>
      <c r="F194" s="141" t="s">
        <v>595</v>
      </c>
      <c r="G194" s="139"/>
      <c r="H194" s="139"/>
      <c r="I194" s="140"/>
      <c r="J194" s="141" t="s">
        <v>595</v>
      </c>
      <c r="K194" s="139"/>
      <c r="L194" s="139"/>
      <c r="M194" s="140"/>
      <c r="N194" s="141" t="s">
        <v>595</v>
      </c>
      <c r="O194" s="139"/>
      <c r="P194" s="139"/>
      <c r="Q194" s="140"/>
      <c r="R194" s="141" t="s">
        <v>595</v>
      </c>
      <c r="S194" s="139"/>
      <c r="T194" s="139"/>
      <c r="U194" s="140"/>
      <c r="V194" s="141" t="s">
        <v>595</v>
      </c>
      <c r="W194" s="139"/>
      <c r="X194" s="139"/>
      <c r="Y194" s="140"/>
    </row>
    <row r="195" spans="1:25" x14ac:dyDescent="0.25">
      <c r="A195" s="138" t="s">
        <v>357</v>
      </c>
      <c r="B195" s="138">
        <f>_xlfn.XLOOKUP(A195,'[2]FRV Output'!$B:$B,'[2]FRV Output'!$F:$F)</f>
        <v>1407800972</v>
      </c>
      <c r="C195" s="139">
        <v>3</v>
      </c>
      <c r="D195" s="139">
        <v>2019</v>
      </c>
      <c r="E195" s="140">
        <v>227005</v>
      </c>
      <c r="F195" s="141" t="s">
        <v>595</v>
      </c>
      <c r="G195" s="139">
        <v>3</v>
      </c>
      <c r="H195" s="139">
        <v>2021</v>
      </c>
      <c r="I195" s="140">
        <v>279840</v>
      </c>
      <c r="J195" s="141" t="s">
        <v>595</v>
      </c>
      <c r="K195" s="139"/>
      <c r="L195" s="139"/>
      <c r="M195" s="140"/>
      <c r="N195" s="141" t="s">
        <v>595</v>
      </c>
      <c r="O195" s="139"/>
      <c r="P195" s="139"/>
      <c r="Q195" s="140"/>
      <c r="R195" s="141" t="s">
        <v>595</v>
      </c>
      <c r="S195" s="139"/>
      <c r="T195" s="139"/>
      <c r="U195" s="140"/>
      <c r="V195" s="141" t="s">
        <v>595</v>
      </c>
      <c r="W195" s="139"/>
      <c r="X195" s="139"/>
      <c r="Y195" s="140"/>
    </row>
    <row r="196" spans="1:25" x14ac:dyDescent="0.25">
      <c r="A196" s="138" t="s">
        <v>358</v>
      </c>
      <c r="B196" s="138">
        <f>_xlfn.XLOOKUP(A196,'[2]FRV Output'!$B:$B,'[2]FRV Output'!$F:$F)</f>
        <v>1326089616</v>
      </c>
      <c r="C196" s="139">
        <v>3</v>
      </c>
      <c r="D196" s="139">
        <v>2017</v>
      </c>
      <c r="E196" s="140">
        <v>540211</v>
      </c>
      <c r="F196" s="141" t="s">
        <v>595</v>
      </c>
      <c r="G196" s="139">
        <v>3</v>
      </c>
      <c r="H196" s="139">
        <v>2019</v>
      </c>
      <c r="I196" s="140">
        <v>91150</v>
      </c>
      <c r="J196" s="141" t="s">
        <v>595</v>
      </c>
      <c r="K196" s="139">
        <v>2</v>
      </c>
      <c r="L196" s="139">
        <v>2021</v>
      </c>
      <c r="M196" s="140">
        <v>32</v>
      </c>
      <c r="N196" s="141" t="s">
        <v>595</v>
      </c>
      <c r="O196" s="139">
        <v>3</v>
      </c>
      <c r="P196" s="139">
        <v>2021</v>
      </c>
      <c r="Q196" s="140">
        <v>119228</v>
      </c>
      <c r="R196" s="141" t="s">
        <v>595</v>
      </c>
      <c r="S196" s="139"/>
      <c r="T196" s="139"/>
      <c r="U196" s="140"/>
      <c r="V196" s="141" t="s">
        <v>595</v>
      </c>
      <c r="W196" s="139"/>
      <c r="X196" s="139"/>
      <c r="Y196" s="140"/>
    </row>
    <row r="197" spans="1:25" x14ac:dyDescent="0.25">
      <c r="A197" s="138" t="s">
        <v>359</v>
      </c>
      <c r="B197" s="138">
        <f>_xlfn.XLOOKUP(A197,'[2]FRV Output'!$B:$B,'[2]FRV Output'!$F:$F)</f>
        <v>1548770423</v>
      </c>
      <c r="C197" s="139">
        <v>3</v>
      </c>
      <c r="D197" s="139">
        <v>2018</v>
      </c>
      <c r="E197" s="140">
        <v>91475</v>
      </c>
      <c r="F197" s="141" t="s">
        <v>595</v>
      </c>
      <c r="G197" s="139">
        <v>3</v>
      </c>
      <c r="H197" s="139">
        <v>2019</v>
      </c>
      <c r="I197" s="140">
        <v>261699</v>
      </c>
      <c r="J197" s="141" t="s">
        <v>595</v>
      </c>
      <c r="K197" s="139">
        <v>3</v>
      </c>
      <c r="L197" s="139">
        <v>2020</v>
      </c>
      <c r="M197" s="140">
        <v>136592</v>
      </c>
      <c r="N197" s="141" t="s">
        <v>595</v>
      </c>
      <c r="O197" s="139">
        <v>3</v>
      </c>
      <c r="P197" s="139">
        <v>2021</v>
      </c>
      <c r="Q197" s="140">
        <v>263435</v>
      </c>
      <c r="R197" s="141" t="s">
        <v>595</v>
      </c>
      <c r="S197" s="139"/>
      <c r="T197" s="139"/>
      <c r="U197" s="140"/>
      <c r="V197" s="141" t="s">
        <v>595</v>
      </c>
      <c r="W197" s="139"/>
      <c r="X197" s="139"/>
      <c r="Y197" s="140"/>
    </row>
    <row r="198" spans="1:25" x14ac:dyDescent="0.25">
      <c r="A198" s="138" t="s">
        <v>360</v>
      </c>
      <c r="B198" s="138">
        <f>_xlfn.XLOOKUP(A198,'[2]FRV Output'!$B:$B,'[2]FRV Output'!$F:$F)</f>
        <v>1629535455</v>
      </c>
      <c r="C198" s="139">
        <v>2</v>
      </c>
      <c r="D198" s="139">
        <v>2017</v>
      </c>
      <c r="E198" s="140">
        <v>92</v>
      </c>
      <c r="F198" s="141" t="s">
        <v>595</v>
      </c>
      <c r="G198" s="139">
        <v>3</v>
      </c>
      <c r="H198" s="139">
        <v>2020</v>
      </c>
      <c r="I198" s="140">
        <v>157736</v>
      </c>
      <c r="J198" s="141" t="s">
        <v>595</v>
      </c>
      <c r="K198" s="139"/>
      <c r="L198" s="139"/>
      <c r="M198" s="140"/>
      <c r="N198" s="141" t="s">
        <v>595</v>
      </c>
      <c r="O198" s="139"/>
      <c r="P198" s="139"/>
      <c r="Q198" s="140"/>
      <c r="R198" s="141" t="s">
        <v>595</v>
      </c>
      <c r="S198" s="139"/>
      <c r="T198" s="139"/>
      <c r="U198" s="140"/>
      <c r="V198" s="141" t="s">
        <v>595</v>
      </c>
      <c r="W198" s="139"/>
      <c r="X198" s="139"/>
      <c r="Y198" s="140"/>
    </row>
    <row r="199" spans="1:25" x14ac:dyDescent="0.25">
      <c r="A199" s="138" t="s">
        <v>361</v>
      </c>
      <c r="B199" s="138">
        <f>_xlfn.XLOOKUP(A199,'[2]FRV Output'!$B:$B,'[2]FRV Output'!$F:$F)</f>
        <v>1104471531</v>
      </c>
      <c r="C199" s="139">
        <v>3</v>
      </c>
      <c r="D199" s="139">
        <v>2020</v>
      </c>
      <c r="E199" s="140">
        <v>97275</v>
      </c>
      <c r="F199" s="141" t="s">
        <v>595</v>
      </c>
      <c r="G199" s="139">
        <v>3</v>
      </c>
      <c r="H199" s="139">
        <v>2021</v>
      </c>
      <c r="I199" s="140">
        <v>108509</v>
      </c>
      <c r="J199" s="141" t="s">
        <v>595</v>
      </c>
      <c r="K199" s="139"/>
      <c r="L199" s="139"/>
      <c r="M199" s="140"/>
      <c r="N199" s="141" t="s">
        <v>595</v>
      </c>
      <c r="O199" s="139"/>
      <c r="P199" s="139"/>
      <c r="Q199" s="140"/>
      <c r="R199" s="141" t="s">
        <v>595</v>
      </c>
      <c r="S199" s="139"/>
      <c r="T199" s="139"/>
      <c r="U199" s="140"/>
      <c r="V199" s="141" t="s">
        <v>595</v>
      </c>
      <c r="W199" s="139"/>
      <c r="X199" s="139"/>
      <c r="Y199" s="140"/>
    </row>
    <row r="200" spans="1:25" x14ac:dyDescent="0.25">
      <c r="A200" s="142" t="s">
        <v>362</v>
      </c>
      <c r="B200" s="138">
        <f>_xlfn.XLOOKUP(A200,'[2]FRV Output'!$B:$B,'[2]FRV Output'!$F:$F)</f>
        <v>1588219828</v>
      </c>
      <c r="C200" s="139">
        <v>3</v>
      </c>
      <c r="D200" s="139">
        <v>2019</v>
      </c>
      <c r="E200" s="140">
        <v>64300</v>
      </c>
      <c r="F200" s="141" t="s">
        <v>595</v>
      </c>
      <c r="G200" s="139">
        <v>3</v>
      </c>
      <c r="H200" s="139">
        <v>2020</v>
      </c>
      <c r="I200" s="140">
        <v>68991</v>
      </c>
      <c r="J200" s="141" t="s">
        <v>595</v>
      </c>
      <c r="K200" s="139">
        <v>3</v>
      </c>
      <c r="L200" s="139">
        <v>2021</v>
      </c>
      <c r="M200" s="140">
        <v>201121</v>
      </c>
      <c r="N200" s="141" t="s">
        <v>595</v>
      </c>
      <c r="O200" s="139"/>
      <c r="P200" s="139"/>
      <c r="Q200" s="140"/>
      <c r="R200" s="141" t="s">
        <v>595</v>
      </c>
      <c r="S200" s="139"/>
      <c r="T200" s="139"/>
      <c r="U200" s="140"/>
      <c r="V200" s="141" t="s">
        <v>595</v>
      </c>
      <c r="W200" s="139"/>
      <c r="X200" s="139"/>
      <c r="Y200" s="140"/>
    </row>
    <row r="201" spans="1:25" x14ac:dyDescent="0.25">
      <c r="A201" s="142" t="s">
        <v>363</v>
      </c>
      <c r="B201" s="138">
        <f>_xlfn.XLOOKUP(A201,'[2]FRV Output'!$B:$B,'[2]FRV Output'!$F:$F)</f>
        <v>1043865538</v>
      </c>
      <c r="C201" s="139">
        <v>3</v>
      </c>
      <c r="D201" s="139">
        <v>2017</v>
      </c>
      <c r="E201" s="140">
        <v>46500</v>
      </c>
      <c r="F201" s="141" t="s">
        <v>595</v>
      </c>
      <c r="G201" s="139">
        <v>2</v>
      </c>
      <c r="H201" s="139">
        <v>2018</v>
      </c>
      <c r="I201" s="140">
        <v>16</v>
      </c>
      <c r="J201" s="141" t="s">
        <v>595</v>
      </c>
      <c r="K201" s="139">
        <v>3</v>
      </c>
      <c r="L201" s="139">
        <v>2018</v>
      </c>
      <c r="M201" s="140">
        <v>47563</v>
      </c>
      <c r="N201" s="141" t="s">
        <v>595</v>
      </c>
      <c r="O201" s="139">
        <v>3</v>
      </c>
      <c r="P201" s="139">
        <v>2019</v>
      </c>
      <c r="Q201" s="140">
        <v>62920</v>
      </c>
      <c r="R201" s="141" t="s">
        <v>595</v>
      </c>
      <c r="S201" s="139">
        <v>3</v>
      </c>
      <c r="T201" s="139">
        <v>2020</v>
      </c>
      <c r="U201" s="140">
        <v>55343</v>
      </c>
      <c r="V201" s="141" t="s">
        <v>595</v>
      </c>
      <c r="W201" s="139"/>
      <c r="X201" s="139"/>
      <c r="Y201" s="140"/>
    </row>
    <row r="202" spans="1:25" x14ac:dyDescent="0.25">
      <c r="A202" s="142" t="s">
        <v>364</v>
      </c>
      <c r="B202" s="138">
        <f>_xlfn.XLOOKUP(A202,'[2]FRV Output'!$B:$B,'[2]FRV Output'!$F:$F)</f>
        <v>1467007856</v>
      </c>
      <c r="C202" s="139">
        <v>3</v>
      </c>
      <c r="D202" s="139">
        <v>2019</v>
      </c>
      <c r="E202" s="140">
        <v>102123</v>
      </c>
      <c r="F202" s="141" t="s">
        <v>595</v>
      </c>
      <c r="G202" s="139">
        <v>3</v>
      </c>
      <c r="H202" s="139">
        <v>2020</v>
      </c>
      <c r="I202" s="140">
        <v>147727</v>
      </c>
      <c r="J202" s="141" t="s">
        <v>595</v>
      </c>
      <c r="K202" s="139">
        <v>3</v>
      </c>
      <c r="L202" s="139">
        <v>2021</v>
      </c>
      <c r="M202" s="140">
        <v>240238</v>
      </c>
      <c r="N202" s="141" t="s">
        <v>595</v>
      </c>
      <c r="O202" s="139"/>
      <c r="P202" s="139"/>
      <c r="Q202" s="140"/>
      <c r="R202" s="141" t="s">
        <v>595</v>
      </c>
      <c r="S202" s="139"/>
      <c r="T202" s="139"/>
      <c r="U202" s="140"/>
      <c r="V202" s="141" t="s">
        <v>595</v>
      </c>
      <c r="W202" s="139"/>
      <c r="X202" s="139"/>
      <c r="Y202" s="140"/>
    </row>
    <row r="203" spans="1:25" x14ac:dyDescent="0.25">
      <c r="A203" s="138" t="s">
        <v>365</v>
      </c>
      <c r="B203" s="138">
        <f>_xlfn.XLOOKUP(A203,'[2]FRV Output'!$B:$B,'[2]FRV Output'!$F:$F)</f>
        <v>1861446270</v>
      </c>
      <c r="C203" s="139">
        <v>3</v>
      </c>
      <c r="D203" s="139">
        <v>2018</v>
      </c>
      <c r="E203" s="140">
        <v>224654</v>
      </c>
      <c r="F203" s="141" t="s">
        <v>595</v>
      </c>
      <c r="G203" s="139">
        <v>3</v>
      </c>
      <c r="H203" s="139">
        <v>2019</v>
      </c>
      <c r="I203" s="140">
        <v>86305</v>
      </c>
      <c r="J203" s="141" t="s">
        <v>595</v>
      </c>
      <c r="K203" s="139">
        <v>3</v>
      </c>
      <c r="L203" s="139">
        <v>2020</v>
      </c>
      <c r="M203" s="140">
        <v>136510</v>
      </c>
      <c r="N203" s="141" t="s">
        <v>595</v>
      </c>
      <c r="O203" s="139">
        <v>1</v>
      </c>
      <c r="P203" s="139">
        <v>2021</v>
      </c>
      <c r="Q203" s="140">
        <v>-18</v>
      </c>
      <c r="R203" s="141" t="s">
        <v>700</v>
      </c>
      <c r="S203" s="139">
        <v>3</v>
      </c>
      <c r="T203" s="139">
        <v>2021</v>
      </c>
      <c r="U203" s="140">
        <v>157172</v>
      </c>
      <c r="V203" s="141" t="s">
        <v>595</v>
      </c>
      <c r="W203" s="139"/>
      <c r="X203" s="139"/>
      <c r="Y203" s="140"/>
    </row>
    <row r="204" spans="1:25" x14ac:dyDescent="0.25">
      <c r="A204" s="138" t="s">
        <v>366</v>
      </c>
      <c r="B204" s="138">
        <f>_xlfn.XLOOKUP(A204,'[2]FRV Output'!$B:$B,'[2]FRV Output'!$F:$F)</f>
        <v>1295101673</v>
      </c>
      <c r="C204" s="139"/>
      <c r="D204" s="139"/>
      <c r="E204" s="140"/>
      <c r="F204" s="141" t="s">
        <v>595</v>
      </c>
      <c r="G204" s="139"/>
      <c r="H204" s="139"/>
      <c r="I204" s="140"/>
      <c r="J204" s="141" t="s">
        <v>595</v>
      </c>
      <c r="K204" s="139"/>
      <c r="L204" s="139"/>
      <c r="M204" s="140"/>
      <c r="N204" s="141" t="s">
        <v>595</v>
      </c>
      <c r="O204" s="139"/>
      <c r="P204" s="139"/>
      <c r="Q204" s="140"/>
      <c r="R204" s="141" t="s">
        <v>595</v>
      </c>
      <c r="S204" s="139"/>
      <c r="T204" s="139"/>
      <c r="U204" s="140"/>
      <c r="V204" s="141" t="s">
        <v>595</v>
      </c>
      <c r="W204" s="139"/>
      <c r="X204" s="139"/>
      <c r="Y204" s="140"/>
    </row>
    <row r="205" spans="1:25" x14ac:dyDescent="0.25">
      <c r="A205" s="138" t="s">
        <v>367</v>
      </c>
      <c r="B205" s="138">
        <f>_xlfn.XLOOKUP(A205,'[2]FRV Output'!$B:$B,'[2]FRV Output'!$F:$F)</f>
        <v>1760415434</v>
      </c>
      <c r="C205" s="139"/>
      <c r="D205" s="139"/>
      <c r="E205" s="140"/>
      <c r="F205" s="141" t="s">
        <v>595</v>
      </c>
      <c r="G205" s="139"/>
      <c r="H205" s="139"/>
      <c r="I205" s="140"/>
      <c r="J205" s="141" t="s">
        <v>595</v>
      </c>
      <c r="K205" s="139"/>
      <c r="L205" s="139"/>
      <c r="M205" s="140"/>
      <c r="N205" s="141" t="s">
        <v>595</v>
      </c>
      <c r="O205" s="139"/>
      <c r="P205" s="139"/>
      <c r="Q205" s="140"/>
      <c r="R205" s="141" t="s">
        <v>595</v>
      </c>
      <c r="S205" s="139"/>
      <c r="T205" s="139"/>
      <c r="U205" s="140"/>
      <c r="V205" s="141" t="s">
        <v>595</v>
      </c>
      <c r="W205" s="139"/>
      <c r="X205" s="139"/>
      <c r="Y205" s="140"/>
    </row>
    <row r="206" spans="1:25" x14ac:dyDescent="0.25">
      <c r="A206" s="138" t="s">
        <v>368</v>
      </c>
      <c r="B206" s="138">
        <f>_xlfn.XLOOKUP(A206,'[2]FRV Output'!$B:$B,'[2]FRV Output'!$F:$F)</f>
        <v>1629494059</v>
      </c>
      <c r="C206" s="139">
        <v>3</v>
      </c>
      <c r="D206" s="139">
        <v>2020</v>
      </c>
      <c r="E206" s="140">
        <v>60508</v>
      </c>
      <c r="F206" s="141" t="s">
        <v>595</v>
      </c>
      <c r="G206" s="139">
        <v>3</v>
      </c>
      <c r="H206" s="139">
        <v>2021</v>
      </c>
      <c r="I206" s="140">
        <v>61303</v>
      </c>
      <c r="J206" s="141" t="s">
        <v>595</v>
      </c>
      <c r="K206" s="139"/>
      <c r="L206" s="139"/>
      <c r="M206" s="140"/>
      <c r="N206" s="141" t="s">
        <v>595</v>
      </c>
      <c r="O206" s="139"/>
      <c r="P206" s="139"/>
      <c r="Q206" s="140"/>
      <c r="R206" s="141" t="s">
        <v>595</v>
      </c>
      <c r="S206" s="139"/>
      <c r="T206" s="139"/>
      <c r="U206" s="140"/>
      <c r="V206" s="141" t="s">
        <v>595</v>
      </c>
      <c r="W206" s="139"/>
      <c r="X206" s="139"/>
      <c r="Y206" s="140"/>
    </row>
    <row r="207" spans="1:25" x14ac:dyDescent="0.25">
      <c r="A207" s="138" t="s">
        <v>369</v>
      </c>
      <c r="B207" s="138">
        <f>_xlfn.XLOOKUP(A207,'[2]FRV Output'!$B:$B,'[2]FRV Output'!$F:$F)</f>
        <v>1467421024</v>
      </c>
      <c r="C207" s="139">
        <v>3</v>
      </c>
      <c r="D207" s="139">
        <v>2016</v>
      </c>
      <c r="E207" s="140">
        <v>112012</v>
      </c>
      <c r="F207" s="141" t="s">
        <v>595</v>
      </c>
      <c r="G207" s="139">
        <v>2</v>
      </c>
      <c r="H207" s="139">
        <v>2016</v>
      </c>
      <c r="I207" s="140">
        <v>15</v>
      </c>
      <c r="J207" s="141" t="s">
        <v>595</v>
      </c>
      <c r="K207" s="139">
        <v>3</v>
      </c>
      <c r="L207" s="139">
        <v>2017</v>
      </c>
      <c r="M207" s="140">
        <v>57584</v>
      </c>
      <c r="N207" s="141" t="s">
        <v>595</v>
      </c>
      <c r="O207" s="139">
        <v>3</v>
      </c>
      <c r="P207" s="139">
        <v>2018</v>
      </c>
      <c r="Q207" s="140">
        <v>51306</v>
      </c>
      <c r="R207" s="141" t="s">
        <v>595</v>
      </c>
      <c r="S207" s="139"/>
      <c r="T207" s="139"/>
      <c r="U207" s="140"/>
      <c r="V207" s="141" t="s">
        <v>595</v>
      </c>
      <c r="W207" s="139"/>
      <c r="X207" s="139"/>
      <c r="Y207" s="140"/>
    </row>
    <row r="208" spans="1:25" x14ac:dyDescent="0.25">
      <c r="A208" s="142" t="s">
        <v>371</v>
      </c>
      <c r="B208" s="138">
        <f>_xlfn.XLOOKUP(A208,'[2]FRV Output'!$B:$B,'[2]FRV Output'!$F:$F)</f>
        <v>1447254149</v>
      </c>
      <c r="C208" s="139">
        <v>3</v>
      </c>
      <c r="D208" s="139">
        <v>2018</v>
      </c>
      <c r="E208" s="140">
        <v>85769</v>
      </c>
      <c r="F208" s="141" t="s">
        <v>595</v>
      </c>
      <c r="G208" s="139">
        <v>3</v>
      </c>
      <c r="H208" s="139">
        <v>2019</v>
      </c>
      <c r="I208" s="140">
        <v>205637</v>
      </c>
      <c r="J208" s="141" t="s">
        <v>595</v>
      </c>
      <c r="K208" s="139">
        <v>3</v>
      </c>
      <c r="L208" s="139">
        <v>2020</v>
      </c>
      <c r="M208" s="140">
        <v>1563570</v>
      </c>
      <c r="N208" s="141" t="s">
        <v>595</v>
      </c>
      <c r="O208" s="139">
        <v>3</v>
      </c>
      <c r="P208" s="139">
        <v>2021</v>
      </c>
      <c r="Q208" s="140">
        <v>226677</v>
      </c>
      <c r="R208" s="141" t="s">
        <v>595</v>
      </c>
      <c r="S208" s="139"/>
      <c r="T208" s="139"/>
      <c r="U208" s="140"/>
      <c r="V208" s="141" t="s">
        <v>595</v>
      </c>
      <c r="W208" s="139"/>
      <c r="X208" s="139"/>
      <c r="Y208" s="140"/>
    </row>
    <row r="209" spans="1:25" x14ac:dyDescent="0.25">
      <c r="A209" s="142" t="s">
        <v>701</v>
      </c>
      <c r="B209" s="138">
        <f>_xlfn.XLOOKUP(A209,'[2]FRV Output'!$B:$B,'[2]FRV Output'!$F:$F)</f>
        <v>1184174484</v>
      </c>
      <c r="C209" s="139">
        <v>3</v>
      </c>
      <c r="D209" s="139">
        <v>2017</v>
      </c>
      <c r="E209" s="140">
        <v>129330.52</v>
      </c>
      <c r="F209" s="141" t="s">
        <v>595</v>
      </c>
      <c r="G209" s="139">
        <v>3</v>
      </c>
      <c r="H209" s="139">
        <v>2019</v>
      </c>
      <c r="I209" s="140">
        <v>172200</v>
      </c>
      <c r="J209" s="141" t="s">
        <v>595</v>
      </c>
      <c r="K209" s="139">
        <v>3</v>
      </c>
      <c r="L209" s="139">
        <v>2020</v>
      </c>
      <c r="M209" s="140">
        <v>78742</v>
      </c>
      <c r="N209" s="141" t="s">
        <v>595</v>
      </c>
      <c r="O209" s="139">
        <v>3</v>
      </c>
      <c r="P209" s="139">
        <v>2021</v>
      </c>
      <c r="Q209" s="140">
        <v>125588</v>
      </c>
      <c r="R209" s="141" t="s">
        <v>595</v>
      </c>
      <c r="S209" s="139"/>
      <c r="T209" s="139"/>
      <c r="U209" s="140"/>
      <c r="V209" s="141" t="s">
        <v>595</v>
      </c>
      <c r="W209" s="139"/>
      <c r="X209" s="139"/>
      <c r="Y209" s="140"/>
    </row>
    <row r="210" spans="1:25" x14ac:dyDescent="0.25">
      <c r="A210" s="142" t="s">
        <v>702</v>
      </c>
      <c r="B210" s="138">
        <f>_xlfn.XLOOKUP(A210,'[2]FRV Output'!$B:$B,'[2]FRV Output'!$F:$F)</f>
        <v>1457397952</v>
      </c>
      <c r="C210" s="139">
        <v>3</v>
      </c>
      <c r="D210" s="139">
        <v>2016</v>
      </c>
      <c r="E210" s="140">
        <v>132833</v>
      </c>
      <c r="F210" s="141" t="s">
        <v>595</v>
      </c>
      <c r="G210" s="139">
        <v>3</v>
      </c>
      <c r="H210" s="139">
        <v>2019</v>
      </c>
      <c r="I210" s="140">
        <v>127888</v>
      </c>
      <c r="J210" s="141" t="s">
        <v>595</v>
      </c>
      <c r="K210" s="139">
        <v>3</v>
      </c>
      <c r="L210" s="139">
        <v>2020</v>
      </c>
      <c r="M210" s="140">
        <v>101337</v>
      </c>
      <c r="N210" s="141" t="s">
        <v>595</v>
      </c>
      <c r="O210" s="139"/>
      <c r="P210" s="139"/>
      <c r="Q210" s="140"/>
      <c r="R210" s="141" t="s">
        <v>595</v>
      </c>
      <c r="S210" s="139"/>
      <c r="T210" s="139"/>
      <c r="U210" s="140"/>
      <c r="V210" s="141" t="s">
        <v>595</v>
      </c>
      <c r="W210" s="139"/>
      <c r="X210" s="139"/>
      <c r="Y210" s="140"/>
    </row>
    <row r="211" spans="1:25" x14ac:dyDescent="0.25">
      <c r="A211" s="142" t="s">
        <v>703</v>
      </c>
      <c r="B211" s="138">
        <f>_xlfn.XLOOKUP(A211,'[2]FRV Output'!$B:$B,'[2]FRV Output'!$F:$F)</f>
        <v>1497058416</v>
      </c>
      <c r="C211" s="139">
        <v>3</v>
      </c>
      <c r="D211" s="139">
        <v>2016</v>
      </c>
      <c r="E211" s="140">
        <v>151765</v>
      </c>
      <c r="F211" s="141" t="s">
        <v>595</v>
      </c>
      <c r="G211" s="139">
        <v>3</v>
      </c>
      <c r="H211" s="139">
        <v>2017</v>
      </c>
      <c r="I211" s="140">
        <v>53371</v>
      </c>
      <c r="J211" s="141" t="s">
        <v>595</v>
      </c>
      <c r="K211" s="139">
        <v>3</v>
      </c>
      <c r="L211" s="139">
        <v>2018</v>
      </c>
      <c r="M211" s="140">
        <v>221004</v>
      </c>
      <c r="N211" s="141" t="s">
        <v>595</v>
      </c>
      <c r="O211" s="139">
        <v>3</v>
      </c>
      <c r="P211" s="139">
        <v>2019</v>
      </c>
      <c r="Q211" s="140">
        <v>373748</v>
      </c>
      <c r="R211" s="141" t="s">
        <v>595</v>
      </c>
      <c r="S211" s="139">
        <v>3</v>
      </c>
      <c r="T211" s="139">
        <v>2020</v>
      </c>
      <c r="U211" s="140">
        <v>197264</v>
      </c>
      <c r="V211" s="141" t="s">
        <v>595</v>
      </c>
      <c r="W211" s="139"/>
      <c r="X211" s="139"/>
      <c r="Y211" s="140"/>
    </row>
    <row r="212" spans="1:25" x14ac:dyDescent="0.25">
      <c r="A212" s="142" t="s">
        <v>704</v>
      </c>
      <c r="B212" s="138">
        <f>_xlfn.XLOOKUP(A212,'[2]FRV Output'!$B:$B,'[2]FRV Output'!$F:$F)</f>
        <v>1235591918</v>
      </c>
      <c r="C212" s="139">
        <v>3</v>
      </c>
      <c r="D212" s="139">
        <v>2019</v>
      </c>
      <c r="E212" s="140">
        <v>67882</v>
      </c>
      <c r="F212" s="141" t="s">
        <v>595</v>
      </c>
      <c r="G212" s="139"/>
      <c r="H212" s="139"/>
      <c r="I212" s="140"/>
      <c r="J212" s="141" t="s">
        <v>595</v>
      </c>
      <c r="K212" s="139"/>
      <c r="L212" s="139"/>
      <c r="M212" s="140"/>
      <c r="N212" s="141" t="s">
        <v>595</v>
      </c>
      <c r="O212" s="139"/>
      <c r="P212" s="139"/>
      <c r="Q212" s="140"/>
      <c r="R212" s="141" t="s">
        <v>595</v>
      </c>
      <c r="S212" s="139"/>
      <c r="T212" s="139"/>
      <c r="U212" s="140"/>
      <c r="V212" s="141" t="s">
        <v>595</v>
      </c>
      <c r="W212" s="139"/>
      <c r="X212" s="139"/>
      <c r="Y212" s="140"/>
    </row>
    <row r="213" spans="1:25" x14ac:dyDescent="0.25">
      <c r="A213" s="138" t="s">
        <v>705</v>
      </c>
      <c r="B213" s="138">
        <f>_xlfn.XLOOKUP(A213,'[2]FRV Output'!$B:$B,'[2]FRV Output'!$F:$F)</f>
        <v>1952337073</v>
      </c>
      <c r="C213" s="139">
        <v>3</v>
      </c>
      <c r="D213" s="139">
        <v>2021</v>
      </c>
      <c r="E213" s="140">
        <v>441628</v>
      </c>
      <c r="F213" s="141" t="s">
        <v>595</v>
      </c>
      <c r="G213" s="139"/>
      <c r="H213" s="139"/>
      <c r="I213" s="140"/>
      <c r="J213" s="141" t="s">
        <v>595</v>
      </c>
      <c r="K213" s="139"/>
      <c r="L213" s="139"/>
      <c r="M213" s="140"/>
      <c r="N213" s="141" t="s">
        <v>595</v>
      </c>
      <c r="O213" s="139"/>
      <c r="P213" s="139"/>
      <c r="Q213" s="140"/>
      <c r="R213" s="141" t="s">
        <v>595</v>
      </c>
      <c r="S213" s="139"/>
      <c r="T213" s="139"/>
      <c r="U213" s="140"/>
      <c r="V213" s="141" t="s">
        <v>595</v>
      </c>
      <c r="W213" s="139"/>
      <c r="X213" s="139"/>
      <c r="Y213" s="140"/>
    </row>
    <row r="214" spans="1:25" x14ac:dyDescent="0.25">
      <c r="A214" s="142" t="s">
        <v>706</v>
      </c>
      <c r="B214" s="138">
        <f>_xlfn.XLOOKUP(A214,'[2]FRV Output'!$B:$B,'[2]FRV Output'!$F:$F)</f>
        <v>1326074048</v>
      </c>
      <c r="C214" s="139">
        <v>3</v>
      </c>
      <c r="D214" s="139">
        <v>2017</v>
      </c>
      <c r="E214" s="140">
        <v>181261</v>
      </c>
      <c r="F214" s="141" t="s">
        <v>595</v>
      </c>
      <c r="G214" s="139">
        <v>3</v>
      </c>
      <c r="H214" s="139">
        <v>2019</v>
      </c>
      <c r="I214" s="140">
        <v>368375</v>
      </c>
      <c r="J214" s="141" t="s">
        <v>595</v>
      </c>
      <c r="K214" s="139">
        <v>3</v>
      </c>
      <c r="L214" s="139">
        <v>2021</v>
      </c>
      <c r="M214" s="140">
        <v>263328</v>
      </c>
      <c r="N214" s="141" t="s">
        <v>595</v>
      </c>
      <c r="O214" s="139"/>
      <c r="P214" s="139"/>
      <c r="Q214" s="140"/>
      <c r="R214" s="141" t="s">
        <v>595</v>
      </c>
      <c r="S214" s="139"/>
      <c r="T214" s="139"/>
      <c r="U214" s="140"/>
      <c r="V214" s="141" t="s">
        <v>595</v>
      </c>
      <c r="W214" s="139"/>
      <c r="X214" s="139"/>
      <c r="Y214" s="140"/>
    </row>
    <row r="215" spans="1:25" x14ac:dyDescent="0.25">
      <c r="A215" s="142" t="s">
        <v>378</v>
      </c>
      <c r="B215" s="138">
        <f>_xlfn.XLOOKUP(A215,'[2]FRV Output'!$B:$B,'[2]FRV Output'!$F:$F)</f>
        <v>1992825848</v>
      </c>
      <c r="C215" s="139">
        <v>3</v>
      </c>
      <c r="D215" s="139">
        <v>2016</v>
      </c>
      <c r="E215" s="140">
        <v>149602</v>
      </c>
      <c r="F215" s="141" t="s">
        <v>595</v>
      </c>
      <c r="G215" s="139">
        <v>3</v>
      </c>
      <c r="H215" s="139">
        <v>2017</v>
      </c>
      <c r="I215" s="140">
        <v>74762.69</v>
      </c>
      <c r="J215" s="141" t="s">
        <v>595</v>
      </c>
      <c r="K215" s="139">
        <v>3</v>
      </c>
      <c r="L215" s="139">
        <v>2019</v>
      </c>
      <c r="M215" s="140">
        <v>70136</v>
      </c>
      <c r="N215" s="141" t="s">
        <v>595</v>
      </c>
      <c r="O215" s="139">
        <v>3</v>
      </c>
      <c r="P215" s="139">
        <v>2020</v>
      </c>
      <c r="Q215" s="140">
        <v>220818</v>
      </c>
      <c r="R215" s="141" t="s">
        <v>595</v>
      </c>
      <c r="S215" s="139"/>
      <c r="T215" s="139"/>
      <c r="U215" s="140"/>
      <c r="V215" s="141" t="s">
        <v>595</v>
      </c>
      <c r="W215" s="139"/>
      <c r="X215" s="139"/>
      <c r="Y215" s="140"/>
    </row>
    <row r="216" spans="1:25" x14ac:dyDescent="0.25">
      <c r="A216" s="152" t="s">
        <v>499</v>
      </c>
      <c r="B216" s="138">
        <f>_xlfn.XLOOKUP(A216,'[2]FRV Output'!$B:$B,'[2]FRV Output'!$F:$F)</f>
        <v>1962505313</v>
      </c>
      <c r="C216" s="139"/>
      <c r="D216" s="139"/>
      <c r="E216" s="140"/>
      <c r="F216" s="141" t="s">
        <v>595</v>
      </c>
      <c r="G216" s="139"/>
      <c r="H216" s="139"/>
      <c r="I216" s="140"/>
      <c r="J216" s="141" t="s">
        <v>595</v>
      </c>
      <c r="K216" s="139"/>
      <c r="L216" s="139"/>
      <c r="M216" s="140"/>
      <c r="N216" s="141" t="s">
        <v>595</v>
      </c>
      <c r="O216" s="139"/>
      <c r="P216" s="139"/>
      <c r="Q216" s="140"/>
      <c r="R216" s="141" t="s">
        <v>595</v>
      </c>
      <c r="S216" s="139"/>
      <c r="T216" s="139"/>
      <c r="U216" s="140"/>
      <c r="V216" s="141" t="s">
        <v>595</v>
      </c>
      <c r="W216" s="139"/>
      <c r="X216" s="139"/>
      <c r="Y216" s="140"/>
    </row>
    <row r="217" spans="1:25" x14ac:dyDescent="0.25">
      <c r="A217" s="142" t="s">
        <v>379</v>
      </c>
      <c r="B217" s="138">
        <f>_xlfn.XLOOKUP(A217,'[2]FRV Output'!$B:$B,'[2]FRV Output'!$F:$F)</f>
        <v>1720033475</v>
      </c>
      <c r="C217" s="139">
        <v>3</v>
      </c>
      <c r="D217" s="139">
        <v>2019</v>
      </c>
      <c r="E217" s="140">
        <v>152441</v>
      </c>
      <c r="F217" s="141" t="s">
        <v>595</v>
      </c>
      <c r="G217" s="139"/>
      <c r="H217" s="139"/>
      <c r="I217" s="140"/>
      <c r="J217" s="141" t="s">
        <v>595</v>
      </c>
      <c r="K217" s="139"/>
      <c r="L217" s="139"/>
      <c r="M217" s="140"/>
      <c r="N217" s="141" t="s">
        <v>595</v>
      </c>
      <c r="O217" s="139"/>
      <c r="P217" s="139"/>
      <c r="Q217" s="140"/>
      <c r="R217" s="141" t="s">
        <v>595</v>
      </c>
      <c r="S217" s="139"/>
      <c r="T217" s="139"/>
      <c r="U217" s="140"/>
      <c r="V217" s="141" t="s">
        <v>595</v>
      </c>
      <c r="W217" s="139"/>
      <c r="X217" s="139"/>
      <c r="Y217" s="140"/>
    </row>
    <row r="218" spans="1:25" x14ac:dyDescent="0.25">
      <c r="A218" s="138" t="s">
        <v>380</v>
      </c>
      <c r="B218" s="138">
        <f>_xlfn.XLOOKUP(A218,'[2]FRV Output'!$B:$B,'[2]FRV Output'!$F:$F)</f>
        <v>1477641694</v>
      </c>
      <c r="C218" s="139"/>
      <c r="D218" s="139"/>
      <c r="E218" s="140"/>
      <c r="F218" s="141" t="s">
        <v>595</v>
      </c>
      <c r="G218" s="139"/>
      <c r="H218" s="139"/>
      <c r="I218" s="140"/>
      <c r="J218" s="141" t="s">
        <v>595</v>
      </c>
      <c r="K218" s="139"/>
      <c r="L218" s="139"/>
      <c r="M218" s="140"/>
      <c r="N218" s="141" t="s">
        <v>595</v>
      </c>
      <c r="O218" s="139"/>
      <c r="P218" s="139"/>
      <c r="Q218" s="140"/>
      <c r="R218" s="141" t="s">
        <v>595</v>
      </c>
      <c r="S218" s="139"/>
      <c r="T218" s="139"/>
      <c r="U218" s="140"/>
      <c r="V218" s="141" t="s">
        <v>595</v>
      </c>
      <c r="W218" s="139"/>
      <c r="X218" s="139"/>
      <c r="Y218" s="140"/>
    </row>
    <row r="219" spans="1:25" x14ac:dyDescent="0.25">
      <c r="A219" s="142" t="s">
        <v>707</v>
      </c>
      <c r="B219" s="138">
        <f>_xlfn.XLOOKUP(A219,'[2]FRV Output'!$B:$B,'[2]FRV Output'!$F:$F)</f>
        <v>1790317840</v>
      </c>
      <c r="C219" s="139">
        <v>3</v>
      </c>
      <c r="D219" s="139">
        <v>2016</v>
      </c>
      <c r="E219" s="140">
        <v>149460</v>
      </c>
      <c r="F219" s="141" t="s">
        <v>595</v>
      </c>
      <c r="G219" s="139">
        <v>3</v>
      </c>
      <c r="H219" s="139">
        <v>2017</v>
      </c>
      <c r="I219" s="140">
        <v>92407</v>
      </c>
      <c r="J219" s="141" t="s">
        <v>595</v>
      </c>
      <c r="K219" s="139">
        <v>3</v>
      </c>
      <c r="L219" s="139">
        <v>2018</v>
      </c>
      <c r="M219" s="140">
        <v>171020</v>
      </c>
      <c r="N219" s="141" t="s">
        <v>595</v>
      </c>
      <c r="O219" s="139">
        <v>3</v>
      </c>
      <c r="P219" s="139">
        <v>2019</v>
      </c>
      <c r="Q219" s="140">
        <v>241158</v>
      </c>
      <c r="R219" s="141" t="s">
        <v>595</v>
      </c>
      <c r="S219" s="139"/>
      <c r="T219" s="139"/>
      <c r="U219" s="140"/>
      <c r="V219" s="141" t="s">
        <v>595</v>
      </c>
      <c r="W219" s="139"/>
      <c r="X219" s="139"/>
      <c r="Y219" s="140"/>
    </row>
    <row r="220" spans="1:25" x14ac:dyDescent="0.25">
      <c r="A220" s="142" t="s">
        <v>708</v>
      </c>
      <c r="B220" s="138">
        <f>_xlfn.XLOOKUP(A220,'[2]FRV Output'!$B:$B,'[2]FRV Output'!$F:$F)</f>
        <v>1336565779</v>
      </c>
      <c r="C220" s="139">
        <v>3</v>
      </c>
      <c r="D220" s="139">
        <v>2019</v>
      </c>
      <c r="E220" s="140">
        <v>77563</v>
      </c>
      <c r="F220" s="141" t="s">
        <v>595</v>
      </c>
      <c r="G220" s="139">
        <v>3</v>
      </c>
      <c r="H220" s="139">
        <v>2020</v>
      </c>
      <c r="I220" s="140">
        <v>132596</v>
      </c>
      <c r="J220" s="141" t="s">
        <v>595</v>
      </c>
      <c r="K220" s="139">
        <v>3</v>
      </c>
      <c r="L220" s="139">
        <v>2021</v>
      </c>
      <c r="M220" s="140">
        <v>109124</v>
      </c>
      <c r="N220" s="141" t="s">
        <v>595</v>
      </c>
      <c r="O220" s="139"/>
      <c r="P220" s="139"/>
      <c r="Q220" s="140"/>
      <c r="R220" s="141" t="s">
        <v>595</v>
      </c>
      <c r="S220" s="139"/>
      <c r="T220" s="139"/>
      <c r="U220" s="140"/>
      <c r="V220" s="141" t="s">
        <v>595</v>
      </c>
      <c r="W220" s="139"/>
      <c r="X220" s="139"/>
      <c r="Y220" s="140"/>
    </row>
    <row r="221" spans="1:25" x14ac:dyDescent="0.25">
      <c r="A221" s="138" t="s">
        <v>709</v>
      </c>
      <c r="B221" s="138">
        <f>_xlfn.XLOOKUP(A221,'[2]FRV Output'!$B:$B,'[2]FRV Output'!$F:$F)</f>
        <v>1649224056</v>
      </c>
      <c r="C221" s="139">
        <v>3</v>
      </c>
      <c r="D221" s="139">
        <v>2017</v>
      </c>
      <c r="E221" s="140">
        <v>155323</v>
      </c>
      <c r="F221" s="141" t="s">
        <v>595</v>
      </c>
      <c r="G221" s="139">
        <v>3</v>
      </c>
      <c r="H221" s="139">
        <v>2020</v>
      </c>
      <c r="I221" s="140">
        <v>286440</v>
      </c>
      <c r="J221" s="141" t="s">
        <v>595</v>
      </c>
      <c r="K221" s="139">
        <v>3</v>
      </c>
      <c r="L221" s="139">
        <v>2021</v>
      </c>
      <c r="M221" s="140">
        <v>110986</v>
      </c>
      <c r="N221" s="141" t="s">
        <v>595</v>
      </c>
      <c r="O221" s="139"/>
      <c r="P221" s="139"/>
      <c r="Q221" s="140"/>
      <c r="R221" s="141" t="s">
        <v>595</v>
      </c>
      <c r="S221" s="139"/>
      <c r="T221" s="139"/>
      <c r="U221" s="140"/>
      <c r="V221" s="141" t="s">
        <v>595</v>
      </c>
      <c r="W221" s="139"/>
      <c r="X221" s="139"/>
      <c r="Y221" s="140"/>
    </row>
    <row r="222" spans="1:25" x14ac:dyDescent="0.25">
      <c r="A222" s="142" t="s">
        <v>384</v>
      </c>
      <c r="B222" s="138">
        <f>_xlfn.XLOOKUP(A222,'[2]FRV Output'!$B:$B,'[2]FRV Output'!$F:$F)</f>
        <v>1831197714</v>
      </c>
      <c r="C222" s="139">
        <v>3</v>
      </c>
      <c r="D222" s="139">
        <v>2016</v>
      </c>
      <c r="E222" s="140">
        <v>59110</v>
      </c>
      <c r="F222" s="141" t="s">
        <v>595</v>
      </c>
      <c r="G222" s="139">
        <v>3</v>
      </c>
      <c r="H222" s="139">
        <v>2019</v>
      </c>
      <c r="I222" s="140">
        <v>69478</v>
      </c>
      <c r="J222" s="141" t="s">
        <v>595</v>
      </c>
      <c r="K222" s="139"/>
      <c r="L222" s="139"/>
      <c r="M222" s="140"/>
      <c r="N222" s="141" t="s">
        <v>595</v>
      </c>
      <c r="O222" s="139"/>
      <c r="P222" s="139"/>
      <c r="Q222" s="140"/>
      <c r="R222" s="141" t="s">
        <v>595</v>
      </c>
      <c r="S222" s="139"/>
      <c r="T222" s="139"/>
      <c r="U222" s="140"/>
      <c r="V222" s="141" t="s">
        <v>595</v>
      </c>
      <c r="W222" s="139"/>
      <c r="X222" s="139"/>
      <c r="Y222" s="140"/>
    </row>
    <row r="223" spans="1:25" x14ac:dyDescent="0.25">
      <c r="A223" s="138" t="s">
        <v>385</v>
      </c>
      <c r="B223" s="138">
        <f>_xlfn.XLOOKUP(A223,'[2]FRV Output'!$B:$B,'[2]FRV Output'!$F:$F)</f>
        <v>1952396509</v>
      </c>
      <c r="C223" s="139"/>
      <c r="D223" s="139"/>
      <c r="E223" s="140"/>
      <c r="F223" s="141" t="s">
        <v>595</v>
      </c>
      <c r="G223" s="139"/>
      <c r="H223" s="139"/>
      <c r="I223" s="140"/>
      <c r="J223" s="141" t="s">
        <v>595</v>
      </c>
      <c r="K223" s="139"/>
      <c r="L223" s="139"/>
      <c r="M223" s="140"/>
      <c r="N223" s="141" t="s">
        <v>595</v>
      </c>
      <c r="O223" s="139"/>
      <c r="P223" s="139"/>
      <c r="Q223" s="140"/>
      <c r="R223" s="141" t="s">
        <v>595</v>
      </c>
      <c r="S223" s="139"/>
      <c r="T223" s="139"/>
      <c r="U223" s="140"/>
      <c r="V223" s="141" t="s">
        <v>595</v>
      </c>
      <c r="W223" s="139"/>
      <c r="X223" s="139"/>
      <c r="Y223" s="140"/>
    </row>
    <row r="224" spans="1:25" x14ac:dyDescent="0.25">
      <c r="A224" s="142" t="s">
        <v>386</v>
      </c>
      <c r="B224" s="138">
        <f>_xlfn.XLOOKUP(A224,'[2]FRV Output'!$B:$B,'[2]FRV Output'!$F:$F)</f>
        <v>1396754875</v>
      </c>
      <c r="C224" s="139">
        <v>3</v>
      </c>
      <c r="D224" s="139">
        <v>2016</v>
      </c>
      <c r="E224" s="140">
        <v>85239</v>
      </c>
      <c r="F224" s="141" t="s">
        <v>595</v>
      </c>
      <c r="G224" s="139">
        <v>3</v>
      </c>
      <c r="H224" s="139">
        <v>2017</v>
      </c>
      <c r="I224" s="140">
        <v>45401</v>
      </c>
      <c r="J224" s="141" t="s">
        <v>595</v>
      </c>
      <c r="K224" s="139">
        <v>3</v>
      </c>
      <c r="L224" s="139">
        <v>2018</v>
      </c>
      <c r="M224" s="140">
        <v>1738602</v>
      </c>
      <c r="N224" s="141" t="s">
        <v>595</v>
      </c>
      <c r="O224" s="139">
        <v>3</v>
      </c>
      <c r="P224" s="139">
        <v>2019</v>
      </c>
      <c r="Q224" s="140">
        <v>144401</v>
      </c>
      <c r="R224" s="141" t="s">
        <v>595</v>
      </c>
      <c r="S224" s="139">
        <v>3</v>
      </c>
      <c r="T224" s="139">
        <v>2021</v>
      </c>
      <c r="U224" s="140">
        <v>90001</v>
      </c>
      <c r="V224" s="141" t="s">
        <v>595</v>
      </c>
      <c r="W224" s="139"/>
      <c r="X224" s="139"/>
      <c r="Y224" s="140"/>
    </row>
    <row r="225" spans="1:25" x14ac:dyDescent="0.25">
      <c r="A225" s="148" t="s">
        <v>710</v>
      </c>
      <c r="B225" s="138">
        <f>_xlfn.XLOOKUP(A225,'[2]FRV Output'!$B:$B,'[2]FRV Output'!$F:$F)</f>
        <v>1952486771</v>
      </c>
      <c r="C225" s="139">
        <v>3</v>
      </c>
      <c r="D225" s="139">
        <v>2018</v>
      </c>
      <c r="E225" s="140">
        <v>74899</v>
      </c>
      <c r="F225" s="141" t="s">
        <v>595</v>
      </c>
      <c r="G225" s="139">
        <v>2</v>
      </c>
      <c r="H225" s="139">
        <v>2020</v>
      </c>
      <c r="I225" s="140">
        <v>134</v>
      </c>
      <c r="J225" s="141" t="s">
        <v>595</v>
      </c>
      <c r="K225" s="139"/>
      <c r="L225" s="139"/>
      <c r="M225" s="140"/>
      <c r="N225" s="141" t="s">
        <v>595</v>
      </c>
      <c r="O225" s="139"/>
      <c r="P225" s="139"/>
      <c r="Q225" s="140"/>
      <c r="R225" s="141" t="s">
        <v>595</v>
      </c>
      <c r="S225" s="139"/>
      <c r="T225" s="139"/>
      <c r="U225" s="140"/>
      <c r="V225" s="141" t="s">
        <v>595</v>
      </c>
      <c r="W225" s="139"/>
      <c r="X225" s="139"/>
      <c r="Y225" s="140"/>
    </row>
    <row r="226" spans="1:25" x14ac:dyDescent="0.25">
      <c r="A226" s="142" t="s">
        <v>711</v>
      </c>
      <c r="B226" s="138">
        <f>_xlfn.XLOOKUP(A226,'[2]FRV Output'!$B:$B,'[2]FRV Output'!$F:$F)</f>
        <v>1396771515</v>
      </c>
      <c r="C226" s="139">
        <v>3</v>
      </c>
      <c r="D226" s="139">
        <v>2016</v>
      </c>
      <c r="E226" s="140">
        <v>289221</v>
      </c>
      <c r="F226" s="141" t="s">
        <v>595</v>
      </c>
      <c r="G226" s="139">
        <v>3</v>
      </c>
      <c r="H226" s="139">
        <v>2018</v>
      </c>
      <c r="I226" s="140">
        <v>326573</v>
      </c>
      <c r="J226" s="141" t="s">
        <v>595</v>
      </c>
      <c r="K226" s="139">
        <v>3</v>
      </c>
      <c r="L226" s="139">
        <v>2019</v>
      </c>
      <c r="M226" s="140">
        <v>194745</v>
      </c>
      <c r="N226" s="141" t="s">
        <v>595</v>
      </c>
      <c r="O226" s="139">
        <v>3</v>
      </c>
      <c r="P226" s="139">
        <v>2021</v>
      </c>
      <c r="Q226" s="140">
        <v>112046</v>
      </c>
      <c r="R226" s="141" t="s">
        <v>595</v>
      </c>
      <c r="S226" s="139"/>
      <c r="T226" s="139"/>
      <c r="U226" s="140"/>
      <c r="V226" s="141" t="s">
        <v>595</v>
      </c>
      <c r="W226" s="139"/>
      <c r="X226" s="139"/>
      <c r="Y226" s="140"/>
    </row>
    <row r="227" spans="1:25" x14ac:dyDescent="0.25">
      <c r="A227" s="138" t="s">
        <v>389</v>
      </c>
      <c r="B227" s="138">
        <f>_xlfn.XLOOKUP(A227,'[2]FRV Output'!$B:$B,'[2]FRV Output'!$F:$F)</f>
        <v>1932107547</v>
      </c>
      <c r="C227" s="139"/>
      <c r="D227" s="139"/>
      <c r="E227" s="140"/>
      <c r="F227" s="141" t="s">
        <v>595</v>
      </c>
      <c r="G227" s="139"/>
      <c r="H227" s="139"/>
      <c r="I227" s="140"/>
      <c r="J227" s="141" t="s">
        <v>595</v>
      </c>
      <c r="K227" s="139"/>
      <c r="L227" s="139"/>
      <c r="M227" s="140"/>
      <c r="N227" s="141" t="s">
        <v>595</v>
      </c>
      <c r="O227" s="139"/>
      <c r="P227" s="139"/>
      <c r="Q227" s="140"/>
      <c r="R227" s="141" t="s">
        <v>595</v>
      </c>
      <c r="S227" s="139"/>
      <c r="T227" s="139"/>
      <c r="U227" s="140"/>
      <c r="V227" s="141" t="s">
        <v>595</v>
      </c>
      <c r="W227" s="139"/>
      <c r="X227" s="139"/>
      <c r="Y227" s="140"/>
    </row>
    <row r="228" spans="1:25" x14ac:dyDescent="0.25">
      <c r="A228" s="138" t="s">
        <v>712</v>
      </c>
      <c r="B228" s="138">
        <f>_xlfn.XLOOKUP(A228,'[2]FRV Output'!$B:$B,'[2]FRV Output'!$F:$F)</f>
        <v>1013951896</v>
      </c>
      <c r="C228" s="139">
        <v>3</v>
      </c>
      <c r="D228" s="139">
        <v>2021</v>
      </c>
      <c r="E228" s="140">
        <v>70708</v>
      </c>
      <c r="F228" s="141" t="s">
        <v>595</v>
      </c>
      <c r="G228" s="139"/>
      <c r="H228" s="139"/>
      <c r="I228" s="140"/>
      <c r="J228" s="141" t="s">
        <v>595</v>
      </c>
      <c r="K228" s="139"/>
      <c r="L228" s="139"/>
      <c r="M228" s="140"/>
      <c r="N228" s="141" t="s">
        <v>595</v>
      </c>
      <c r="O228" s="139"/>
      <c r="P228" s="139"/>
      <c r="Q228" s="140"/>
      <c r="R228" s="141" t="s">
        <v>595</v>
      </c>
      <c r="S228" s="139"/>
      <c r="T228" s="139"/>
      <c r="U228" s="140"/>
      <c r="V228" s="141" t="s">
        <v>595</v>
      </c>
      <c r="W228" s="139"/>
      <c r="X228" s="139"/>
      <c r="Y228" s="140"/>
    </row>
    <row r="229" spans="1:25" x14ac:dyDescent="0.25">
      <c r="A229" s="138" t="s">
        <v>713</v>
      </c>
      <c r="B229" s="138">
        <f>_xlfn.XLOOKUP(A229,'[2]FRV Output'!$B:$B,'[2]FRV Output'!$F:$F)</f>
        <v>1477146959</v>
      </c>
      <c r="C229" s="139">
        <v>3</v>
      </c>
      <c r="D229" s="139">
        <v>2020</v>
      </c>
      <c r="E229" s="140">
        <v>93952</v>
      </c>
      <c r="F229" s="141" t="s">
        <v>595</v>
      </c>
      <c r="G229" s="139"/>
      <c r="H229" s="139"/>
      <c r="I229" s="140"/>
      <c r="J229" s="141" t="s">
        <v>595</v>
      </c>
      <c r="K229" s="139"/>
      <c r="L229" s="139"/>
      <c r="M229" s="140"/>
      <c r="N229" s="141" t="s">
        <v>595</v>
      </c>
      <c r="O229" s="139"/>
      <c r="P229" s="139"/>
      <c r="Q229" s="140"/>
      <c r="R229" s="141" t="s">
        <v>595</v>
      </c>
      <c r="S229" s="139"/>
      <c r="T229" s="139"/>
      <c r="U229" s="140"/>
      <c r="V229" s="141" t="s">
        <v>595</v>
      </c>
      <c r="W229" s="139"/>
      <c r="X229" s="139"/>
      <c r="Y229" s="140"/>
    </row>
    <row r="230" spans="1:25" x14ac:dyDescent="0.25">
      <c r="A230" s="138" t="s">
        <v>392</v>
      </c>
      <c r="B230" s="138">
        <f>_xlfn.XLOOKUP(A230,'[2]FRV Output'!$B:$B,'[2]FRV Output'!$F:$F)</f>
        <v>1093754459</v>
      </c>
      <c r="C230" s="139">
        <v>3</v>
      </c>
      <c r="D230" s="139">
        <v>2017</v>
      </c>
      <c r="E230" s="140">
        <v>155246</v>
      </c>
      <c r="F230" s="141" t="s">
        <v>595</v>
      </c>
      <c r="G230" s="139">
        <v>3</v>
      </c>
      <c r="H230" s="139">
        <v>2021</v>
      </c>
      <c r="I230" s="140">
        <v>43449</v>
      </c>
      <c r="J230" s="141" t="s">
        <v>595</v>
      </c>
      <c r="K230" s="139"/>
      <c r="L230" s="139"/>
      <c r="M230" s="140"/>
      <c r="N230" s="141" t="s">
        <v>595</v>
      </c>
      <c r="O230" s="139"/>
      <c r="P230" s="139"/>
      <c r="Q230" s="140"/>
      <c r="R230" s="141" t="s">
        <v>595</v>
      </c>
      <c r="S230" s="139"/>
      <c r="T230" s="139"/>
      <c r="U230" s="140"/>
      <c r="V230" s="141" t="s">
        <v>595</v>
      </c>
      <c r="W230" s="139"/>
      <c r="X230" s="139"/>
      <c r="Y230" s="140"/>
    </row>
    <row r="231" spans="1:25" x14ac:dyDescent="0.25">
      <c r="A231" s="153" t="s">
        <v>393</v>
      </c>
      <c r="B231" s="138">
        <f>_xlfn.XLOOKUP(A231,'[2]FRV Output'!$B:$B,'[2]FRV Output'!$F:$F)</f>
        <v>1861521635</v>
      </c>
      <c r="C231" s="139">
        <v>3</v>
      </c>
      <c r="D231" s="139">
        <v>2016</v>
      </c>
      <c r="E231" s="140">
        <v>58696</v>
      </c>
      <c r="F231" s="141" t="s">
        <v>595</v>
      </c>
      <c r="G231" s="139">
        <v>3</v>
      </c>
      <c r="H231" s="139">
        <v>2018</v>
      </c>
      <c r="I231" s="140">
        <v>78827</v>
      </c>
      <c r="J231" s="141" t="s">
        <v>595</v>
      </c>
      <c r="K231" s="139">
        <v>3</v>
      </c>
      <c r="L231" s="139">
        <v>2020</v>
      </c>
      <c r="M231" s="140">
        <v>73203</v>
      </c>
      <c r="N231" s="141" t="s">
        <v>595</v>
      </c>
      <c r="O231" s="139"/>
      <c r="P231" s="139"/>
      <c r="Q231" s="140"/>
      <c r="R231" s="141" t="s">
        <v>595</v>
      </c>
      <c r="S231" s="139"/>
      <c r="T231" s="139"/>
      <c r="U231" s="140"/>
      <c r="V231" s="141" t="s">
        <v>595</v>
      </c>
      <c r="W231" s="139"/>
      <c r="X231" s="139"/>
      <c r="Y231" s="140"/>
    </row>
    <row r="232" spans="1:25" x14ac:dyDescent="0.25">
      <c r="A232" s="138" t="s">
        <v>394</v>
      </c>
      <c r="B232" s="138">
        <f>_xlfn.XLOOKUP(A232,'[2]FRV Output'!$B:$B,'[2]FRV Output'!$F:$F)</f>
        <v>1558391250</v>
      </c>
      <c r="C232" s="139">
        <v>3</v>
      </c>
      <c r="D232" s="139">
        <v>2021</v>
      </c>
      <c r="E232" s="140">
        <v>218151</v>
      </c>
      <c r="F232" s="141" t="s">
        <v>595</v>
      </c>
      <c r="G232" s="139"/>
      <c r="H232" s="139"/>
      <c r="I232" s="140"/>
      <c r="J232" s="141" t="s">
        <v>595</v>
      </c>
      <c r="K232" s="139"/>
      <c r="L232" s="139"/>
      <c r="M232" s="140"/>
      <c r="N232" s="141" t="s">
        <v>595</v>
      </c>
      <c r="O232" s="139"/>
      <c r="P232" s="139"/>
      <c r="Q232" s="140"/>
      <c r="R232" s="141" t="s">
        <v>595</v>
      </c>
      <c r="S232" s="139"/>
      <c r="T232" s="139"/>
      <c r="U232" s="140"/>
      <c r="V232" s="141" t="s">
        <v>595</v>
      </c>
      <c r="W232" s="139"/>
      <c r="X232" s="139"/>
      <c r="Y232" s="140"/>
    </row>
    <row r="233" spans="1:25" x14ac:dyDescent="0.25">
      <c r="A233" s="138" t="s">
        <v>714</v>
      </c>
      <c r="B233" s="138">
        <f>_xlfn.XLOOKUP(A233,'[2]FRV Output'!$B:$B,'[2]FRV Output'!$F:$F)</f>
        <v>1033611959</v>
      </c>
      <c r="C233" s="139">
        <v>2</v>
      </c>
      <c r="D233" s="139">
        <v>2018</v>
      </c>
      <c r="E233" s="140">
        <v>133</v>
      </c>
      <c r="F233" s="141" t="s">
        <v>595</v>
      </c>
      <c r="G233" s="139">
        <v>3</v>
      </c>
      <c r="H233" s="139">
        <v>2021</v>
      </c>
      <c r="I233" s="140">
        <v>67373</v>
      </c>
      <c r="J233" s="141" t="s">
        <v>595</v>
      </c>
      <c r="K233" s="139"/>
      <c r="L233" s="139"/>
      <c r="M233" s="140"/>
      <c r="N233" s="141" t="s">
        <v>595</v>
      </c>
      <c r="O233" s="139"/>
      <c r="P233" s="139"/>
      <c r="Q233" s="140"/>
      <c r="R233" s="141" t="s">
        <v>595</v>
      </c>
      <c r="S233" s="139"/>
      <c r="T233" s="139"/>
      <c r="U233" s="140"/>
      <c r="V233" s="141" t="s">
        <v>595</v>
      </c>
      <c r="W233" s="139"/>
      <c r="X233" s="139"/>
      <c r="Y233" s="140"/>
    </row>
    <row r="234" spans="1:25" x14ac:dyDescent="0.25">
      <c r="A234" s="142" t="s">
        <v>715</v>
      </c>
      <c r="B234" s="138">
        <f>_xlfn.XLOOKUP(A234,'[2]FRV Output'!$B:$B,'[2]FRV Output'!$F:$F)</f>
        <v>1962832899</v>
      </c>
      <c r="C234" s="139">
        <v>3</v>
      </c>
      <c r="D234" s="139">
        <v>2019</v>
      </c>
      <c r="E234" s="140">
        <v>85094</v>
      </c>
      <c r="F234" s="141"/>
      <c r="G234" s="139">
        <v>3</v>
      </c>
      <c r="H234" s="139">
        <v>2020</v>
      </c>
      <c r="I234" s="140">
        <v>104460</v>
      </c>
      <c r="J234" s="141"/>
      <c r="K234" s="139">
        <v>1</v>
      </c>
      <c r="L234" s="139">
        <v>2021</v>
      </c>
      <c r="M234" s="140">
        <v>-12</v>
      </c>
      <c r="N234" s="141"/>
      <c r="O234" s="139"/>
      <c r="P234" s="139"/>
      <c r="Q234" s="140"/>
      <c r="R234" s="141"/>
      <c r="S234" s="139"/>
      <c r="T234" s="139"/>
      <c r="U234" s="140"/>
      <c r="V234" s="141"/>
      <c r="W234" s="139"/>
      <c r="X234" s="139"/>
      <c r="Y234" s="140"/>
    </row>
    <row r="235" spans="1:25" x14ac:dyDescent="0.25">
      <c r="A235" s="138" t="s">
        <v>397</v>
      </c>
      <c r="B235" s="138">
        <f>_xlfn.XLOOKUP(A235,'[2]FRV Output'!$B:$B,'[2]FRV Output'!$F:$F)</f>
        <v>1336612530</v>
      </c>
      <c r="C235" s="139">
        <v>3</v>
      </c>
      <c r="D235" s="139">
        <v>2016</v>
      </c>
      <c r="E235" s="140">
        <v>185332</v>
      </c>
      <c r="F235" s="141" t="s">
        <v>595</v>
      </c>
      <c r="G235" s="139">
        <v>3</v>
      </c>
      <c r="H235" s="139">
        <v>2017</v>
      </c>
      <c r="I235" s="140">
        <v>65641</v>
      </c>
      <c r="J235" s="141" t="s">
        <v>595</v>
      </c>
      <c r="K235" s="139"/>
      <c r="L235" s="139"/>
      <c r="M235" s="140"/>
      <c r="N235" s="141" t="s">
        <v>595</v>
      </c>
      <c r="O235" s="139"/>
      <c r="P235" s="139"/>
      <c r="Q235" s="140"/>
      <c r="R235" s="141" t="s">
        <v>595</v>
      </c>
      <c r="S235" s="139"/>
      <c r="T235" s="139"/>
      <c r="U235" s="140"/>
      <c r="V235" s="141" t="s">
        <v>595</v>
      </c>
      <c r="W235" s="139"/>
      <c r="X235" s="139"/>
      <c r="Y235" s="140"/>
    </row>
    <row r="236" spans="1:25" x14ac:dyDescent="0.25">
      <c r="A236" s="138" t="s">
        <v>398</v>
      </c>
      <c r="B236" s="138">
        <f>_xlfn.XLOOKUP(A236,'[2]FRV Output'!$B:$B,'[2]FRV Output'!$F:$F)</f>
        <v>1427248905</v>
      </c>
      <c r="C236" s="139"/>
      <c r="D236" s="139"/>
      <c r="E236" s="140"/>
      <c r="F236" s="141" t="s">
        <v>595</v>
      </c>
      <c r="G236" s="139"/>
      <c r="H236" s="139"/>
      <c r="I236" s="140"/>
      <c r="J236" s="141" t="s">
        <v>595</v>
      </c>
      <c r="K236" s="139"/>
      <c r="L236" s="139"/>
      <c r="M236" s="140"/>
      <c r="N236" s="141" t="s">
        <v>595</v>
      </c>
      <c r="O236" s="139"/>
      <c r="P236" s="139"/>
      <c r="Q236" s="140"/>
      <c r="R236" s="141" t="s">
        <v>595</v>
      </c>
      <c r="S236" s="139"/>
      <c r="T236" s="139"/>
      <c r="U236" s="140"/>
      <c r="V236" s="141" t="s">
        <v>595</v>
      </c>
      <c r="W236" s="139"/>
      <c r="X236" s="139"/>
      <c r="Y236" s="140"/>
    </row>
    <row r="237" spans="1:25" x14ac:dyDescent="0.25">
      <c r="A237" s="138" t="s">
        <v>399</v>
      </c>
      <c r="B237" s="138">
        <f>_xlfn.XLOOKUP(A237,'[2]FRV Output'!$B:$B,'[2]FRV Output'!$F:$F)</f>
        <v>1609976901</v>
      </c>
      <c r="C237" s="139">
        <v>1</v>
      </c>
      <c r="D237" s="139">
        <v>2019</v>
      </c>
      <c r="E237" s="140">
        <v>16</v>
      </c>
      <c r="F237" s="141" t="s">
        <v>678</v>
      </c>
      <c r="G237" s="139">
        <v>1</v>
      </c>
      <c r="H237" s="139">
        <v>2021</v>
      </c>
      <c r="I237" s="140">
        <v>16</v>
      </c>
      <c r="J237" s="141" t="s">
        <v>678</v>
      </c>
      <c r="K237" s="139"/>
      <c r="L237" s="139"/>
      <c r="M237" s="140"/>
      <c r="N237" s="141" t="s">
        <v>595</v>
      </c>
      <c r="O237" s="139"/>
      <c r="P237" s="139"/>
      <c r="Q237" s="140"/>
      <c r="R237" s="141" t="s">
        <v>595</v>
      </c>
      <c r="S237" s="139"/>
      <c r="T237" s="139"/>
      <c r="U237" s="140"/>
      <c r="V237" s="141" t="s">
        <v>595</v>
      </c>
      <c r="W237" s="139"/>
      <c r="X237" s="139"/>
      <c r="Y237" s="140"/>
    </row>
    <row r="238" spans="1:25" x14ac:dyDescent="0.25">
      <c r="A238" s="138" t="s">
        <v>400</v>
      </c>
      <c r="B238" s="138">
        <f>_xlfn.XLOOKUP(A238,'[2]FRV Output'!$B:$B,'[2]FRV Output'!$F:$F)</f>
        <v>1235239567</v>
      </c>
      <c r="C238" s="139">
        <v>1</v>
      </c>
      <c r="D238" s="139">
        <v>2019</v>
      </c>
      <c r="E238" s="140">
        <v>-16</v>
      </c>
      <c r="F238" s="141" t="s">
        <v>700</v>
      </c>
      <c r="G238" s="139"/>
      <c r="H238" s="139"/>
      <c r="I238" s="140"/>
      <c r="J238" s="141" t="s">
        <v>595</v>
      </c>
      <c r="K238" s="139"/>
      <c r="L238" s="139"/>
      <c r="M238" s="140"/>
      <c r="N238" s="141" t="s">
        <v>595</v>
      </c>
      <c r="O238" s="139"/>
      <c r="P238" s="139"/>
      <c r="Q238" s="140"/>
      <c r="R238" s="141" t="s">
        <v>595</v>
      </c>
      <c r="S238" s="139"/>
      <c r="T238" s="139"/>
      <c r="U238" s="140"/>
      <c r="V238" s="141" t="s">
        <v>595</v>
      </c>
      <c r="W238" s="139"/>
      <c r="X238" s="139"/>
      <c r="Y238" s="140"/>
    </row>
    <row r="239" spans="1:25" x14ac:dyDescent="0.25">
      <c r="A239" s="138" t="s">
        <v>401</v>
      </c>
      <c r="B239" s="138">
        <f>_xlfn.XLOOKUP(A239,'[2]FRV Output'!$B:$B,'[2]FRV Output'!$F:$F)</f>
        <v>1841390002</v>
      </c>
      <c r="C239" s="139"/>
      <c r="D239" s="139"/>
      <c r="E239" s="140"/>
      <c r="F239" s="141" t="s">
        <v>595</v>
      </c>
      <c r="G239" s="139"/>
      <c r="H239" s="139"/>
      <c r="I239" s="140"/>
      <c r="J239" s="141" t="s">
        <v>595</v>
      </c>
      <c r="K239" s="139"/>
      <c r="L239" s="139"/>
      <c r="M239" s="140"/>
      <c r="N239" s="141" t="s">
        <v>595</v>
      </c>
      <c r="O239" s="139"/>
      <c r="P239" s="139"/>
      <c r="Q239" s="140"/>
      <c r="R239" s="141" t="s">
        <v>595</v>
      </c>
      <c r="S239" s="139"/>
      <c r="T239" s="139"/>
      <c r="U239" s="140"/>
      <c r="V239" s="141" t="s">
        <v>595</v>
      </c>
      <c r="W239" s="139"/>
      <c r="X239" s="139"/>
      <c r="Y239" s="140"/>
    </row>
    <row r="240" spans="1:25" x14ac:dyDescent="0.25">
      <c r="A240" s="138" t="s">
        <v>402</v>
      </c>
      <c r="B240" s="138">
        <f>_xlfn.XLOOKUP(A240,'[2]FRV Output'!$B:$B,'[2]FRV Output'!$F:$F)</f>
        <v>1194825448</v>
      </c>
      <c r="C240" s="139"/>
      <c r="D240" s="139"/>
      <c r="E240" s="140"/>
      <c r="F240" s="141" t="s">
        <v>595</v>
      </c>
      <c r="G240" s="139"/>
      <c r="H240" s="139"/>
      <c r="I240" s="140"/>
      <c r="J240" s="141" t="s">
        <v>595</v>
      </c>
      <c r="K240" s="139"/>
      <c r="L240" s="139"/>
      <c r="M240" s="140"/>
      <c r="N240" s="141" t="s">
        <v>595</v>
      </c>
      <c r="O240" s="139"/>
      <c r="P240" s="139"/>
      <c r="Q240" s="140"/>
      <c r="R240" s="141" t="s">
        <v>595</v>
      </c>
      <c r="S240" s="139"/>
      <c r="T240" s="139"/>
      <c r="U240" s="140"/>
      <c r="V240" s="141" t="s">
        <v>595</v>
      </c>
      <c r="W240" s="139"/>
      <c r="X240" s="139"/>
      <c r="Y240" s="140"/>
    </row>
    <row r="241" spans="1:25" x14ac:dyDescent="0.25">
      <c r="A241" s="138" t="s">
        <v>403</v>
      </c>
      <c r="B241" s="138">
        <f>_xlfn.XLOOKUP(A241,'[2]FRV Output'!$B:$B,'[2]FRV Output'!$F:$F)</f>
        <v>1275823155</v>
      </c>
      <c r="C241" s="139">
        <v>2</v>
      </c>
      <c r="D241" s="139">
        <v>2016</v>
      </c>
      <c r="E241" s="140">
        <v>120</v>
      </c>
      <c r="F241" s="141" t="s">
        <v>595</v>
      </c>
      <c r="G241" s="139"/>
      <c r="H241" s="139"/>
      <c r="I241" s="140"/>
      <c r="J241" s="141" t="s">
        <v>595</v>
      </c>
      <c r="K241" s="139"/>
      <c r="L241" s="139"/>
      <c r="M241" s="140"/>
      <c r="N241" s="141" t="s">
        <v>595</v>
      </c>
      <c r="O241" s="139"/>
      <c r="P241" s="139"/>
      <c r="Q241" s="140"/>
      <c r="R241" s="141" t="s">
        <v>595</v>
      </c>
      <c r="S241" s="139"/>
      <c r="T241" s="139"/>
      <c r="U241" s="140"/>
      <c r="V241" s="141" t="s">
        <v>595</v>
      </c>
      <c r="W241" s="139"/>
      <c r="X241" s="139"/>
      <c r="Y241" s="140"/>
    </row>
    <row r="242" spans="1:25" x14ac:dyDescent="0.25">
      <c r="A242" s="138" t="s">
        <v>404</v>
      </c>
      <c r="B242" s="138">
        <f>_xlfn.XLOOKUP(A242,'[2]FRV Output'!$B:$B,'[2]FRV Output'!$F:$F)</f>
        <v>1265816185</v>
      </c>
      <c r="C242" s="139">
        <v>3</v>
      </c>
      <c r="D242" s="139">
        <v>2016</v>
      </c>
      <c r="E242" s="140">
        <v>1348829</v>
      </c>
      <c r="F242" s="141" t="s">
        <v>595</v>
      </c>
      <c r="G242" s="139"/>
      <c r="H242" s="139"/>
      <c r="I242" s="140"/>
      <c r="J242" s="141" t="s">
        <v>595</v>
      </c>
      <c r="K242" s="139"/>
      <c r="L242" s="139"/>
      <c r="M242" s="140"/>
      <c r="N242" s="141" t="s">
        <v>595</v>
      </c>
      <c r="O242" s="139"/>
      <c r="P242" s="139"/>
      <c r="Q242" s="140"/>
      <c r="R242" s="141" t="s">
        <v>595</v>
      </c>
      <c r="S242" s="139"/>
      <c r="T242" s="139"/>
      <c r="U242" s="140"/>
      <c r="V242" s="141" t="s">
        <v>595</v>
      </c>
      <c r="W242" s="139"/>
      <c r="X242" s="139"/>
      <c r="Y242" s="140"/>
    </row>
    <row r="243" spans="1:25" x14ac:dyDescent="0.25">
      <c r="A243" s="142" t="s">
        <v>405</v>
      </c>
      <c r="B243" s="138">
        <f>_xlfn.XLOOKUP(A243,'[2]FRV Output'!$B:$B,'[2]FRV Output'!$F:$F)</f>
        <v>1326519844</v>
      </c>
      <c r="C243" s="139">
        <v>3</v>
      </c>
      <c r="D243" s="139">
        <v>2016</v>
      </c>
      <c r="E243" s="140">
        <v>79821</v>
      </c>
      <c r="F243" s="141" t="s">
        <v>595</v>
      </c>
      <c r="G243" s="139">
        <v>3</v>
      </c>
      <c r="H243" s="139">
        <v>2017</v>
      </c>
      <c r="I243" s="140">
        <v>67880.56</v>
      </c>
      <c r="J243" s="141" t="s">
        <v>595</v>
      </c>
      <c r="K243" s="139"/>
      <c r="L243" s="139"/>
      <c r="M243" s="140"/>
      <c r="N243" s="141" t="s">
        <v>595</v>
      </c>
      <c r="O243" s="139"/>
      <c r="P243" s="139"/>
      <c r="Q243" s="140"/>
      <c r="R243" s="141" t="s">
        <v>595</v>
      </c>
      <c r="S243" s="139"/>
      <c r="T243" s="139"/>
      <c r="U243" s="140"/>
      <c r="V243" s="141" t="s">
        <v>595</v>
      </c>
      <c r="W243" s="139"/>
      <c r="X243" s="139"/>
      <c r="Y243" s="140"/>
    </row>
    <row r="244" spans="1:25" x14ac:dyDescent="0.25">
      <c r="A244" s="142" t="s">
        <v>406</v>
      </c>
      <c r="B244" s="138">
        <f>_xlfn.XLOOKUP(A244,'[2]FRV Output'!$B:$B,'[2]FRV Output'!$F:$F)</f>
        <v>1396202024</v>
      </c>
      <c r="C244" s="139">
        <v>3</v>
      </c>
      <c r="D244" s="139">
        <v>2016</v>
      </c>
      <c r="E244" s="140">
        <v>73018</v>
      </c>
      <c r="F244" s="141" t="s">
        <v>595</v>
      </c>
      <c r="G244" s="139">
        <v>3</v>
      </c>
      <c r="H244" s="139">
        <v>2017</v>
      </c>
      <c r="I244" s="140">
        <v>62475</v>
      </c>
      <c r="J244" s="141" t="s">
        <v>595</v>
      </c>
      <c r="K244" s="139">
        <v>3</v>
      </c>
      <c r="L244" s="139">
        <v>2019</v>
      </c>
      <c r="M244" s="140">
        <v>144623</v>
      </c>
      <c r="N244" s="141" t="s">
        <v>595</v>
      </c>
      <c r="O244" s="139">
        <v>3</v>
      </c>
      <c r="P244" s="139">
        <v>2020</v>
      </c>
      <c r="Q244" s="140">
        <v>90133</v>
      </c>
      <c r="R244" s="141" t="s">
        <v>595</v>
      </c>
      <c r="S244" s="139">
        <v>3</v>
      </c>
      <c r="T244" s="139">
        <v>2021</v>
      </c>
      <c r="U244" s="140">
        <v>131527</v>
      </c>
      <c r="V244" s="141" t="s">
        <v>595</v>
      </c>
      <c r="W244" s="139"/>
      <c r="X244" s="139"/>
      <c r="Y244" s="140"/>
    </row>
    <row r="245" spans="1:25" x14ac:dyDescent="0.25">
      <c r="A245" s="142" t="s">
        <v>407</v>
      </c>
      <c r="B245" s="138">
        <f>_xlfn.XLOOKUP(A245,'[2]FRV Output'!$B:$B,'[2]FRV Output'!$F:$F)</f>
        <v>1114480233</v>
      </c>
      <c r="C245" s="139">
        <v>3</v>
      </c>
      <c r="D245" s="139">
        <v>2018</v>
      </c>
      <c r="E245" s="140">
        <v>703158</v>
      </c>
      <c r="F245" s="141" t="s">
        <v>595</v>
      </c>
      <c r="G245" s="139">
        <v>3</v>
      </c>
      <c r="H245" s="139">
        <v>2019</v>
      </c>
      <c r="I245" s="140">
        <v>119892</v>
      </c>
      <c r="J245" s="141" t="s">
        <v>595</v>
      </c>
      <c r="K245" s="139">
        <v>3</v>
      </c>
      <c r="L245" s="139">
        <v>2020</v>
      </c>
      <c r="M245" s="140">
        <v>293091</v>
      </c>
      <c r="N245" s="141" t="s">
        <v>595</v>
      </c>
      <c r="O245" s="139">
        <v>3</v>
      </c>
      <c r="P245" s="139">
        <v>2021</v>
      </c>
      <c r="Q245" s="140">
        <v>88021</v>
      </c>
      <c r="R245" s="141" t="s">
        <v>595</v>
      </c>
      <c r="S245" s="139"/>
      <c r="T245" s="139"/>
      <c r="U245" s="140"/>
      <c r="V245" s="141" t="s">
        <v>595</v>
      </c>
      <c r="W245" s="139"/>
      <c r="X245" s="139"/>
      <c r="Y245" s="140"/>
    </row>
    <row r="246" spans="1:25" x14ac:dyDescent="0.25">
      <c r="A246" s="142" t="s">
        <v>408</v>
      </c>
      <c r="B246" s="138">
        <f>_xlfn.XLOOKUP(A246,'[2]FRV Output'!$B:$B,'[2]FRV Output'!$F:$F)</f>
        <v>1902462401</v>
      </c>
      <c r="C246" s="139">
        <v>3</v>
      </c>
      <c r="D246" s="139">
        <v>2016</v>
      </c>
      <c r="E246" s="140">
        <v>122609</v>
      </c>
      <c r="F246" s="141" t="s">
        <v>595</v>
      </c>
      <c r="G246" s="139">
        <v>3</v>
      </c>
      <c r="H246" s="139">
        <v>2019</v>
      </c>
      <c r="I246" s="140">
        <v>124263</v>
      </c>
      <c r="J246" s="141" t="s">
        <v>595</v>
      </c>
      <c r="K246" s="139">
        <v>3</v>
      </c>
      <c r="L246" s="139">
        <v>2020</v>
      </c>
      <c r="M246" s="140">
        <v>221616</v>
      </c>
      <c r="N246" s="141" t="s">
        <v>595</v>
      </c>
      <c r="O246" s="139">
        <v>3</v>
      </c>
      <c r="P246" s="139">
        <v>2021</v>
      </c>
      <c r="Q246" s="140">
        <v>43367</v>
      </c>
      <c r="R246" s="141" t="s">
        <v>595</v>
      </c>
      <c r="S246" s="139"/>
      <c r="T246" s="139"/>
      <c r="U246" s="140"/>
      <c r="V246" s="141" t="s">
        <v>595</v>
      </c>
      <c r="W246" s="139"/>
      <c r="X246" s="139"/>
      <c r="Y246" s="140"/>
    </row>
    <row r="247" spans="1:25" x14ac:dyDescent="0.25">
      <c r="A247" s="138" t="s">
        <v>409</v>
      </c>
      <c r="B247" s="138">
        <f>_xlfn.XLOOKUP(A247,'[2]FRV Output'!$B:$B,'[2]FRV Output'!$F:$F)</f>
        <v>1962052498</v>
      </c>
      <c r="C247" s="139">
        <v>3</v>
      </c>
      <c r="D247" s="139">
        <v>2020</v>
      </c>
      <c r="E247" s="140">
        <v>133236</v>
      </c>
      <c r="F247" s="141" t="s">
        <v>595</v>
      </c>
      <c r="G247" s="139">
        <v>3</v>
      </c>
      <c r="H247" s="139">
        <v>2021</v>
      </c>
      <c r="I247" s="140">
        <v>96241</v>
      </c>
      <c r="J247" s="141" t="s">
        <v>595</v>
      </c>
      <c r="K247" s="139"/>
      <c r="L247" s="139"/>
      <c r="M247" s="140"/>
      <c r="N247" s="141" t="s">
        <v>595</v>
      </c>
      <c r="O247" s="139"/>
      <c r="P247" s="139"/>
      <c r="Q247" s="140"/>
      <c r="R247" s="141" t="s">
        <v>595</v>
      </c>
      <c r="S247" s="139"/>
      <c r="T247" s="139"/>
      <c r="U247" s="140"/>
      <c r="V247" s="141" t="s">
        <v>595</v>
      </c>
      <c r="W247" s="139"/>
      <c r="X247" s="139"/>
      <c r="Y247" s="140"/>
    </row>
    <row r="248" spans="1:25" x14ac:dyDescent="0.25">
      <c r="A248" s="138" t="s">
        <v>410</v>
      </c>
      <c r="B248" s="138">
        <f>_xlfn.XLOOKUP(A248,'[2]FRV Output'!$B:$B,'[2]FRV Output'!$F:$F)</f>
        <v>1225688757</v>
      </c>
      <c r="C248" s="139">
        <v>3</v>
      </c>
      <c r="D248" s="139">
        <v>2020</v>
      </c>
      <c r="E248" s="140">
        <v>253965</v>
      </c>
      <c r="F248" s="141" t="s">
        <v>595</v>
      </c>
      <c r="G248" s="139">
        <v>3</v>
      </c>
      <c r="H248" s="139">
        <v>2021</v>
      </c>
      <c r="I248" s="140">
        <v>264087</v>
      </c>
      <c r="J248" s="141" t="s">
        <v>595</v>
      </c>
      <c r="K248" s="139"/>
      <c r="L248" s="139"/>
      <c r="M248" s="140"/>
      <c r="N248" s="141" t="s">
        <v>595</v>
      </c>
      <c r="O248" s="139"/>
      <c r="P248" s="139"/>
      <c r="Q248" s="140"/>
      <c r="R248" s="141" t="s">
        <v>595</v>
      </c>
      <c r="S248" s="139"/>
      <c r="T248" s="139"/>
      <c r="U248" s="140"/>
      <c r="V248" s="141" t="s">
        <v>595</v>
      </c>
      <c r="W248" s="139"/>
      <c r="X248" s="139"/>
      <c r="Y248" s="140"/>
    </row>
    <row r="249" spans="1:25" x14ac:dyDescent="0.25">
      <c r="A249" s="138" t="s">
        <v>411</v>
      </c>
      <c r="B249" s="138">
        <f>_xlfn.XLOOKUP(A249,'[2]FRV Output'!$B:$B,'[2]FRV Output'!$F:$F)</f>
        <v>1851941389</v>
      </c>
      <c r="C249" s="139">
        <v>3</v>
      </c>
      <c r="D249" s="139">
        <v>2019</v>
      </c>
      <c r="E249" s="140">
        <v>89398</v>
      </c>
      <c r="F249" s="141" t="s">
        <v>595</v>
      </c>
      <c r="G249" s="139">
        <v>3</v>
      </c>
      <c r="H249" s="139">
        <v>2020</v>
      </c>
      <c r="I249" s="140">
        <v>189127</v>
      </c>
      <c r="J249" s="141" t="s">
        <v>595</v>
      </c>
      <c r="K249" s="139">
        <v>3</v>
      </c>
      <c r="L249" s="139">
        <v>2021</v>
      </c>
      <c r="M249" s="140">
        <v>160064</v>
      </c>
      <c r="N249" s="141" t="s">
        <v>595</v>
      </c>
      <c r="O249" s="139"/>
      <c r="P249" s="139"/>
      <c r="Q249" s="140"/>
      <c r="R249" s="141" t="s">
        <v>595</v>
      </c>
      <c r="S249" s="139"/>
      <c r="T249" s="139"/>
      <c r="U249" s="140"/>
      <c r="V249" s="141" t="s">
        <v>595</v>
      </c>
      <c r="W249" s="139"/>
      <c r="X249" s="139"/>
      <c r="Y249" s="140"/>
    </row>
    <row r="250" spans="1:25" x14ac:dyDescent="0.25">
      <c r="A250" s="138" t="s">
        <v>716</v>
      </c>
      <c r="B250" s="138">
        <f>_xlfn.XLOOKUP(A250,'[2]FRV Output'!$B:$B,'[2]FRV Output'!$F:$F)</f>
        <v>1194779504</v>
      </c>
      <c r="C250" s="139">
        <v>3</v>
      </c>
      <c r="D250" s="139">
        <v>2020</v>
      </c>
      <c r="E250" s="140">
        <v>168750</v>
      </c>
      <c r="F250" s="141" t="s">
        <v>595</v>
      </c>
      <c r="G250" s="139">
        <v>3</v>
      </c>
      <c r="H250" s="139">
        <v>2021</v>
      </c>
      <c r="I250" s="140">
        <v>190364</v>
      </c>
      <c r="J250" s="141" t="s">
        <v>595</v>
      </c>
      <c r="K250" s="139"/>
      <c r="L250" s="139"/>
      <c r="M250" s="140"/>
      <c r="N250" s="141" t="s">
        <v>595</v>
      </c>
      <c r="O250" s="139"/>
      <c r="P250" s="139"/>
      <c r="Q250" s="140"/>
      <c r="R250" s="141" t="s">
        <v>595</v>
      </c>
      <c r="S250" s="139"/>
      <c r="T250" s="139"/>
      <c r="U250" s="140"/>
      <c r="V250" s="141" t="s">
        <v>595</v>
      </c>
      <c r="W250" s="139"/>
      <c r="X250" s="139"/>
      <c r="Y250" s="140"/>
    </row>
    <row r="251" spans="1:25" x14ac:dyDescent="0.25">
      <c r="A251" s="138" t="s">
        <v>413</v>
      </c>
      <c r="B251" s="138">
        <f>_xlfn.XLOOKUP(A251,'[2]FRV Output'!$B:$B,'[2]FRV Output'!$F:$F)</f>
        <v>1538137468</v>
      </c>
      <c r="C251" s="139"/>
      <c r="D251" s="139"/>
      <c r="E251" s="140"/>
      <c r="F251" s="141" t="s">
        <v>595</v>
      </c>
      <c r="G251" s="139"/>
      <c r="H251" s="139"/>
      <c r="I251" s="140"/>
      <c r="J251" s="141" t="s">
        <v>595</v>
      </c>
      <c r="K251" s="139"/>
      <c r="L251" s="139"/>
      <c r="M251" s="140"/>
      <c r="N251" s="141" t="s">
        <v>595</v>
      </c>
      <c r="O251" s="139"/>
      <c r="P251" s="139"/>
      <c r="Q251" s="140"/>
      <c r="R251" s="141" t="s">
        <v>595</v>
      </c>
      <c r="S251" s="139"/>
      <c r="T251" s="139"/>
      <c r="U251" s="140"/>
      <c r="V251" s="141" t="s">
        <v>595</v>
      </c>
      <c r="W251" s="139"/>
      <c r="X251" s="139"/>
      <c r="Y251" s="140"/>
    </row>
    <row r="252" spans="1:25" x14ac:dyDescent="0.25">
      <c r="A252" s="142" t="s">
        <v>414</v>
      </c>
      <c r="B252" s="138">
        <f>_xlfn.XLOOKUP(A252,'[2]FRV Output'!$B:$B,'[2]FRV Output'!$F:$F)</f>
        <v>1780693663</v>
      </c>
      <c r="C252" s="139">
        <v>3</v>
      </c>
      <c r="D252" s="139">
        <v>2016</v>
      </c>
      <c r="E252" s="140">
        <v>223969</v>
      </c>
      <c r="F252" s="141" t="s">
        <v>595</v>
      </c>
      <c r="G252" s="139">
        <v>3</v>
      </c>
      <c r="H252" s="139">
        <v>2017</v>
      </c>
      <c r="I252" s="140">
        <v>56608</v>
      </c>
      <c r="J252" s="141" t="s">
        <v>595</v>
      </c>
      <c r="K252" s="139">
        <v>3</v>
      </c>
      <c r="L252" s="139">
        <v>2018</v>
      </c>
      <c r="M252" s="140">
        <v>62907</v>
      </c>
      <c r="N252" s="141" t="s">
        <v>595</v>
      </c>
      <c r="O252" s="139">
        <v>3</v>
      </c>
      <c r="P252" s="139">
        <v>2019</v>
      </c>
      <c r="Q252" s="140">
        <v>367036</v>
      </c>
      <c r="R252" s="141" t="s">
        <v>595</v>
      </c>
      <c r="S252" s="139">
        <v>3</v>
      </c>
      <c r="T252" s="139">
        <v>2020</v>
      </c>
      <c r="U252" s="140">
        <v>41320</v>
      </c>
      <c r="V252" s="141" t="s">
        <v>595</v>
      </c>
      <c r="W252" s="139">
        <v>3</v>
      </c>
      <c r="X252" s="139">
        <v>2021</v>
      </c>
      <c r="Y252" s="140">
        <v>66440</v>
      </c>
    </row>
    <row r="253" spans="1:25" x14ac:dyDescent="0.25">
      <c r="A253" s="142" t="s">
        <v>415</v>
      </c>
      <c r="B253" s="138">
        <f>_xlfn.XLOOKUP(A253,'[2]FRV Output'!$B:$B,'[2]FRV Output'!$F:$F)</f>
        <v>1407966864</v>
      </c>
      <c r="C253" s="139"/>
      <c r="D253" s="139"/>
      <c r="E253" s="140"/>
      <c r="F253" s="141" t="s">
        <v>595</v>
      </c>
      <c r="G253" s="139"/>
      <c r="H253" s="139"/>
      <c r="I253" s="140"/>
      <c r="J253" s="141" t="s">
        <v>595</v>
      </c>
      <c r="K253" s="139"/>
      <c r="L253" s="139"/>
      <c r="M253" s="140"/>
      <c r="N253" s="141" t="s">
        <v>595</v>
      </c>
      <c r="O253" s="139"/>
      <c r="P253" s="139"/>
      <c r="Q253" s="140"/>
      <c r="R253" s="141" t="s">
        <v>595</v>
      </c>
      <c r="S253" s="139"/>
      <c r="T253" s="139"/>
      <c r="U253" s="140"/>
      <c r="V253" s="141" t="s">
        <v>595</v>
      </c>
      <c r="W253" s="139"/>
      <c r="X253" s="139"/>
      <c r="Y253" s="140"/>
    </row>
    <row r="254" spans="1:25" x14ac:dyDescent="0.25">
      <c r="A254" s="152" t="s">
        <v>416</v>
      </c>
      <c r="B254" s="138">
        <f>_xlfn.XLOOKUP(A254,'[2]FRV Output'!$B:$B,'[2]FRV Output'!$F:$F)</f>
        <v>1942583752</v>
      </c>
      <c r="C254" s="139">
        <v>3</v>
      </c>
      <c r="D254" s="139">
        <v>2017</v>
      </c>
      <c r="E254" s="140">
        <v>3222922</v>
      </c>
      <c r="F254" s="141" t="s">
        <v>595</v>
      </c>
      <c r="G254" s="139"/>
      <c r="H254" s="139"/>
      <c r="I254" s="140"/>
      <c r="J254" s="141" t="s">
        <v>595</v>
      </c>
      <c r="K254" s="139"/>
      <c r="L254" s="139"/>
      <c r="M254" s="140"/>
      <c r="N254" s="141" t="s">
        <v>595</v>
      </c>
      <c r="O254" s="139"/>
      <c r="P254" s="139"/>
      <c r="Q254" s="140"/>
      <c r="R254" s="141" t="s">
        <v>595</v>
      </c>
      <c r="S254" s="139"/>
      <c r="T254" s="139"/>
      <c r="U254" s="140"/>
      <c r="V254" s="141" t="s">
        <v>595</v>
      </c>
      <c r="W254" s="139"/>
      <c r="X254" s="139"/>
      <c r="Y254" s="140"/>
    </row>
    <row r="255" spans="1:25" x14ac:dyDescent="0.25">
      <c r="A255" s="142" t="s">
        <v>417</v>
      </c>
      <c r="B255" s="138">
        <f>_xlfn.XLOOKUP(A255,'[2]FRV Output'!$B:$B,'[2]FRV Output'!$F:$F)</f>
        <v>1144646274</v>
      </c>
      <c r="C255" s="139">
        <v>3</v>
      </c>
      <c r="D255" s="139">
        <v>2019</v>
      </c>
      <c r="E255" s="140">
        <v>95197</v>
      </c>
      <c r="F255" s="141" t="s">
        <v>595</v>
      </c>
      <c r="G255" s="139">
        <v>3</v>
      </c>
      <c r="H255" s="139">
        <v>2021</v>
      </c>
      <c r="I255" s="140">
        <v>130038</v>
      </c>
      <c r="J255" s="141" t="s">
        <v>595</v>
      </c>
      <c r="K255" s="139"/>
      <c r="L255" s="139"/>
      <c r="M255" s="140"/>
      <c r="N255" s="141" t="s">
        <v>595</v>
      </c>
      <c r="O255" s="139"/>
      <c r="P255" s="139"/>
      <c r="Q255" s="140"/>
      <c r="R255" s="141" t="s">
        <v>595</v>
      </c>
      <c r="S255" s="139"/>
      <c r="T255" s="139"/>
      <c r="U255" s="140"/>
      <c r="V255" s="141" t="s">
        <v>595</v>
      </c>
      <c r="W255" s="139"/>
      <c r="X255" s="139"/>
      <c r="Y255" s="140"/>
    </row>
    <row r="256" spans="1:25" x14ac:dyDescent="0.25">
      <c r="A256" s="142" t="s">
        <v>418</v>
      </c>
      <c r="B256" s="138">
        <f>_xlfn.XLOOKUP(A256,'[2]FRV Output'!$B:$B,'[2]FRV Output'!$F:$F)</f>
        <v>1124015458</v>
      </c>
      <c r="C256" s="139">
        <v>3</v>
      </c>
      <c r="D256" s="139">
        <v>2018</v>
      </c>
      <c r="E256" s="140">
        <v>227186</v>
      </c>
      <c r="F256" s="141" t="s">
        <v>595</v>
      </c>
      <c r="G256" s="139">
        <v>3</v>
      </c>
      <c r="H256" s="139">
        <v>2019</v>
      </c>
      <c r="I256" s="140">
        <v>140756</v>
      </c>
      <c r="J256" s="141" t="s">
        <v>595</v>
      </c>
      <c r="K256" s="139">
        <v>3</v>
      </c>
      <c r="L256" s="139">
        <v>2021</v>
      </c>
      <c r="M256" s="140">
        <v>223563</v>
      </c>
      <c r="N256" s="141" t="s">
        <v>595</v>
      </c>
      <c r="O256" s="139"/>
      <c r="P256" s="139"/>
      <c r="Q256" s="140"/>
      <c r="R256" s="141" t="s">
        <v>595</v>
      </c>
      <c r="S256" s="139"/>
      <c r="T256" s="139"/>
      <c r="U256" s="140"/>
      <c r="V256" s="141" t="s">
        <v>595</v>
      </c>
      <c r="W256" s="139"/>
      <c r="X256" s="139"/>
      <c r="Y256" s="140"/>
    </row>
    <row r="257" spans="1:25" x14ac:dyDescent="0.25">
      <c r="A257" s="138" t="s">
        <v>717</v>
      </c>
      <c r="B257" s="138">
        <f>_xlfn.XLOOKUP(A257,'[2]FRV Output'!$B:$B,'[2]FRV Output'!$F:$F)</f>
        <v>1982640785</v>
      </c>
      <c r="C257" s="139">
        <v>3</v>
      </c>
      <c r="D257" s="139">
        <v>2017</v>
      </c>
      <c r="E257" s="140">
        <v>129229</v>
      </c>
      <c r="F257" s="141" t="s">
        <v>595</v>
      </c>
      <c r="G257" s="139">
        <v>3</v>
      </c>
      <c r="H257" s="139">
        <v>2021</v>
      </c>
      <c r="I257" s="140">
        <v>384169</v>
      </c>
      <c r="J257" s="141" t="s">
        <v>595</v>
      </c>
      <c r="K257" s="139"/>
      <c r="L257" s="139"/>
      <c r="M257" s="140"/>
      <c r="N257" s="141" t="s">
        <v>595</v>
      </c>
      <c r="O257" s="139"/>
      <c r="P257" s="139"/>
      <c r="Q257" s="140"/>
      <c r="R257" s="141" t="s">
        <v>595</v>
      </c>
      <c r="S257" s="139"/>
      <c r="T257" s="139"/>
      <c r="U257" s="140"/>
      <c r="V257" s="141" t="s">
        <v>595</v>
      </c>
      <c r="W257" s="139"/>
      <c r="X257" s="139"/>
      <c r="Y257" s="140"/>
    </row>
    <row r="258" spans="1:25" x14ac:dyDescent="0.25">
      <c r="A258" s="138" t="s">
        <v>420</v>
      </c>
      <c r="B258" s="138">
        <f>_xlfn.XLOOKUP(A258,'[2]FRV Output'!$B:$B,'[2]FRV Output'!$F:$F)</f>
        <v>1922456664</v>
      </c>
      <c r="C258" s="139"/>
      <c r="D258" s="139"/>
      <c r="E258" s="140"/>
      <c r="F258" s="141" t="s">
        <v>595</v>
      </c>
      <c r="G258" s="139"/>
      <c r="H258" s="139"/>
      <c r="I258" s="140"/>
      <c r="J258" s="141" t="s">
        <v>595</v>
      </c>
      <c r="K258" s="139"/>
      <c r="L258" s="139"/>
      <c r="M258" s="140"/>
      <c r="N258" s="141" t="s">
        <v>595</v>
      </c>
      <c r="O258" s="139"/>
      <c r="P258" s="139"/>
      <c r="Q258" s="140"/>
      <c r="R258" s="141" t="s">
        <v>595</v>
      </c>
      <c r="S258" s="139"/>
      <c r="T258" s="139"/>
      <c r="U258" s="140"/>
      <c r="V258" s="141" t="s">
        <v>595</v>
      </c>
      <c r="W258" s="139"/>
      <c r="X258" s="139"/>
      <c r="Y258" s="140"/>
    </row>
    <row r="259" spans="1:25" x14ac:dyDescent="0.25">
      <c r="A259" s="142" t="s">
        <v>718</v>
      </c>
      <c r="B259" s="138">
        <f>_xlfn.XLOOKUP(A259,'[2]FRV Output'!$B:$B,'[2]FRV Output'!$F:$F)</f>
        <v>1811923931</v>
      </c>
      <c r="C259" s="139">
        <v>3</v>
      </c>
      <c r="D259" s="139">
        <v>2018</v>
      </c>
      <c r="E259" s="140">
        <v>1193236</v>
      </c>
      <c r="F259" s="141" t="s">
        <v>595</v>
      </c>
      <c r="G259" s="139">
        <v>3</v>
      </c>
      <c r="H259" s="139">
        <v>2019</v>
      </c>
      <c r="I259" s="140">
        <v>52024</v>
      </c>
      <c r="J259" s="141" t="s">
        <v>595</v>
      </c>
      <c r="K259" s="139">
        <v>3</v>
      </c>
      <c r="L259" s="139">
        <v>2020</v>
      </c>
      <c r="M259" s="140">
        <v>153874</v>
      </c>
      <c r="N259" s="141" t="s">
        <v>595</v>
      </c>
      <c r="O259" s="139">
        <v>3</v>
      </c>
      <c r="P259" s="139">
        <v>2021</v>
      </c>
      <c r="Q259" s="140">
        <v>382162</v>
      </c>
      <c r="R259" s="141" t="s">
        <v>595</v>
      </c>
      <c r="S259" s="139"/>
      <c r="T259" s="139"/>
      <c r="U259" s="140"/>
      <c r="V259" s="141" t="s">
        <v>595</v>
      </c>
      <c r="W259" s="139"/>
      <c r="X259" s="139"/>
      <c r="Y259" s="140"/>
    </row>
    <row r="260" spans="1:25" x14ac:dyDescent="0.25">
      <c r="A260" s="142" t="s">
        <v>422</v>
      </c>
      <c r="B260" s="138">
        <f>_xlfn.XLOOKUP(A260,'[2]FRV Output'!$B:$B,'[2]FRV Output'!$F:$F)</f>
        <v>1073034138</v>
      </c>
      <c r="C260" s="139">
        <v>3</v>
      </c>
      <c r="D260" s="139">
        <v>2019</v>
      </c>
      <c r="E260" s="140">
        <v>442564</v>
      </c>
      <c r="F260" s="141" t="s">
        <v>595</v>
      </c>
      <c r="G260" s="139">
        <v>3</v>
      </c>
      <c r="H260" s="139">
        <v>2020</v>
      </c>
      <c r="I260" s="140">
        <v>731037</v>
      </c>
      <c r="J260" s="141" t="s">
        <v>595</v>
      </c>
      <c r="K260" s="139">
        <v>3</v>
      </c>
      <c r="L260" s="139">
        <v>2021</v>
      </c>
      <c r="M260" s="140">
        <v>515828</v>
      </c>
      <c r="N260" s="141" t="s">
        <v>595</v>
      </c>
      <c r="O260" s="139"/>
      <c r="P260" s="139"/>
      <c r="Q260" s="140"/>
      <c r="R260" s="141" t="s">
        <v>595</v>
      </c>
      <c r="S260" s="139"/>
      <c r="T260" s="139"/>
      <c r="U260" s="140"/>
      <c r="V260" s="141" t="s">
        <v>595</v>
      </c>
      <c r="W260" s="139"/>
      <c r="X260" s="139"/>
      <c r="Y260" s="140"/>
    </row>
    <row r="261" spans="1:25" x14ac:dyDescent="0.25">
      <c r="A261" s="142" t="s">
        <v>572</v>
      </c>
      <c r="B261" s="138">
        <f>_xlfn.XLOOKUP(A261,'[2]FRV Output'!$B:$B,'[2]FRV Output'!$F:$F)</f>
        <v>1720085293</v>
      </c>
      <c r="C261" s="139">
        <v>3</v>
      </c>
      <c r="D261" s="139">
        <v>2019</v>
      </c>
      <c r="E261" s="140">
        <v>123746</v>
      </c>
      <c r="F261" s="141" t="s">
        <v>595</v>
      </c>
      <c r="G261" s="139">
        <v>3</v>
      </c>
      <c r="H261" s="139">
        <v>2020</v>
      </c>
      <c r="I261" s="140">
        <v>126337</v>
      </c>
      <c r="J261" s="141" t="s">
        <v>595</v>
      </c>
      <c r="K261" s="139">
        <v>3</v>
      </c>
      <c r="L261" s="139">
        <v>2021</v>
      </c>
      <c r="M261" s="140">
        <v>347793</v>
      </c>
      <c r="N261" s="141" t="s">
        <v>595</v>
      </c>
      <c r="O261" s="139"/>
      <c r="P261" s="139"/>
      <c r="Q261" s="140"/>
      <c r="R261" s="141" t="s">
        <v>595</v>
      </c>
      <c r="S261" s="139"/>
      <c r="T261" s="139"/>
      <c r="U261" s="140"/>
      <c r="V261" s="141" t="s">
        <v>595</v>
      </c>
      <c r="W261" s="139"/>
      <c r="X261" s="139"/>
      <c r="Y261" s="140"/>
    </row>
    <row r="262" spans="1:25" x14ac:dyDescent="0.25">
      <c r="A262" s="142" t="s">
        <v>719</v>
      </c>
      <c r="B262" s="138">
        <f>_xlfn.XLOOKUP(A262,'[2]FRV Output'!$B:$B,'[2]FRV Output'!$F:$F)</f>
        <v>1962447565</v>
      </c>
      <c r="C262" s="139">
        <v>3</v>
      </c>
      <c r="D262" s="139">
        <v>2017</v>
      </c>
      <c r="E262" s="140">
        <v>152481</v>
      </c>
      <c r="F262" s="141" t="s">
        <v>595</v>
      </c>
      <c r="G262" s="139">
        <v>3</v>
      </c>
      <c r="H262" s="139">
        <v>2019</v>
      </c>
      <c r="I262" s="140">
        <v>308877</v>
      </c>
      <c r="J262" s="141" t="s">
        <v>595</v>
      </c>
      <c r="K262" s="139">
        <v>3</v>
      </c>
      <c r="L262" s="139">
        <v>2020</v>
      </c>
      <c r="M262" s="140">
        <v>129799</v>
      </c>
      <c r="N262" s="141" t="s">
        <v>595</v>
      </c>
      <c r="O262" s="139"/>
      <c r="P262" s="139"/>
      <c r="Q262" s="140"/>
      <c r="R262" s="141" t="s">
        <v>595</v>
      </c>
      <c r="S262" s="139"/>
      <c r="T262" s="139"/>
      <c r="U262" s="140"/>
      <c r="V262" s="141" t="s">
        <v>595</v>
      </c>
      <c r="W262" s="139"/>
      <c r="X262" s="139"/>
      <c r="Y262" s="140"/>
    </row>
    <row r="263" spans="1:25" x14ac:dyDescent="0.25">
      <c r="A263" s="142" t="s">
        <v>720</v>
      </c>
      <c r="B263" s="138" t="e">
        <f>_xlfn.XLOOKUP(A263,'[2]FRV Output'!$B:$B,'[2]FRV Output'!$F:$F)</f>
        <v>#N/A</v>
      </c>
      <c r="C263" s="139" t="s">
        <v>654</v>
      </c>
      <c r="D263" s="139"/>
      <c r="E263" s="140"/>
      <c r="F263" s="141" t="s">
        <v>595</v>
      </c>
      <c r="G263" s="139"/>
      <c r="H263" s="139"/>
      <c r="I263" s="140"/>
      <c r="J263" s="141" t="s">
        <v>595</v>
      </c>
      <c r="K263" s="139"/>
      <c r="L263" s="139"/>
      <c r="M263" s="140"/>
      <c r="N263" s="141" t="s">
        <v>595</v>
      </c>
      <c r="O263" s="139"/>
      <c r="P263" s="139"/>
      <c r="Q263" s="140"/>
      <c r="R263" s="141" t="s">
        <v>595</v>
      </c>
      <c r="S263" s="139"/>
      <c r="T263" s="139"/>
      <c r="U263" s="140"/>
      <c r="V263" s="141" t="s">
        <v>595</v>
      </c>
      <c r="W263" s="139"/>
      <c r="X263" s="139"/>
      <c r="Y263" s="140"/>
    </row>
    <row r="264" spans="1:25" x14ac:dyDescent="0.25">
      <c r="A264" s="138" t="s">
        <v>424</v>
      </c>
      <c r="B264" s="138">
        <f>_xlfn.XLOOKUP(A264,'[2]FRV Output'!$B:$B,'[2]FRV Output'!$F:$F)</f>
        <v>1720166838</v>
      </c>
      <c r="C264" s="139"/>
      <c r="D264" s="139"/>
      <c r="E264" s="140"/>
      <c r="F264" s="141" t="s">
        <v>595</v>
      </c>
      <c r="G264" s="139"/>
      <c r="H264" s="139"/>
      <c r="I264" s="140"/>
      <c r="J264" s="141" t="s">
        <v>595</v>
      </c>
      <c r="K264" s="139"/>
      <c r="L264" s="139"/>
      <c r="M264" s="140"/>
      <c r="N264" s="141" t="s">
        <v>595</v>
      </c>
      <c r="O264" s="139"/>
      <c r="P264" s="139"/>
      <c r="Q264" s="140"/>
      <c r="R264" s="141" t="s">
        <v>595</v>
      </c>
      <c r="S264" s="139"/>
      <c r="T264" s="139"/>
      <c r="U264" s="140"/>
      <c r="V264" s="141" t="s">
        <v>595</v>
      </c>
      <c r="W264" s="139"/>
      <c r="X264" s="139"/>
      <c r="Y264" s="140"/>
    </row>
    <row r="265" spans="1:25" x14ac:dyDescent="0.25">
      <c r="A265" s="142" t="s">
        <v>721</v>
      </c>
      <c r="B265" s="138">
        <f>_xlfn.XLOOKUP(A265,'[2]FRV Output'!$B:$B,'[2]FRV Output'!$F:$F)</f>
        <v>1518112036</v>
      </c>
      <c r="C265" s="139">
        <v>3</v>
      </c>
      <c r="D265" s="139">
        <v>2016</v>
      </c>
      <c r="E265" s="140">
        <v>177066</v>
      </c>
      <c r="F265" s="141" t="s">
        <v>595</v>
      </c>
      <c r="G265" s="139">
        <v>3</v>
      </c>
      <c r="H265" s="139">
        <v>2017</v>
      </c>
      <c r="I265" s="140">
        <v>71779</v>
      </c>
      <c r="J265" s="141" t="s">
        <v>595</v>
      </c>
      <c r="K265" s="139">
        <v>3</v>
      </c>
      <c r="L265" s="139">
        <v>2018</v>
      </c>
      <c r="M265" s="140">
        <v>143298</v>
      </c>
      <c r="N265" s="141" t="s">
        <v>595</v>
      </c>
      <c r="O265" s="139">
        <v>3</v>
      </c>
      <c r="P265" s="139">
        <v>2019</v>
      </c>
      <c r="Q265" s="140">
        <v>157662</v>
      </c>
      <c r="R265" s="141" t="s">
        <v>595</v>
      </c>
      <c r="S265" s="139">
        <v>3</v>
      </c>
      <c r="T265" s="139">
        <v>2020</v>
      </c>
      <c r="U265" s="140">
        <v>104168</v>
      </c>
      <c r="V265" s="141" t="s">
        <v>595</v>
      </c>
      <c r="W265" s="139"/>
      <c r="X265" s="139"/>
      <c r="Y265" s="140"/>
    </row>
    <row r="266" spans="1:25" x14ac:dyDescent="0.25">
      <c r="A266" s="142" t="s">
        <v>722</v>
      </c>
      <c r="B266" s="138">
        <f>_xlfn.XLOOKUP(A266,'[2]FRV Output'!$B:$B,'[2]FRV Output'!$F:$F)</f>
        <v>1447435722</v>
      </c>
      <c r="C266" s="139">
        <v>3</v>
      </c>
      <c r="D266" s="139">
        <v>2016</v>
      </c>
      <c r="E266" s="140">
        <v>151020</v>
      </c>
      <c r="F266" s="141" t="s">
        <v>595</v>
      </c>
      <c r="G266" s="139">
        <v>3</v>
      </c>
      <c r="H266" s="139">
        <v>2017</v>
      </c>
      <c r="I266" s="140">
        <v>143328</v>
      </c>
      <c r="J266" s="141" t="s">
        <v>595</v>
      </c>
      <c r="K266" s="139">
        <v>3</v>
      </c>
      <c r="L266" s="139">
        <v>2018</v>
      </c>
      <c r="M266" s="140">
        <v>104755</v>
      </c>
      <c r="N266" s="141" t="s">
        <v>595</v>
      </c>
      <c r="O266" s="139">
        <v>3</v>
      </c>
      <c r="P266" s="139">
        <v>2019</v>
      </c>
      <c r="Q266" s="140">
        <v>204631</v>
      </c>
      <c r="R266" s="141" t="s">
        <v>595</v>
      </c>
      <c r="S266" s="139">
        <v>3</v>
      </c>
      <c r="T266" s="139">
        <v>2020</v>
      </c>
      <c r="U266" s="140">
        <v>66292</v>
      </c>
      <c r="V266" s="141" t="s">
        <v>595</v>
      </c>
      <c r="W266" s="139"/>
      <c r="X266" s="139"/>
      <c r="Y266" s="140"/>
    </row>
    <row r="267" spans="1:25" x14ac:dyDescent="0.25">
      <c r="A267" s="142" t="s">
        <v>723</v>
      </c>
      <c r="B267" s="138">
        <f>_xlfn.XLOOKUP(A267,'[2]FRV Output'!$B:$B,'[2]FRV Output'!$F:$F)</f>
        <v>1245287762</v>
      </c>
      <c r="C267" s="139">
        <v>3</v>
      </c>
      <c r="D267" s="139">
        <v>2016</v>
      </c>
      <c r="E267" s="140">
        <v>137564</v>
      </c>
      <c r="F267" s="141" t="s">
        <v>595</v>
      </c>
      <c r="G267" s="139">
        <v>3</v>
      </c>
      <c r="H267" s="139">
        <v>2019</v>
      </c>
      <c r="I267" s="140">
        <v>125286</v>
      </c>
      <c r="J267" s="141" t="s">
        <v>595</v>
      </c>
      <c r="K267" s="139">
        <v>3</v>
      </c>
      <c r="L267" s="139">
        <v>2020</v>
      </c>
      <c r="M267" s="140">
        <v>94646</v>
      </c>
      <c r="N267" s="141" t="s">
        <v>595</v>
      </c>
      <c r="O267" s="139"/>
      <c r="P267" s="139"/>
      <c r="Q267" s="140"/>
      <c r="R267" s="141" t="s">
        <v>595</v>
      </c>
      <c r="S267" s="139"/>
      <c r="T267" s="139"/>
      <c r="U267" s="140"/>
      <c r="V267" s="141" t="s">
        <v>595</v>
      </c>
      <c r="W267" s="139"/>
      <c r="X267" s="139"/>
      <c r="Y267" s="140"/>
    </row>
    <row r="268" spans="1:25" x14ac:dyDescent="0.25">
      <c r="A268" s="142" t="s">
        <v>724</v>
      </c>
      <c r="B268" s="138">
        <f>_xlfn.XLOOKUP(A268,'[2]FRV Output'!$B:$B,'[2]FRV Output'!$F:$F)</f>
        <v>1134175524</v>
      </c>
      <c r="C268" s="139">
        <v>3</v>
      </c>
      <c r="D268" s="139">
        <v>2016</v>
      </c>
      <c r="E268" s="140">
        <v>52755</v>
      </c>
      <c r="F268" s="141" t="s">
        <v>595</v>
      </c>
      <c r="G268" s="139">
        <v>3</v>
      </c>
      <c r="H268" s="139">
        <v>2017</v>
      </c>
      <c r="I268" s="140">
        <v>149097</v>
      </c>
      <c r="J268" s="141" t="s">
        <v>595</v>
      </c>
      <c r="K268" s="139">
        <v>3</v>
      </c>
      <c r="L268" s="139">
        <v>2018</v>
      </c>
      <c r="M268" s="140">
        <v>56812</v>
      </c>
      <c r="N268" s="141" t="s">
        <v>595</v>
      </c>
      <c r="O268" s="139">
        <v>3</v>
      </c>
      <c r="P268" s="139">
        <v>2019</v>
      </c>
      <c r="Q268" s="140">
        <v>50173</v>
      </c>
      <c r="R268" s="141" t="s">
        <v>595</v>
      </c>
      <c r="S268" s="139">
        <v>3</v>
      </c>
      <c r="T268" s="139">
        <v>2020</v>
      </c>
      <c r="U268" s="140">
        <v>43011</v>
      </c>
      <c r="V268" s="141" t="s">
        <v>595</v>
      </c>
      <c r="W268" s="139"/>
      <c r="X268" s="139"/>
      <c r="Y268" s="140"/>
    </row>
    <row r="269" spans="1:25" x14ac:dyDescent="0.25">
      <c r="A269" s="142" t="s">
        <v>725</v>
      </c>
      <c r="B269" s="138">
        <f>_xlfn.XLOOKUP(A269,'[2]FRV Output'!$B:$B,'[2]FRV Output'!$F:$F)</f>
        <v>1144277666</v>
      </c>
      <c r="C269" s="139">
        <v>3</v>
      </c>
      <c r="D269" s="139">
        <v>2016</v>
      </c>
      <c r="E269" s="140">
        <v>76726</v>
      </c>
      <c r="F269" s="141" t="s">
        <v>595</v>
      </c>
      <c r="G269" s="139">
        <v>3</v>
      </c>
      <c r="H269" s="139">
        <v>2017</v>
      </c>
      <c r="I269" s="140">
        <v>271109</v>
      </c>
      <c r="J269" s="141" t="s">
        <v>595</v>
      </c>
      <c r="K269" s="139">
        <v>3</v>
      </c>
      <c r="L269" s="139">
        <v>2018</v>
      </c>
      <c r="M269" s="140">
        <v>205278</v>
      </c>
      <c r="N269" s="141" t="s">
        <v>595</v>
      </c>
      <c r="O269" s="139">
        <v>3</v>
      </c>
      <c r="P269" s="139">
        <v>2019</v>
      </c>
      <c r="Q269" s="140">
        <v>114911</v>
      </c>
      <c r="R269" s="141" t="s">
        <v>595</v>
      </c>
      <c r="S269" s="139">
        <v>3</v>
      </c>
      <c r="T269" s="139">
        <v>2020</v>
      </c>
      <c r="U269" s="140">
        <v>88963</v>
      </c>
      <c r="V269" s="141" t="s">
        <v>595</v>
      </c>
      <c r="W269" s="139"/>
      <c r="X269" s="139"/>
      <c r="Y269" s="140"/>
    </row>
    <row r="270" spans="1:25" x14ac:dyDescent="0.25">
      <c r="A270" s="142" t="s">
        <v>726</v>
      </c>
      <c r="B270" s="138">
        <f>_xlfn.XLOOKUP(A270,'[2]FRV Output'!$B:$B,'[2]FRV Output'!$F:$F)</f>
        <v>1245285253</v>
      </c>
      <c r="C270" s="139">
        <v>3</v>
      </c>
      <c r="D270" s="139">
        <v>2016</v>
      </c>
      <c r="E270" s="140">
        <v>84245</v>
      </c>
      <c r="F270" s="141" t="s">
        <v>595</v>
      </c>
      <c r="G270" s="139">
        <v>3</v>
      </c>
      <c r="H270" s="139">
        <v>2017</v>
      </c>
      <c r="I270" s="140">
        <v>348434</v>
      </c>
      <c r="J270" s="141" t="s">
        <v>595</v>
      </c>
      <c r="K270" s="139">
        <v>3</v>
      </c>
      <c r="L270" s="139">
        <v>2018</v>
      </c>
      <c r="M270" s="140">
        <v>120732</v>
      </c>
      <c r="N270" s="141" t="s">
        <v>595</v>
      </c>
      <c r="O270" s="139">
        <v>3</v>
      </c>
      <c r="P270" s="139">
        <v>2019</v>
      </c>
      <c r="Q270" s="140">
        <v>72762</v>
      </c>
      <c r="R270" s="141" t="s">
        <v>595</v>
      </c>
      <c r="S270" s="139">
        <v>3</v>
      </c>
      <c r="T270" s="139">
        <v>2020</v>
      </c>
      <c r="U270" s="140">
        <v>60493</v>
      </c>
      <c r="V270" s="141" t="s">
        <v>595</v>
      </c>
      <c r="W270" s="139"/>
      <c r="X270" s="139"/>
      <c r="Y270" s="140"/>
    </row>
    <row r="271" spans="1:25" x14ac:dyDescent="0.25">
      <c r="A271" s="142" t="s">
        <v>727</v>
      </c>
      <c r="B271" s="138">
        <f>_xlfn.XLOOKUP(A271,'[2]FRV Output'!$B:$B,'[2]FRV Output'!$F:$F)</f>
        <v>1730136250</v>
      </c>
      <c r="C271" s="139">
        <v>3</v>
      </c>
      <c r="D271" s="139">
        <v>2016</v>
      </c>
      <c r="E271" s="140">
        <v>109068</v>
      </c>
      <c r="F271" s="141" t="s">
        <v>595</v>
      </c>
      <c r="G271" s="139">
        <v>3</v>
      </c>
      <c r="H271" s="139">
        <v>2017</v>
      </c>
      <c r="I271" s="140">
        <v>85197</v>
      </c>
      <c r="J271" s="141" t="s">
        <v>595</v>
      </c>
      <c r="K271" s="139">
        <v>3</v>
      </c>
      <c r="L271" s="139">
        <v>2018</v>
      </c>
      <c r="M271" s="140">
        <v>192545</v>
      </c>
      <c r="N271" s="141" t="s">
        <v>595</v>
      </c>
      <c r="O271" s="139">
        <v>3</v>
      </c>
      <c r="P271" s="139">
        <v>2019</v>
      </c>
      <c r="Q271" s="140">
        <v>153851</v>
      </c>
      <c r="R271" s="141" t="s">
        <v>595</v>
      </c>
      <c r="S271" s="139">
        <v>3</v>
      </c>
      <c r="T271" s="139">
        <v>2020</v>
      </c>
      <c r="U271" s="140">
        <v>200682</v>
      </c>
      <c r="V271" s="141" t="s">
        <v>595</v>
      </c>
      <c r="W271" s="139"/>
      <c r="X271" s="139"/>
      <c r="Y271" s="140"/>
    </row>
    <row r="272" spans="1:25" x14ac:dyDescent="0.25">
      <c r="A272" s="142" t="s">
        <v>728</v>
      </c>
      <c r="B272" s="138">
        <f>_xlfn.XLOOKUP(A272,'[2]FRV Output'!$B:$B,'[2]FRV Output'!$F:$F)</f>
        <v>1033513320</v>
      </c>
      <c r="C272" s="139">
        <v>3</v>
      </c>
      <c r="D272" s="139">
        <v>2016</v>
      </c>
      <c r="E272" s="140">
        <v>156448</v>
      </c>
      <c r="F272" s="141" t="s">
        <v>595</v>
      </c>
      <c r="G272" s="139">
        <v>3</v>
      </c>
      <c r="H272" s="139">
        <v>2017</v>
      </c>
      <c r="I272" s="140">
        <v>132172</v>
      </c>
      <c r="J272" s="141" t="s">
        <v>595</v>
      </c>
      <c r="K272" s="139">
        <v>3</v>
      </c>
      <c r="L272" s="139">
        <v>2018</v>
      </c>
      <c r="M272" s="140">
        <v>247632</v>
      </c>
      <c r="N272" s="141" t="s">
        <v>595</v>
      </c>
      <c r="O272" s="139">
        <v>3</v>
      </c>
      <c r="P272" s="139">
        <v>2019</v>
      </c>
      <c r="Q272" s="140">
        <v>444938</v>
      </c>
      <c r="R272" s="141" t="s">
        <v>595</v>
      </c>
      <c r="S272" s="139">
        <v>3</v>
      </c>
      <c r="T272" s="139">
        <v>2020</v>
      </c>
      <c r="U272" s="140">
        <v>117034</v>
      </c>
      <c r="V272" s="141" t="s">
        <v>595</v>
      </c>
      <c r="W272" s="139"/>
      <c r="X272" s="139"/>
      <c r="Y272" s="140"/>
    </row>
    <row r="273" spans="1:25" x14ac:dyDescent="0.25">
      <c r="A273" s="142" t="s">
        <v>729</v>
      </c>
      <c r="B273" s="138">
        <f>_xlfn.XLOOKUP(A273,'[2]FRV Output'!$B:$B,'[2]FRV Output'!$F:$F)</f>
        <v>1023358991</v>
      </c>
      <c r="C273" s="139">
        <v>3</v>
      </c>
      <c r="D273" s="139">
        <v>2016</v>
      </c>
      <c r="E273" s="140">
        <v>90490</v>
      </c>
      <c r="F273" s="141" t="s">
        <v>595</v>
      </c>
      <c r="G273" s="139">
        <v>3</v>
      </c>
      <c r="H273" s="139">
        <v>2017</v>
      </c>
      <c r="I273" s="140">
        <v>263236</v>
      </c>
      <c r="J273" s="141" t="s">
        <v>595</v>
      </c>
      <c r="K273" s="139">
        <v>3</v>
      </c>
      <c r="L273" s="139">
        <v>2018</v>
      </c>
      <c r="M273" s="140">
        <v>99652</v>
      </c>
      <c r="N273" s="141" t="s">
        <v>595</v>
      </c>
      <c r="O273" s="139">
        <v>3</v>
      </c>
      <c r="P273" s="139">
        <v>2019</v>
      </c>
      <c r="Q273" s="140">
        <v>66631</v>
      </c>
      <c r="R273" s="141" t="s">
        <v>595</v>
      </c>
      <c r="S273" s="139">
        <v>3</v>
      </c>
      <c r="T273" s="139">
        <v>2020</v>
      </c>
      <c r="U273" s="140">
        <v>74344</v>
      </c>
      <c r="V273" s="141" t="s">
        <v>595</v>
      </c>
      <c r="W273" s="139"/>
      <c r="X273" s="139"/>
      <c r="Y273" s="140"/>
    </row>
    <row r="274" spans="1:25" x14ac:dyDescent="0.25">
      <c r="A274" s="142" t="s">
        <v>730</v>
      </c>
      <c r="B274" s="138">
        <f>_xlfn.XLOOKUP(A274,'[2]FRV Output'!$B:$B,'[2]FRV Output'!$F:$F)</f>
        <v>1700833233</v>
      </c>
      <c r="C274" s="139">
        <v>3</v>
      </c>
      <c r="D274" s="139">
        <v>2016</v>
      </c>
      <c r="E274" s="140">
        <v>181812</v>
      </c>
      <c r="F274" s="141" t="s">
        <v>595</v>
      </c>
      <c r="G274" s="139">
        <v>3</v>
      </c>
      <c r="H274" s="139">
        <v>2017</v>
      </c>
      <c r="I274" s="140">
        <v>240393</v>
      </c>
      <c r="J274" s="141" t="s">
        <v>595</v>
      </c>
      <c r="K274" s="139">
        <v>3</v>
      </c>
      <c r="L274" s="139">
        <v>2018</v>
      </c>
      <c r="M274" s="140">
        <v>48861</v>
      </c>
      <c r="N274" s="141" t="s">
        <v>595</v>
      </c>
      <c r="O274" s="139">
        <v>3</v>
      </c>
      <c r="P274" s="139">
        <v>2019</v>
      </c>
      <c r="Q274" s="140">
        <v>76097</v>
      </c>
      <c r="R274" s="141" t="s">
        <v>595</v>
      </c>
      <c r="S274" s="139">
        <v>3</v>
      </c>
      <c r="T274" s="139">
        <v>2020</v>
      </c>
      <c r="U274" s="140">
        <v>80267</v>
      </c>
      <c r="V274" s="141" t="s">
        <v>595</v>
      </c>
      <c r="W274" s="139"/>
      <c r="X274" s="139"/>
      <c r="Y274" s="140"/>
    </row>
    <row r="275" spans="1:25" x14ac:dyDescent="0.25">
      <c r="A275" s="142" t="s">
        <v>731</v>
      </c>
      <c r="B275" s="138">
        <f>_xlfn.XLOOKUP(A275,'[2]FRV Output'!$B:$B,'[2]FRV Output'!$F:$F)</f>
        <v>1851348379</v>
      </c>
      <c r="C275" s="139">
        <v>3</v>
      </c>
      <c r="D275" s="139">
        <v>2016</v>
      </c>
      <c r="E275" s="140">
        <v>88033</v>
      </c>
      <c r="F275" s="141" t="s">
        <v>595</v>
      </c>
      <c r="G275" s="139">
        <v>3</v>
      </c>
      <c r="H275" s="139">
        <v>2017</v>
      </c>
      <c r="I275" s="140">
        <v>326485</v>
      </c>
      <c r="J275" s="141" t="s">
        <v>595</v>
      </c>
      <c r="K275" s="139">
        <v>3</v>
      </c>
      <c r="L275" s="139">
        <v>2018</v>
      </c>
      <c r="M275" s="140">
        <v>147942</v>
      </c>
      <c r="N275" s="141" t="s">
        <v>595</v>
      </c>
      <c r="O275" s="139">
        <v>3</v>
      </c>
      <c r="P275" s="139">
        <v>2019</v>
      </c>
      <c r="Q275" s="140">
        <v>82767</v>
      </c>
      <c r="R275" s="141" t="s">
        <v>595</v>
      </c>
      <c r="S275" s="139">
        <v>3</v>
      </c>
      <c r="T275" s="139">
        <v>2020</v>
      </c>
      <c r="U275" s="140">
        <v>126117</v>
      </c>
      <c r="V275" s="141" t="s">
        <v>595</v>
      </c>
      <c r="W275" s="139"/>
      <c r="X275" s="139"/>
      <c r="Y275" s="140"/>
    </row>
    <row r="276" spans="1:25" x14ac:dyDescent="0.25">
      <c r="A276" s="142" t="s">
        <v>732</v>
      </c>
      <c r="B276" s="138">
        <f>_xlfn.XLOOKUP(A276,'[2]FRV Output'!$B:$B,'[2]FRV Output'!$F:$F)</f>
        <v>1992106348</v>
      </c>
      <c r="C276" s="139">
        <v>3</v>
      </c>
      <c r="D276" s="139">
        <v>2016</v>
      </c>
      <c r="E276" s="140">
        <v>57656</v>
      </c>
      <c r="F276" s="148" t="s">
        <v>595</v>
      </c>
      <c r="G276" s="139">
        <v>3</v>
      </c>
      <c r="H276" s="139">
        <v>2017</v>
      </c>
      <c r="I276" s="140">
        <v>124613</v>
      </c>
      <c r="J276" s="148" t="s">
        <v>595</v>
      </c>
      <c r="K276" s="139">
        <v>3</v>
      </c>
      <c r="L276" s="139">
        <v>2019</v>
      </c>
      <c r="M276" s="140">
        <v>69792</v>
      </c>
      <c r="N276" s="148" t="s">
        <v>595</v>
      </c>
      <c r="O276" s="139">
        <v>3</v>
      </c>
      <c r="P276" s="139">
        <v>2020</v>
      </c>
      <c r="Q276" s="140">
        <v>89537</v>
      </c>
      <c r="R276" s="148" t="s">
        <v>595</v>
      </c>
      <c r="S276" s="139"/>
      <c r="T276" s="139"/>
      <c r="U276" s="140"/>
      <c r="V276" s="141" t="s">
        <v>595</v>
      </c>
      <c r="W276" s="139"/>
      <c r="X276" s="139"/>
      <c r="Y276" s="140"/>
    </row>
    <row r="277" spans="1:25" x14ac:dyDescent="0.25">
      <c r="A277" s="138" t="s">
        <v>733</v>
      </c>
      <c r="B277" s="138">
        <f>_xlfn.XLOOKUP(A277,'[2]FRV Output'!$B:$B,'[2]FRV Output'!$F:$F)</f>
        <v>1548696834</v>
      </c>
      <c r="C277" s="139">
        <v>3</v>
      </c>
      <c r="D277" s="139">
        <v>2021</v>
      </c>
      <c r="E277" s="140">
        <v>31169</v>
      </c>
      <c r="F277" s="141" t="s">
        <v>595</v>
      </c>
      <c r="G277" s="139"/>
      <c r="H277" s="139"/>
      <c r="I277" s="140"/>
      <c r="J277" s="141" t="s">
        <v>595</v>
      </c>
      <c r="K277" s="139"/>
      <c r="L277" s="139"/>
      <c r="M277" s="140"/>
      <c r="N277" s="141" t="s">
        <v>595</v>
      </c>
      <c r="O277" s="139"/>
      <c r="P277" s="139"/>
      <c r="Q277" s="140"/>
      <c r="R277" s="141" t="s">
        <v>595</v>
      </c>
      <c r="S277" s="139"/>
      <c r="T277" s="139"/>
      <c r="U277" s="140"/>
      <c r="V277" s="141" t="s">
        <v>595</v>
      </c>
      <c r="W277" s="139"/>
      <c r="X277" s="139"/>
      <c r="Y277" s="140"/>
    </row>
    <row r="278" spans="1:25" x14ac:dyDescent="0.25">
      <c r="A278" s="142" t="s">
        <v>437</v>
      </c>
      <c r="B278" s="138">
        <f>_xlfn.XLOOKUP(A278,'[2]FRV Output'!$B:$B,'[2]FRV Output'!$F:$F)</f>
        <v>1396161527</v>
      </c>
      <c r="C278" s="139">
        <v>3</v>
      </c>
      <c r="D278" s="139">
        <v>2016</v>
      </c>
      <c r="E278" s="140">
        <v>88271</v>
      </c>
      <c r="F278" s="141" t="s">
        <v>595</v>
      </c>
      <c r="G278" s="139">
        <v>3</v>
      </c>
      <c r="H278" s="139">
        <v>2019</v>
      </c>
      <c r="I278" s="140">
        <v>81801</v>
      </c>
      <c r="J278" s="141" t="s">
        <v>595</v>
      </c>
      <c r="K278" s="139">
        <v>3</v>
      </c>
      <c r="L278" s="139">
        <v>2021</v>
      </c>
      <c r="M278" s="140">
        <v>270273</v>
      </c>
      <c r="N278" s="141" t="s">
        <v>595</v>
      </c>
      <c r="O278" s="139"/>
      <c r="P278" s="139"/>
      <c r="Q278" s="140"/>
      <c r="R278" s="141" t="s">
        <v>595</v>
      </c>
      <c r="S278" s="139"/>
      <c r="T278" s="139"/>
      <c r="U278" s="140"/>
      <c r="V278" s="141" t="s">
        <v>595</v>
      </c>
      <c r="W278" s="139"/>
      <c r="X278" s="139"/>
      <c r="Y278" s="140"/>
    </row>
    <row r="279" spans="1:25" x14ac:dyDescent="0.25">
      <c r="A279" s="142" t="s">
        <v>438</v>
      </c>
      <c r="B279" s="138">
        <f>_xlfn.XLOOKUP(A279,'[2]FRV Output'!$B:$B,'[2]FRV Output'!$F:$F)</f>
        <v>1770582363</v>
      </c>
      <c r="C279" s="139">
        <v>3</v>
      </c>
      <c r="D279" s="139">
        <v>2016</v>
      </c>
      <c r="E279" s="140">
        <v>104436</v>
      </c>
      <c r="F279" s="141" t="s">
        <v>595</v>
      </c>
      <c r="G279" s="139">
        <v>3</v>
      </c>
      <c r="H279" s="139">
        <v>2018</v>
      </c>
      <c r="I279" s="140">
        <v>111607</v>
      </c>
      <c r="J279" s="141" t="s">
        <v>595</v>
      </c>
      <c r="K279" s="139">
        <v>3</v>
      </c>
      <c r="L279" s="139">
        <v>2019</v>
      </c>
      <c r="M279" s="140">
        <v>1186472</v>
      </c>
      <c r="N279" s="141" t="s">
        <v>595</v>
      </c>
      <c r="O279" s="139"/>
      <c r="P279" s="139"/>
      <c r="Q279" s="140"/>
      <c r="R279" s="141" t="s">
        <v>595</v>
      </c>
      <c r="S279" s="139"/>
      <c r="T279" s="139"/>
      <c r="U279" s="140"/>
      <c r="V279" s="141" t="s">
        <v>595</v>
      </c>
      <c r="W279" s="139"/>
      <c r="X279" s="139"/>
      <c r="Y279" s="140"/>
    </row>
    <row r="280" spans="1:25" x14ac:dyDescent="0.25">
      <c r="A280" s="142" t="s">
        <v>439</v>
      </c>
      <c r="B280" s="138">
        <f>_xlfn.XLOOKUP(A280,'[2]FRV Output'!$B:$B,'[2]FRV Output'!$F:$F)</f>
        <v>1376542878</v>
      </c>
      <c r="C280" s="139">
        <v>3</v>
      </c>
      <c r="D280" s="139">
        <v>2017</v>
      </c>
      <c r="E280" s="140">
        <v>230244</v>
      </c>
      <c r="F280" s="141" t="s">
        <v>595</v>
      </c>
      <c r="G280" s="139">
        <v>3</v>
      </c>
      <c r="H280" s="139">
        <v>2018</v>
      </c>
      <c r="I280" s="140">
        <v>158576</v>
      </c>
      <c r="J280" s="141" t="s">
        <v>595</v>
      </c>
      <c r="K280" s="139">
        <v>3</v>
      </c>
      <c r="L280" s="139">
        <v>2019</v>
      </c>
      <c r="M280" s="140">
        <v>1084165</v>
      </c>
      <c r="N280" s="141" t="s">
        <v>595</v>
      </c>
      <c r="O280" s="139"/>
      <c r="P280" s="139"/>
      <c r="Q280" s="140"/>
      <c r="R280" s="141" t="s">
        <v>595</v>
      </c>
      <c r="S280" s="139"/>
      <c r="T280" s="139"/>
      <c r="U280" s="140"/>
      <c r="V280" s="141" t="s">
        <v>595</v>
      </c>
      <c r="W280" s="139"/>
      <c r="X280" s="139"/>
      <c r="Y280" s="140"/>
    </row>
    <row r="281" spans="1:25" x14ac:dyDescent="0.25">
      <c r="A281" s="138" t="s">
        <v>734</v>
      </c>
      <c r="B281" s="138">
        <f>_xlfn.XLOOKUP(A281,'[2]FRV Output'!$B:$B,'[2]FRV Output'!$F:$F)</f>
        <v>1598127276</v>
      </c>
      <c r="C281" s="139"/>
      <c r="D281" s="139"/>
      <c r="E281" s="140"/>
      <c r="F281" s="141" t="s">
        <v>595</v>
      </c>
      <c r="G281" s="139"/>
      <c r="H281" s="139"/>
      <c r="I281" s="140"/>
      <c r="J281" s="141" t="s">
        <v>595</v>
      </c>
      <c r="K281" s="139"/>
      <c r="L281" s="139"/>
      <c r="M281" s="140"/>
      <c r="N281" s="141" t="s">
        <v>595</v>
      </c>
      <c r="O281" s="139"/>
      <c r="P281" s="139"/>
      <c r="Q281" s="140"/>
      <c r="R281" s="141" t="s">
        <v>595</v>
      </c>
      <c r="S281" s="139"/>
      <c r="T281" s="139"/>
      <c r="U281" s="140"/>
      <c r="V281" s="141" t="s">
        <v>595</v>
      </c>
      <c r="W281" s="139"/>
      <c r="X281" s="139"/>
      <c r="Y281" s="140"/>
    </row>
    <row r="282" spans="1:25" x14ac:dyDescent="0.25">
      <c r="A282" s="142" t="s">
        <v>735</v>
      </c>
      <c r="B282" s="138">
        <f>_xlfn.XLOOKUP(A282,'[2]FRV Output'!$B:$B,'[2]FRV Output'!$F:$F)</f>
        <v>1689603060</v>
      </c>
      <c r="C282" s="139">
        <v>3</v>
      </c>
      <c r="D282" s="139">
        <v>2019</v>
      </c>
      <c r="E282" s="140">
        <v>80203</v>
      </c>
      <c r="F282" s="141" t="s">
        <v>595</v>
      </c>
      <c r="G282" s="139">
        <v>3</v>
      </c>
      <c r="H282" s="139">
        <v>2021</v>
      </c>
      <c r="I282" s="140">
        <v>88210</v>
      </c>
      <c r="J282" s="141" t="s">
        <v>595</v>
      </c>
      <c r="K282" s="139"/>
      <c r="L282" s="139"/>
      <c r="M282" s="140"/>
      <c r="N282" s="141" t="s">
        <v>595</v>
      </c>
      <c r="O282" s="139"/>
      <c r="P282" s="139"/>
      <c r="Q282" s="140"/>
      <c r="R282" s="141" t="s">
        <v>595</v>
      </c>
      <c r="S282" s="139"/>
      <c r="T282" s="139"/>
      <c r="U282" s="140"/>
      <c r="V282" s="141" t="s">
        <v>595</v>
      </c>
      <c r="W282" s="139"/>
      <c r="X282" s="139"/>
      <c r="Y282" s="140"/>
    </row>
    <row r="283" spans="1:25" x14ac:dyDescent="0.25">
      <c r="A283" s="138" t="s">
        <v>442</v>
      </c>
      <c r="B283" s="138">
        <f>_xlfn.XLOOKUP(A283,'[2]FRV Output'!$B:$B,'[2]FRV Output'!$F:$F)</f>
        <v>1700874880</v>
      </c>
      <c r="C283" s="139">
        <v>3</v>
      </c>
      <c r="D283" s="139">
        <v>2016</v>
      </c>
      <c r="E283" s="140">
        <v>1045770</v>
      </c>
      <c r="F283" s="141" t="s">
        <v>595</v>
      </c>
      <c r="G283" s="139">
        <v>3</v>
      </c>
      <c r="H283" s="139">
        <v>2021</v>
      </c>
      <c r="I283" s="140">
        <v>100567</v>
      </c>
      <c r="J283" s="141" t="s">
        <v>595</v>
      </c>
      <c r="K283" s="139"/>
      <c r="L283" s="139"/>
      <c r="M283" s="140"/>
      <c r="N283" s="141" t="s">
        <v>595</v>
      </c>
      <c r="O283" s="139"/>
      <c r="P283" s="139"/>
      <c r="Q283" s="140"/>
      <c r="R283" s="141" t="s">
        <v>595</v>
      </c>
      <c r="S283" s="139"/>
      <c r="T283" s="139"/>
      <c r="U283" s="140"/>
      <c r="V283" s="141" t="s">
        <v>595</v>
      </c>
      <c r="W283" s="139"/>
      <c r="X283" s="139"/>
      <c r="Y283" s="140"/>
    </row>
    <row r="284" spans="1:25" x14ac:dyDescent="0.25">
      <c r="A284" s="138" t="s">
        <v>443</v>
      </c>
      <c r="B284" s="138">
        <f>_xlfn.XLOOKUP(A284,'[2]FRV Output'!$B:$B,'[2]FRV Output'!$F:$F)</f>
        <v>1306293170</v>
      </c>
      <c r="C284" s="139">
        <v>1</v>
      </c>
      <c r="D284" s="139">
        <v>2019</v>
      </c>
      <c r="E284" s="140">
        <v>-22</v>
      </c>
      <c r="F284" s="141" t="s">
        <v>700</v>
      </c>
      <c r="G284" s="139"/>
      <c r="H284" s="139"/>
      <c r="I284" s="140"/>
      <c r="J284" s="141" t="s">
        <v>595</v>
      </c>
      <c r="K284" s="139"/>
      <c r="L284" s="139"/>
      <c r="M284" s="140"/>
      <c r="N284" s="141" t="s">
        <v>595</v>
      </c>
      <c r="O284" s="139"/>
      <c r="P284" s="139"/>
      <c r="Q284" s="140"/>
      <c r="R284" s="141" t="s">
        <v>595</v>
      </c>
      <c r="S284" s="139"/>
      <c r="T284" s="139"/>
      <c r="U284" s="140"/>
      <c r="V284" s="141" t="s">
        <v>595</v>
      </c>
      <c r="W284" s="139"/>
      <c r="X284" s="139"/>
      <c r="Y284" s="140"/>
    </row>
    <row r="285" spans="1:25" x14ac:dyDescent="0.25">
      <c r="A285" s="142" t="s">
        <v>444</v>
      </c>
      <c r="B285" s="138">
        <f>_xlfn.XLOOKUP(A285,'[2]FRV Output'!$B:$B,'[2]FRV Output'!$F:$F)</f>
        <v>1518968890</v>
      </c>
      <c r="C285" s="139"/>
      <c r="D285" s="139"/>
      <c r="E285" s="140"/>
      <c r="F285" s="141" t="s">
        <v>595</v>
      </c>
      <c r="G285" s="139"/>
      <c r="H285" s="139"/>
      <c r="I285" s="140"/>
      <c r="J285" s="141" t="s">
        <v>595</v>
      </c>
      <c r="K285" s="139"/>
      <c r="L285" s="139"/>
      <c r="M285" s="140"/>
      <c r="N285" s="141" t="s">
        <v>595</v>
      </c>
      <c r="O285" s="139"/>
      <c r="P285" s="139"/>
      <c r="Q285" s="140"/>
      <c r="R285" s="141" t="s">
        <v>595</v>
      </c>
      <c r="S285" s="139"/>
      <c r="T285" s="139"/>
      <c r="U285" s="140"/>
      <c r="V285" s="141" t="s">
        <v>595</v>
      </c>
      <c r="W285" s="139"/>
      <c r="X285" s="139"/>
      <c r="Y285" s="140"/>
    </row>
    <row r="286" spans="1:25" x14ac:dyDescent="0.25">
      <c r="A286" s="138" t="s">
        <v>736</v>
      </c>
      <c r="B286" s="138">
        <f>_xlfn.XLOOKUP(A286,'[2]FRV Output'!$B:$B,'[2]FRV Output'!$F:$F)</f>
        <v>1750317897</v>
      </c>
      <c r="C286" s="139">
        <v>3</v>
      </c>
      <c r="D286" s="139">
        <v>2016</v>
      </c>
      <c r="E286" s="140">
        <v>125003</v>
      </c>
      <c r="F286" s="141" t="s">
        <v>595</v>
      </c>
      <c r="G286" s="139">
        <v>3</v>
      </c>
      <c r="H286" s="139">
        <v>2021</v>
      </c>
      <c r="I286" s="140">
        <v>193147</v>
      </c>
      <c r="J286" s="141" t="s">
        <v>595</v>
      </c>
      <c r="K286" s="139"/>
      <c r="L286" s="139"/>
      <c r="M286" s="140"/>
      <c r="N286" s="141" t="s">
        <v>595</v>
      </c>
      <c r="O286" s="139"/>
      <c r="P286" s="139"/>
      <c r="Q286" s="140"/>
      <c r="R286" s="141" t="s">
        <v>595</v>
      </c>
      <c r="S286" s="139"/>
      <c r="T286" s="139"/>
      <c r="U286" s="140"/>
      <c r="V286" s="141" t="s">
        <v>595</v>
      </c>
      <c r="W286" s="139"/>
      <c r="X286" s="139"/>
      <c r="Y286" s="140"/>
    </row>
    <row r="287" spans="1:25" x14ac:dyDescent="0.25">
      <c r="A287" s="142" t="s">
        <v>737</v>
      </c>
      <c r="B287" s="138">
        <f>_xlfn.XLOOKUP(A287,'[2]FRV Output'!$B:$B,'[2]FRV Output'!$F:$F)</f>
        <v>1659307395</v>
      </c>
      <c r="C287" s="139">
        <v>3</v>
      </c>
      <c r="D287" s="139">
        <v>2019</v>
      </c>
      <c r="E287" s="140">
        <v>78986</v>
      </c>
      <c r="F287" s="141" t="s">
        <v>595</v>
      </c>
      <c r="G287" s="139">
        <v>3</v>
      </c>
      <c r="H287" s="139">
        <v>2020</v>
      </c>
      <c r="I287" s="140">
        <v>228017</v>
      </c>
      <c r="J287" s="141" t="s">
        <v>595</v>
      </c>
      <c r="K287" s="139">
        <v>3</v>
      </c>
      <c r="L287" s="139">
        <v>2021</v>
      </c>
      <c r="M287" s="140">
        <v>194369</v>
      </c>
      <c r="N287" s="141" t="s">
        <v>595</v>
      </c>
      <c r="O287" s="139"/>
      <c r="P287" s="139"/>
      <c r="Q287" s="140"/>
      <c r="R287" s="141" t="s">
        <v>595</v>
      </c>
      <c r="S287" s="139"/>
      <c r="T287" s="139"/>
      <c r="U287" s="140"/>
      <c r="V287" s="141" t="s">
        <v>595</v>
      </c>
      <c r="W287" s="139"/>
      <c r="X287" s="139"/>
      <c r="Y287" s="140"/>
    </row>
    <row r="288" spans="1:25" x14ac:dyDescent="0.25">
      <c r="A288" s="138" t="s">
        <v>738</v>
      </c>
      <c r="B288" s="138">
        <f>_xlfn.XLOOKUP(A288,'[2]FRV Output'!$B:$B,'[2]FRV Output'!$F:$F)</f>
        <v>1669083291</v>
      </c>
      <c r="C288" s="139"/>
      <c r="D288" s="139"/>
      <c r="E288" s="140"/>
      <c r="F288" s="141" t="s">
        <v>595</v>
      </c>
      <c r="G288" s="139"/>
      <c r="H288" s="139"/>
      <c r="I288" s="140"/>
      <c r="J288" s="141" t="s">
        <v>595</v>
      </c>
      <c r="K288" s="139"/>
      <c r="L288" s="139"/>
      <c r="M288" s="140"/>
      <c r="N288" s="141" t="s">
        <v>595</v>
      </c>
      <c r="O288" s="139"/>
      <c r="P288" s="139"/>
      <c r="Q288" s="140"/>
      <c r="R288" s="141" t="s">
        <v>595</v>
      </c>
      <c r="S288" s="139"/>
      <c r="T288" s="139"/>
      <c r="U288" s="140"/>
      <c r="V288" s="141" t="s">
        <v>595</v>
      </c>
      <c r="W288" s="139"/>
      <c r="X288" s="139"/>
      <c r="Y288" s="140"/>
    </row>
    <row r="289" spans="1:25" x14ac:dyDescent="0.25">
      <c r="A289" s="142" t="s">
        <v>447</v>
      </c>
      <c r="B289" s="138">
        <f>_xlfn.XLOOKUP(A289,'[2]FRV Output'!$B:$B,'[2]FRV Output'!$F:$F)</f>
        <v>1205252640</v>
      </c>
      <c r="C289" s="139">
        <v>3</v>
      </c>
      <c r="D289" s="139">
        <v>2019</v>
      </c>
      <c r="E289" s="140">
        <v>118550</v>
      </c>
      <c r="F289" s="141" t="s">
        <v>595</v>
      </c>
      <c r="G289" s="139">
        <v>3</v>
      </c>
      <c r="H289" s="139">
        <v>2020</v>
      </c>
      <c r="I289" s="140">
        <v>223279</v>
      </c>
      <c r="J289" s="141" t="s">
        <v>595</v>
      </c>
      <c r="K289" s="139">
        <v>3</v>
      </c>
      <c r="L289" s="139">
        <v>2021</v>
      </c>
      <c r="M289" s="140">
        <v>218955</v>
      </c>
      <c r="N289" s="141" t="s">
        <v>595</v>
      </c>
      <c r="O289" s="139"/>
      <c r="P289" s="139"/>
      <c r="Q289" s="140"/>
      <c r="R289" s="141" t="s">
        <v>595</v>
      </c>
      <c r="S289" s="139"/>
      <c r="T289" s="139"/>
      <c r="U289" s="140"/>
      <c r="V289" s="141" t="s">
        <v>595</v>
      </c>
      <c r="W289" s="139"/>
      <c r="X289" s="139"/>
      <c r="Y289" s="140"/>
    </row>
    <row r="290" spans="1:25" x14ac:dyDescent="0.25">
      <c r="A290" s="142" t="s">
        <v>739</v>
      </c>
      <c r="B290" s="138">
        <f>_xlfn.XLOOKUP(A290,'[2]FRV Output'!$B:$B,'[2]FRV Output'!$F:$F)</f>
        <v>1336193754</v>
      </c>
      <c r="C290" s="139">
        <v>3</v>
      </c>
      <c r="D290" s="139">
        <v>2019</v>
      </c>
      <c r="E290" s="140">
        <v>257986</v>
      </c>
      <c r="F290" s="141" t="s">
        <v>595</v>
      </c>
      <c r="G290" s="139">
        <v>3</v>
      </c>
      <c r="H290" s="139">
        <v>2020</v>
      </c>
      <c r="I290" s="140">
        <v>139463</v>
      </c>
      <c r="J290" s="141" t="s">
        <v>595</v>
      </c>
      <c r="K290" s="154">
        <v>1</v>
      </c>
      <c r="L290" s="139">
        <v>2021</v>
      </c>
      <c r="M290" s="140">
        <v>-10</v>
      </c>
      <c r="N290" s="141" t="s">
        <v>700</v>
      </c>
      <c r="O290" s="139">
        <v>3</v>
      </c>
      <c r="P290" s="139">
        <v>2021</v>
      </c>
      <c r="Q290" s="140">
        <v>123675</v>
      </c>
      <c r="R290" s="141" t="s">
        <v>595</v>
      </c>
      <c r="S290" s="139"/>
      <c r="T290" s="139"/>
      <c r="U290" s="140"/>
      <c r="V290" s="141" t="s">
        <v>595</v>
      </c>
      <c r="W290" s="139"/>
      <c r="X290" s="139"/>
      <c r="Y290" s="140"/>
    </row>
    <row r="291" spans="1:25" x14ac:dyDescent="0.25">
      <c r="A291" s="142" t="s">
        <v>449</v>
      </c>
      <c r="B291" s="138">
        <f>_xlfn.XLOOKUP(A291,'[2]FRV Output'!$B:$B,'[2]FRV Output'!$F:$F)</f>
        <v>1568454262</v>
      </c>
      <c r="C291" s="139">
        <v>3</v>
      </c>
      <c r="D291" s="139">
        <v>2016</v>
      </c>
      <c r="E291" s="140">
        <v>119243</v>
      </c>
      <c r="F291" s="141" t="s">
        <v>595</v>
      </c>
      <c r="G291" s="139">
        <v>1</v>
      </c>
      <c r="H291" s="139">
        <v>2017</v>
      </c>
      <c r="I291" s="140">
        <v>16</v>
      </c>
      <c r="J291" s="141" t="s">
        <v>595</v>
      </c>
      <c r="K291" s="139">
        <v>2</v>
      </c>
      <c r="L291" s="139">
        <v>2017</v>
      </c>
      <c r="M291" s="140">
        <v>84</v>
      </c>
      <c r="N291" s="141" t="s">
        <v>595</v>
      </c>
      <c r="O291" s="139">
        <v>3</v>
      </c>
      <c r="P291" s="139">
        <v>2017</v>
      </c>
      <c r="Q291" s="140">
        <v>62998</v>
      </c>
      <c r="R291" s="141" t="s">
        <v>595</v>
      </c>
      <c r="S291" s="139">
        <v>3</v>
      </c>
      <c r="T291" s="139">
        <v>2019</v>
      </c>
      <c r="U291" s="140">
        <v>65491</v>
      </c>
      <c r="V291" s="141" t="s">
        <v>595</v>
      </c>
      <c r="W291" s="139"/>
      <c r="X291" s="139"/>
      <c r="Y291" s="140"/>
    </row>
    <row r="292" spans="1:25" x14ac:dyDescent="0.25">
      <c r="A292" s="138" t="s">
        <v>740</v>
      </c>
      <c r="B292" s="138">
        <f>_xlfn.XLOOKUP(A292,'[2]FRV Output'!$B:$B,'[2]FRV Output'!$F:$F)</f>
        <v>1187450150</v>
      </c>
      <c r="C292" s="139"/>
      <c r="D292" s="139"/>
      <c r="E292" s="140"/>
      <c r="F292" s="141" t="s">
        <v>595</v>
      </c>
      <c r="G292" s="139"/>
      <c r="H292" s="139"/>
      <c r="I292" s="140"/>
      <c r="J292" s="141" t="s">
        <v>595</v>
      </c>
      <c r="K292" s="139"/>
      <c r="L292" s="139"/>
      <c r="M292" s="140"/>
      <c r="N292" s="141" t="s">
        <v>595</v>
      </c>
      <c r="O292" s="139"/>
      <c r="P292" s="139"/>
      <c r="Q292" s="140"/>
      <c r="R292" s="141" t="s">
        <v>595</v>
      </c>
      <c r="S292" s="139"/>
      <c r="T292" s="139"/>
      <c r="U292" s="140"/>
      <c r="V292" s="141" t="s">
        <v>595</v>
      </c>
      <c r="W292" s="139"/>
      <c r="X292" s="139"/>
      <c r="Y292" s="140"/>
    </row>
    <row r="293" spans="1:25" x14ac:dyDescent="0.25">
      <c r="A293" s="142" t="s">
        <v>450</v>
      </c>
      <c r="B293" s="138">
        <f>_xlfn.XLOOKUP(A293,'[2]FRV Output'!$B:$B,'[2]FRV Output'!$F:$F)</f>
        <v>1811920267</v>
      </c>
      <c r="C293" s="139">
        <v>3</v>
      </c>
      <c r="D293" s="139">
        <v>2016</v>
      </c>
      <c r="E293" s="140">
        <v>171512</v>
      </c>
      <c r="F293" s="141" t="s">
        <v>595</v>
      </c>
      <c r="G293" s="139">
        <v>3</v>
      </c>
      <c r="H293" s="139">
        <v>2018</v>
      </c>
      <c r="I293" s="140">
        <v>103088</v>
      </c>
      <c r="J293" s="141" t="s">
        <v>595</v>
      </c>
      <c r="K293" s="139">
        <v>3</v>
      </c>
      <c r="L293" s="139">
        <v>2019</v>
      </c>
      <c r="M293" s="140">
        <v>202166</v>
      </c>
      <c r="N293" s="141" t="s">
        <v>595</v>
      </c>
      <c r="O293" s="139">
        <v>3</v>
      </c>
      <c r="P293" s="139">
        <v>2020</v>
      </c>
      <c r="Q293" s="140">
        <v>90027</v>
      </c>
      <c r="R293" s="141" t="s">
        <v>595</v>
      </c>
      <c r="S293" s="139">
        <v>3</v>
      </c>
      <c r="T293" s="139">
        <v>2021</v>
      </c>
      <c r="U293" s="140">
        <v>175526</v>
      </c>
      <c r="V293" s="141" t="s">
        <v>595</v>
      </c>
      <c r="W293" s="139"/>
      <c r="X293" s="139"/>
      <c r="Y293" s="140"/>
    </row>
    <row r="294" spans="1:25" x14ac:dyDescent="0.25">
      <c r="A294" s="142" t="s">
        <v>451</v>
      </c>
      <c r="B294" s="138">
        <f>_xlfn.XLOOKUP(A294,'[2]FRV Output'!$B:$B,'[2]FRV Output'!$F:$F)</f>
        <v>1669023685</v>
      </c>
      <c r="C294" s="139">
        <v>3</v>
      </c>
      <c r="D294" s="139">
        <v>2016</v>
      </c>
      <c r="E294" s="140">
        <v>94205</v>
      </c>
      <c r="F294" s="141" t="s">
        <v>595</v>
      </c>
      <c r="G294" s="139">
        <v>3</v>
      </c>
      <c r="H294" s="139">
        <v>2017</v>
      </c>
      <c r="I294" s="140">
        <v>163461</v>
      </c>
      <c r="J294" s="141" t="s">
        <v>595</v>
      </c>
      <c r="K294" s="139">
        <v>3</v>
      </c>
      <c r="L294" s="139">
        <v>2018</v>
      </c>
      <c r="M294" s="140">
        <v>120103</v>
      </c>
      <c r="N294" s="141" t="s">
        <v>595</v>
      </c>
      <c r="O294" s="139">
        <v>3</v>
      </c>
      <c r="P294" s="139">
        <v>2019</v>
      </c>
      <c r="Q294" s="140">
        <v>563590</v>
      </c>
      <c r="R294" s="141" t="s">
        <v>595</v>
      </c>
      <c r="S294" s="139">
        <v>3</v>
      </c>
      <c r="T294" s="139">
        <v>2020</v>
      </c>
      <c r="U294" s="140">
        <v>421921</v>
      </c>
      <c r="V294" s="141" t="s">
        <v>595</v>
      </c>
      <c r="W294" s="139"/>
      <c r="X294" s="139"/>
      <c r="Y294" s="140"/>
    </row>
    <row r="295" spans="1:25" x14ac:dyDescent="0.25">
      <c r="A295" s="142" t="s">
        <v>452</v>
      </c>
      <c r="B295" s="138">
        <f>_xlfn.XLOOKUP(A295,'[2]FRV Output'!$B:$B,'[2]FRV Output'!$F:$F)</f>
        <v>1053380626</v>
      </c>
      <c r="C295" s="139">
        <v>3</v>
      </c>
      <c r="D295" s="139">
        <v>2016</v>
      </c>
      <c r="E295" s="140">
        <v>75226</v>
      </c>
      <c r="F295" s="141" t="s">
        <v>595</v>
      </c>
      <c r="G295" s="139">
        <v>3</v>
      </c>
      <c r="H295" s="139">
        <v>2019</v>
      </c>
      <c r="I295" s="140">
        <v>184670</v>
      </c>
      <c r="J295" s="141" t="s">
        <v>595</v>
      </c>
      <c r="K295" s="139"/>
      <c r="L295" s="139"/>
      <c r="M295" s="140"/>
      <c r="N295" s="141" t="s">
        <v>595</v>
      </c>
      <c r="O295" s="139"/>
      <c r="P295" s="139"/>
      <c r="Q295" s="140"/>
      <c r="R295" s="141" t="s">
        <v>595</v>
      </c>
      <c r="S295" s="139"/>
      <c r="T295" s="139"/>
      <c r="U295" s="140"/>
      <c r="V295" s="141" t="s">
        <v>595</v>
      </c>
      <c r="W295" s="139"/>
      <c r="X295" s="139"/>
      <c r="Y295" s="140"/>
    </row>
    <row r="296" spans="1:25" x14ac:dyDescent="0.25">
      <c r="A296" s="138" t="s">
        <v>453</v>
      </c>
      <c r="B296" s="138">
        <f>_xlfn.XLOOKUP(A296,'[2]FRV Output'!$B:$B,'[2]FRV Output'!$F:$F)</f>
        <v>1346241627</v>
      </c>
      <c r="C296" s="139">
        <v>2</v>
      </c>
      <c r="D296" s="139">
        <v>2017</v>
      </c>
      <c r="E296" s="140">
        <v>58</v>
      </c>
      <c r="F296" s="141" t="s">
        <v>595</v>
      </c>
      <c r="G296" s="139"/>
      <c r="H296" s="139"/>
      <c r="I296" s="140"/>
      <c r="J296" s="141" t="s">
        <v>595</v>
      </c>
      <c r="K296" s="139"/>
      <c r="L296" s="139"/>
      <c r="M296" s="140"/>
      <c r="N296" s="141" t="s">
        <v>595</v>
      </c>
      <c r="O296" s="139"/>
      <c r="P296" s="139"/>
      <c r="Q296" s="140"/>
      <c r="R296" s="141" t="s">
        <v>595</v>
      </c>
      <c r="S296" s="139"/>
      <c r="T296" s="139"/>
      <c r="U296" s="140"/>
      <c r="V296" s="141" t="s">
        <v>595</v>
      </c>
      <c r="W296" s="139"/>
      <c r="X296" s="139"/>
      <c r="Y296" s="140"/>
    </row>
    <row r="297" spans="1:25" x14ac:dyDescent="0.25">
      <c r="A297" s="138" t="s">
        <v>741</v>
      </c>
      <c r="B297" s="138">
        <f>_xlfn.XLOOKUP(A297,'[2]FRV Output'!$B:$B,'[2]FRV Output'!$F:$F)</f>
        <v>1316921190</v>
      </c>
      <c r="C297" s="139"/>
      <c r="D297" s="139"/>
      <c r="E297" s="140"/>
      <c r="F297" s="141" t="s">
        <v>595</v>
      </c>
      <c r="G297" s="139"/>
      <c r="H297" s="139"/>
      <c r="I297" s="140"/>
      <c r="J297" s="141" t="s">
        <v>595</v>
      </c>
      <c r="K297" s="139"/>
      <c r="L297" s="139"/>
      <c r="M297" s="140"/>
      <c r="N297" s="141" t="s">
        <v>595</v>
      </c>
      <c r="O297" s="139"/>
      <c r="P297" s="139"/>
      <c r="Q297" s="140"/>
      <c r="R297" s="141" t="s">
        <v>595</v>
      </c>
      <c r="S297" s="139"/>
      <c r="T297" s="139"/>
      <c r="U297" s="140"/>
      <c r="V297" s="141" t="s">
        <v>595</v>
      </c>
      <c r="W297" s="139"/>
      <c r="X297" s="139"/>
      <c r="Y297" s="140"/>
    </row>
    <row r="298" spans="1:25" x14ac:dyDescent="0.25">
      <c r="A298" s="138" t="s">
        <v>742</v>
      </c>
      <c r="B298" s="138">
        <f>_xlfn.XLOOKUP(A298,'[2]FRV Output'!$B:$B,'[2]FRV Output'!$F:$F)</f>
        <v>1740278126</v>
      </c>
      <c r="C298" s="139"/>
      <c r="D298" s="139"/>
      <c r="E298" s="140"/>
      <c r="F298" s="141" t="s">
        <v>595</v>
      </c>
      <c r="G298" s="139"/>
      <c r="H298" s="139"/>
      <c r="I298" s="140"/>
      <c r="J298" s="141" t="s">
        <v>595</v>
      </c>
      <c r="K298" s="139"/>
      <c r="L298" s="139"/>
      <c r="M298" s="140"/>
      <c r="N298" s="141" t="s">
        <v>595</v>
      </c>
      <c r="O298" s="139"/>
      <c r="P298" s="139"/>
      <c r="Q298" s="140"/>
      <c r="R298" s="141" t="s">
        <v>595</v>
      </c>
      <c r="S298" s="139"/>
      <c r="T298" s="139"/>
      <c r="U298" s="140"/>
      <c r="V298" s="141" t="s">
        <v>595</v>
      </c>
      <c r="W298" s="139"/>
      <c r="X298" s="139"/>
      <c r="Y298" s="140"/>
    </row>
    <row r="299" spans="1:25" x14ac:dyDescent="0.25">
      <c r="A299" s="142" t="s">
        <v>456</v>
      </c>
      <c r="B299" s="138">
        <f>_xlfn.XLOOKUP(A299,'[2]FRV Output'!$B:$B,'[2]FRV Output'!$F:$F)</f>
        <v>1740386473</v>
      </c>
      <c r="C299" s="139">
        <v>3</v>
      </c>
      <c r="D299" s="139">
        <v>2016</v>
      </c>
      <c r="E299" s="140">
        <v>41854</v>
      </c>
      <c r="F299" s="141" t="s">
        <v>595</v>
      </c>
      <c r="G299" s="139">
        <v>3</v>
      </c>
      <c r="H299" s="139">
        <v>2019</v>
      </c>
      <c r="I299" s="140">
        <v>272849</v>
      </c>
      <c r="J299" s="141" t="s">
        <v>595</v>
      </c>
      <c r="K299" s="139">
        <v>3</v>
      </c>
      <c r="L299" s="139">
        <v>2020</v>
      </c>
      <c r="M299" s="140">
        <v>2172941</v>
      </c>
      <c r="N299" s="141" t="s">
        <v>595</v>
      </c>
      <c r="O299" s="139">
        <v>3</v>
      </c>
      <c r="P299" s="139">
        <v>2021</v>
      </c>
      <c r="Q299" s="140">
        <v>95175</v>
      </c>
      <c r="R299" s="141" t="s">
        <v>595</v>
      </c>
      <c r="S299" s="139"/>
      <c r="T299" s="139"/>
      <c r="U299" s="140"/>
      <c r="V299" s="141" t="s">
        <v>595</v>
      </c>
      <c r="W299" s="139"/>
      <c r="X299" s="139"/>
      <c r="Y299" s="140"/>
    </row>
    <row r="300" spans="1:25" x14ac:dyDescent="0.25">
      <c r="A300" s="142" t="s">
        <v>457</v>
      </c>
      <c r="B300" s="138">
        <f>_xlfn.XLOOKUP(A300,'[2]FRV Output'!$B:$B,'[2]FRV Output'!$F:$F)</f>
        <v>1689628141</v>
      </c>
      <c r="C300" s="139">
        <v>3</v>
      </c>
      <c r="D300" s="139">
        <v>2019</v>
      </c>
      <c r="E300" s="140">
        <v>376372</v>
      </c>
      <c r="F300" s="141" t="s">
        <v>595</v>
      </c>
      <c r="G300" s="139">
        <v>3</v>
      </c>
      <c r="H300" s="139">
        <v>2020</v>
      </c>
      <c r="I300" s="140">
        <v>2060562</v>
      </c>
      <c r="J300" s="141" t="s">
        <v>595</v>
      </c>
      <c r="K300" s="139"/>
      <c r="L300" s="139"/>
      <c r="M300" s="140"/>
      <c r="N300" s="141" t="s">
        <v>595</v>
      </c>
      <c r="O300" s="139"/>
      <c r="P300" s="139"/>
      <c r="Q300" s="140"/>
      <c r="R300" s="141" t="s">
        <v>595</v>
      </c>
      <c r="S300" s="139"/>
      <c r="T300" s="139"/>
      <c r="U300" s="140"/>
      <c r="V300" s="141" t="s">
        <v>595</v>
      </c>
      <c r="W300" s="139"/>
      <c r="X300" s="139"/>
      <c r="Y300" s="140"/>
    </row>
    <row r="301" spans="1:25" x14ac:dyDescent="0.25">
      <c r="A301" s="142" t="s">
        <v>743</v>
      </c>
      <c r="B301" s="138">
        <f>_xlfn.XLOOKUP(A301,'[2]FRV Output'!$B:$B,'[2]FRV Output'!$F:$F)</f>
        <v>1316351034</v>
      </c>
      <c r="C301" s="139">
        <v>3</v>
      </c>
      <c r="D301" s="139">
        <v>2016</v>
      </c>
      <c r="E301" s="140">
        <v>247780</v>
      </c>
      <c r="F301" s="141" t="s">
        <v>595</v>
      </c>
      <c r="G301" s="139">
        <v>3</v>
      </c>
      <c r="H301" s="139">
        <v>2017</v>
      </c>
      <c r="I301" s="140">
        <v>484285</v>
      </c>
      <c r="J301" s="141" t="s">
        <v>595</v>
      </c>
      <c r="K301" s="139">
        <v>3</v>
      </c>
      <c r="L301" s="139">
        <v>2018</v>
      </c>
      <c r="M301" s="140">
        <v>167925</v>
      </c>
      <c r="N301" s="141" t="s">
        <v>595</v>
      </c>
      <c r="O301" s="139">
        <v>3</v>
      </c>
      <c r="P301" s="139">
        <v>2019</v>
      </c>
      <c r="Q301" s="140">
        <v>127143</v>
      </c>
      <c r="R301" s="141" t="s">
        <v>595</v>
      </c>
      <c r="S301" s="139">
        <v>3</v>
      </c>
      <c r="T301" s="139">
        <v>2020</v>
      </c>
      <c r="U301" s="140">
        <v>151558</v>
      </c>
      <c r="V301" s="141" t="s">
        <v>595</v>
      </c>
      <c r="W301" s="139">
        <v>3</v>
      </c>
      <c r="X301" s="139">
        <v>2021</v>
      </c>
      <c r="Y301" s="140">
        <v>85423</v>
      </c>
    </row>
    <row r="302" spans="1:25" x14ac:dyDescent="0.25">
      <c r="A302" s="142" t="s">
        <v>744</v>
      </c>
      <c r="B302" s="138">
        <f>_xlfn.XLOOKUP(A302,'[2]FRV Output'!$B:$B,'[2]FRV Output'!$F:$F)</f>
        <v>1437564739</v>
      </c>
      <c r="C302" s="139">
        <v>3</v>
      </c>
      <c r="D302" s="139">
        <v>2016</v>
      </c>
      <c r="E302" s="140">
        <v>490753</v>
      </c>
      <c r="F302" s="141" t="s">
        <v>595</v>
      </c>
      <c r="G302" s="139">
        <v>3</v>
      </c>
      <c r="H302" s="139">
        <v>2019</v>
      </c>
      <c r="I302" s="140">
        <v>160606</v>
      </c>
      <c r="J302" s="141" t="s">
        <v>595</v>
      </c>
      <c r="K302" s="139">
        <v>3</v>
      </c>
      <c r="L302" s="139">
        <v>2020</v>
      </c>
      <c r="M302" s="140">
        <v>68158</v>
      </c>
      <c r="N302" s="141" t="s">
        <v>595</v>
      </c>
      <c r="O302" s="139">
        <v>3</v>
      </c>
      <c r="P302" s="139">
        <v>2021</v>
      </c>
      <c r="Q302" s="140">
        <v>97519</v>
      </c>
      <c r="R302" s="141" t="s">
        <v>595</v>
      </c>
      <c r="S302" s="139"/>
      <c r="T302" s="139"/>
      <c r="U302" s="140"/>
      <c r="V302" s="141" t="s">
        <v>595</v>
      </c>
      <c r="W302" s="139"/>
      <c r="X302" s="139"/>
      <c r="Y302" s="140"/>
    </row>
    <row r="303" spans="1:25" x14ac:dyDescent="0.25">
      <c r="A303" s="142" t="s">
        <v>745</v>
      </c>
      <c r="B303" s="138">
        <f>_xlfn.XLOOKUP(A303,'[2]FRV Output'!$B:$B,'[2]FRV Output'!$F:$F)</f>
        <v>1649685132</v>
      </c>
      <c r="C303" s="139">
        <v>3</v>
      </c>
      <c r="D303" s="139">
        <v>2016</v>
      </c>
      <c r="E303" s="140">
        <v>524476</v>
      </c>
      <c r="F303" s="141" t="s">
        <v>595</v>
      </c>
      <c r="G303" s="139">
        <v>3</v>
      </c>
      <c r="H303" s="139">
        <v>2019</v>
      </c>
      <c r="I303" s="140">
        <v>276347</v>
      </c>
      <c r="J303" s="141" t="s">
        <v>595</v>
      </c>
      <c r="K303" s="139">
        <v>3</v>
      </c>
      <c r="L303" s="139">
        <v>2020</v>
      </c>
      <c r="M303" s="140">
        <v>77584</v>
      </c>
      <c r="N303" s="141" t="s">
        <v>595</v>
      </c>
      <c r="O303" s="139">
        <v>3</v>
      </c>
      <c r="P303" s="139">
        <v>2021</v>
      </c>
      <c r="Q303" s="140">
        <v>87509</v>
      </c>
      <c r="R303" s="141" t="s">
        <v>595</v>
      </c>
      <c r="S303" s="139"/>
      <c r="T303" s="139"/>
      <c r="U303" s="140"/>
      <c r="V303" s="141" t="s">
        <v>595</v>
      </c>
      <c r="W303" s="139"/>
      <c r="X303" s="139"/>
      <c r="Y303" s="140"/>
    </row>
    <row r="304" spans="1:25" x14ac:dyDescent="0.25">
      <c r="A304" s="142" t="s">
        <v>461</v>
      </c>
      <c r="B304" s="138">
        <f>_xlfn.XLOOKUP(A304,'[2]FRV Output'!$B:$B,'[2]FRV Output'!$F:$F)</f>
        <v>1063838381</v>
      </c>
      <c r="C304" s="139">
        <v>3</v>
      </c>
      <c r="D304" s="139">
        <v>2019</v>
      </c>
      <c r="E304" s="140">
        <v>61521</v>
      </c>
      <c r="F304" s="141" t="s">
        <v>595</v>
      </c>
      <c r="G304" s="139">
        <v>3</v>
      </c>
      <c r="H304" s="139">
        <v>2020</v>
      </c>
      <c r="I304" s="140">
        <v>84478</v>
      </c>
      <c r="J304" s="141" t="s">
        <v>595</v>
      </c>
      <c r="K304" s="139">
        <v>3</v>
      </c>
      <c r="L304" s="139">
        <v>2021</v>
      </c>
      <c r="M304" s="140">
        <v>291646</v>
      </c>
      <c r="N304" s="141" t="s">
        <v>595</v>
      </c>
      <c r="O304" s="139"/>
      <c r="P304" s="139"/>
      <c r="Q304" s="140"/>
      <c r="R304" s="141" t="s">
        <v>595</v>
      </c>
      <c r="S304" s="139"/>
      <c r="T304" s="139"/>
      <c r="U304" s="140"/>
      <c r="V304" s="141" t="s">
        <v>595</v>
      </c>
      <c r="W304" s="139"/>
      <c r="X304" s="139"/>
      <c r="Y304" s="140"/>
    </row>
    <row r="305" spans="1:25" x14ac:dyDescent="0.25">
      <c r="A305" s="138" t="s">
        <v>746</v>
      </c>
      <c r="B305" s="138">
        <f>_xlfn.XLOOKUP(A305,'[2]FRV Output'!$B:$B,'[2]FRV Output'!$F:$F)</f>
        <v>1003869983</v>
      </c>
      <c r="C305" s="139">
        <v>3</v>
      </c>
      <c r="D305" s="139">
        <v>2020</v>
      </c>
      <c r="E305" s="140">
        <v>279073</v>
      </c>
      <c r="F305" s="141" t="s">
        <v>595</v>
      </c>
      <c r="G305" s="139">
        <v>3</v>
      </c>
      <c r="H305" s="139">
        <v>2021</v>
      </c>
      <c r="I305" s="140">
        <v>203809</v>
      </c>
      <c r="J305" s="141" t="s">
        <v>595</v>
      </c>
      <c r="K305" s="139"/>
      <c r="L305" s="139"/>
      <c r="M305" s="140"/>
      <c r="N305" s="141" t="s">
        <v>595</v>
      </c>
      <c r="O305" s="139"/>
      <c r="P305" s="139"/>
      <c r="Q305" s="140"/>
      <c r="R305" s="141" t="s">
        <v>595</v>
      </c>
      <c r="S305" s="139"/>
      <c r="T305" s="139"/>
      <c r="U305" s="140"/>
      <c r="V305" s="141" t="s">
        <v>595</v>
      </c>
      <c r="W305" s="139"/>
      <c r="X305" s="139"/>
      <c r="Y305" s="140"/>
    </row>
    <row r="306" spans="1:25" x14ac:dyDescent="0.25">
      <c r="A306" s="142" t="s">
        <v>463</v>
      </c>
      <c r="B306" s="138">
        <f>_xlfn.XLOOKUP(A306,'[2]FRV Output'!$B:$B,'[2]FRV Output'!$F:$F)</f>
        <v>1093708497</v>
      </c>
      <c r="C306" s="139">
        <v>3</v>
      </c>
      <c r="D306" s="139">
        <v>2017</v>
      </c>
      <c r="E306" s="140">
        <v>215034</v>
      </c>
      <c r="F306" s="141" t="s">
        <v>595</v>
      </c>
      <c r="G306" s="139">
        <v>3</v>
      </c>
      <c r="H306" s="139">
        <v>2018</v>
      </c>
      <c r="I306" s="140">
        <v>267748</v>
      </c>
      <c r="J306" s="141" t="s">
        <v>595</v>
      </c>
      <c r="K306" s="139">
        <v>3</v>
      </c>
      <c r="L306" s="139">
        <v>2019</v>
      </c>
      <c r="M306" s="140">
        <v>199321</v>
      </c>
      <c r="N306" s="141" t="s">
        <v>595</v>
      </c>
      <c r="O306" s="139">
        <v>3</v>
      </c>
      <c r="P306" s="139">
        <v>2020</v>
      </c>
      <c r="Q306" s="140">
        <v>65839</v>
      </c>
      <c r="R306" s="141" t="s">
        <v>595</v>
      </c>
      <c r="S306" s="139"/>
      <c r="T306" s="139"/>
      <c r="U306" s="140"/>
      <c r="V306" s="141" t="s">
        <v>595</v>
      </c>
      <c r="W306" s="139"/>
      <c r="X306" s="139"/>
      <c r="Y306" s="140"/>
    </row>
    <row r="307" spans="1:25" x14ac:dyDescent="0.25">
      <c r="A307" s="142" t="s">
        <v>464</v>
      </c>
      <c r="B307" s="138">
        <f>_xlfn.XLOOKUP(A307,'[2]FRV Output'!$B:$B,'[2]FRV Output'!$F:$F)</f>
        <v>1295733517</v>
      </c>
      <c r="C307" s="139">
        <v>3</v>
      </c>
      <c r="D307" s="139">
        <v>2016</v>
      </c>
      <c r="E307" s="140">
        <v>350278</v>
      </c>
      <c r="F307" s="141" t="s">
        <v>595</v>
      </c>
      <c r="G307" s="139">
        <v>3</v>
      </c>
      <c r="H307" s="139">
        <v>2017</v>
      </c>
      <c r="I307" s="140">
        <v>103881</v>
      </c>
      <c r="J307" s="141" t="s">
        <v>595</v>
      </c>
      <c r="K307" s="139">
        <v>3</v>
      </c>
      <c r="L307" s="139">
        <v>2018</v>
      </c>
      <c r="M307" s="140">
        <v>3656620</v>
      </c>
      <c r="N307" s="141" t="s">
        <v>595</v>
      </c>
      <c r="O307" s="139">
        <v>3</v>
      </c>
      <c r="P307" s="139">
        <v>2019</v>
      </c>
      <c r="Q307" s="140">
        <v>136952</v>
      </c>
      <c r="R307" s="141" t="s">
        <v>595</v>
      </c>
      <c r="S307" s="139">
        <v>3</v>
      </c>
      <c r="T307" s="139">
        <v>2020</v>
      </c>
      <c r="U307" s="140">
        <v>54703</v>
      </c>
      <c r="V307" s="141" t="s">
        <v>595</v>
      </c>
      <c r="W307" s="139"/>
      <c r="X307" s="139"/>
      <c r="Y307" s="140"/>
    </row>
    <row r="308" spans="1:25" x14ac:dyDescent="0.25">
      <c r="A308" s="138" t="s">
        <v>747</v>
      </c>
      <c r="B308" s="138">
        <f>_xlfn.XLOOKUP(A308,'[2]FRV Output'!$B:$B,'[2]FRV Output'!$F:$F)</f>
        <v>1649268335</v>
      </c>
      <c r="C308" s="139">
        <v>3</v>
      </c>
      <c r="D308" s="139">
        <v>2016</v>
      </c>
      <c r="E308" s="140">
        <v>141906</v>
      </c>
      <c r="F308" s="141" t="s">
        <v>595</v>
      </c>
      <c r="G308" s="139">
        <v>3</v>
      </c>
      <c r="H308" s="139">
        <v>2017</v>
      </c>
      <c r="I308" s="140">
        <v>201251</v>
      </c>
      <c r="J308" s="141" t="s">
        <v>595</v>
      </c>
      <c r="K308" s="139">
        <v>3</v>
      </c>
      <c r="L308" s="139">
        <v>2018</v>
      </c>
      <c r="M308" s="140">
        <v>100640</v>
      </c>
      <c r="N308" s="141" t="s">
        <v>595</v>
      </c>
      <c r="O308" s="139">
        <v>3</v>
      </c>
      <c r="P308" s="139">
        <v>2021</v>
      </c>
      <c r="Q308" s="140">
        <v>104207</v>
      </c>
      <c r="R308" s="141" t="s">
        <v>595</v>
      </c>
      <c r="S308" s="139"/>
      <c r="T308" s="139"/>
      <c r="U308" s="140"/>
      <c r="V308" s="141" t="s">
        <v>595</v>
      </c>
      <c r="W308" s="139"/>
      <c r="X308" s="139"/>
      <c r="Y308" s="140"/>
    </row>
    <row r="309" spans="1:25" x14ac:dyDescent="0.25">
      <c r="A309" s="138" t="s">
        <v>748</v>
      </c>
      <c r="B309" s="138">
        <f>_xlfn.XLOOKUP(A309,'[2]FRV Output'!$B:$B,'[2]FRV Output'!$F:$F)</f>
        <v>1861504946</v>
      </c>
      <c r="C309" s="139">
        <v>3</v>
      </c>
      <c r="D309" s="139">
        <v>2021</v>
      </c>
      <c r="E309" s="140">
        <v>69721</v>
      </c>
      <c r="F309" s="141" t="s">
        <v>595</v>
      </c>
      <c r="G309" s="139"/>
      <c r="H309" s="139"/>
      <c r="I309" s="140"/>
      <c r="J309" s="141" t="s">
        <v>595</v>
      </c>
      <c r="K309" s="139"/>
      <c r="L309" s="139"/>
      <c r="M309" s="140"/>
      <c r="N309" s="141" t="s">
        <v>595</v>
      </c>
      <c r="O309" s="139"/>
      <c r="P309" s="139"/>
      <c r="Q309" s="140"/>
      <c r="R309" s="141" t="s">
        <v>595</v>
      </c>
      <c r="S309" s="139"/>
      <c r="T309" s="139"/>
      <c r="U309" s="140"/>
      <c r="V309" s="141" t="s">
        <v>595</v>
      </c>
      <c r="W309" s="139"/>
      <c r="X309" s="139"/>
      <c r="Y309" s="140"/>
    </row>
    <row r="310" spans="1:25" x14ac:dyDescent="0.25">
      <c r="A310" s="138" t="s">
        <v>467</v>
      </c>
      <c r="B310" s="138">
        <f>_xlfn.XLOOKUP(A310,'[2]FRV Output'!$B:$B,'[2]FRV Output'!$F:$F)</f>
        <v>1053395210</v>
      </c>
      <c r="C310" s="139"/>
      <c r="D310" s="139"/>
      <c r="E310" s="140"/>
      <c r="F310" s="141" t="s">
        <v>595</v>
      </c>
      <c r="G310" s="139"/>
      <c r="H310" s="139"/>
      <c r="I310" s="140"/>
      <c r="J310" s="141" t="s">
        <v>595</v>
      </c>
      <c r="K310" s="139"/>
      <c r="L310" s="139"/>
      <c r="M310" s="140"/>
      <c r="N310" s="141" t="s">
        <v>595</v>
      </c>
      <c r="O310" s="139"/>
      <c r="P310" s="139"/>
      <c r="Q310" s="140"/>
      <c r="R310" s="141" t="s">
        <v>595</v>
      </c>
      <c r="S310" s="139"/>
      <c r="T310" s="139"/>
      <c r="U310" s="140"/>
      <c r="V310" s="141" t="s">
        <v>595</v>
      </c>
      <c r="W310" s="139"/>
      <c r="X310" s="139"/>
      <c r="Y310" s="140"/>
    </row>
    <row r="311" spans="1:25" x14ac:dyDescent="0.25">
      <c r="A311" s="142" t="s">
        <v>749</v>
      </c>
      <c r="B311" s="138">
        <f>_xlfn.XLOOKUP(A311,'[2]FRV Output'!$B:$B,'[2]FRV Output'!$F:$F)</f>
        <v>1437110913</v>
      </c>
      <c r="C311" s="139"/>
      <c r="D311" s="139"/>
      <c r="E311" s="140"/>
      <c r="F311" s="141" t="s">
        <v>595</v>
      </c>
      <c r="G311" s="139"/>
      <c r="H311" s="139"/>
      <c r="I311" s="140"/>
      <c r="J311" s="141" t="s">
        <v>595</v>
      </c>
      <c r="K311" s="139"/>
      <c r="L311" s="139"/>
      <c r="M311" s="140"/>
      <c r="N311" s="141" t="s">
        <v>595</v>
      </c>
      <c r="O311" s="139"/>
      <c r="P311" s="139"/>
      <c r="Q311" s="140"/>
      <c r="R311" s="141" t="s">
        <v>595</v>
      </c>
      <c r="S311" s="139"/>
      <c r="T311" s="139"/>
      <c r="U311" s="140"/>
      <c r="V311" s="141" t="s">
        <v>595</v>
      </c>
      <c r="W311" s="139"/>
      <c r="X311" s="139"/>
      <c r="Y311" s="140"/>
    </row>
    <row r="312" spans="1:25" x14ac:dyDescent="0.25">
      <c r="A312" s="138" t="s">
        <v>750</v>
      </c>
      <c r="B312" s="138">
        <f>_xlfn.XLOOKUP(A312,'[2]FRV Output'!$B:$B,'[2]FRV Output'!$F:$F)</f>
        <v>1457709891</v>
      </c>
      <c r="C312" s="139"/>
      <c r="D312" s="139"/>
      <c r="E312" s="140"/>
      <c r="F312" s="141" t="s">
        <v>595</v>
      </c>
      <c r="G312" s="139"/>
      <c r="H312" s="139"/>
      <c r="I312" s="140"/>
      <c r="J312" s="141" t="s">
        <v>595</v>
      </c>
      <c r="K312" s="139"/>
      <c r="L312" s="139"/>
      <c r="M312" s="140"/>
      <c r="N312" s="141" t="s">
        <v>595</v>
      </c>
      <c r="O312" s="139"/>
      <c r="P312" s="139"/>
      <c r="Q312" s="140"/>
      <c r="R312" s="141" t="s">
        <v>595</v>
      </c>
      <c r="S312" s="139"/>
      <c r="T312" s="139"/>
      <c r="U312" s="140"/>
      <c r="V312" s="141" t="s">
        <v>595</v>
      </c>
      <c r="W312" s="139"/>
      <c r="X312" s="139"/>
      <c r="Y312" s="140"/>
    </row>
    <row r="313" spans="1:25" x14ac:dyDescent="0.25">
      <c r="A313" s="138" t="s">
        <v>468</v>
      </c>
      <c r="B313" s="138">
        <f>_xlfn.XLOOKUP(A313,'[2]FRV Output'!$B:$B,'[2]FRV Output'!$F:$F)</f>
        <v>1043263981</v>
      </c>
      <c r="C313" s="139">
        <v>3</v>
      </c>
      <c r="D313" s="139">
        <v>2021</v>
      </c>
      <c r="E313" s="140">
        <v>608384</v>
      </c>
      <c r="F313" s="141" t="s">
        <v>595</v>
      </c>
      <c r="G313" s="139"/>
      <c r="H313" s="139"/>
      <c r="I313" s="140"/>
      <c r="J313" s="141" t="s">
        <v>595</v>
      </c>
      <c r="K313" s="139"/>
      <c r="L313" s="139"/>
      <c r="M313" s="140"/>
      <c r="N313" s="141" t="s">
        <v>595</v>
      </c>
      <c r="O313" s="139"/>
      <c r="P313" s="139"/>
      <c r="Q313" s="140"/>
      <c r="R313" s="141" t="s">
        <v>595</v>
      </c>
      <c r="S313" s="139"/>
      <c r="T313" s="139"/>
      <c r="U313" s="140"/>
      <c r="V313" s="141" t="s">
        <v>595</v>
      </c>
      <c r="W313" s="139"/>
      <c r="X313" s="139"/>
      <c r="Y313" s="140"/>
    </row>
    <row r="314" spans="1:25" x14ac:dyDescent="0.25">
      <c r="A314" s="142" t="s">
        <v>751</v>
      </c>
      <c r="B314" s="138">
        <f>_xlfn.XLOOKUP(A314,'[2]FRV Output'!$B:$B,'[2]FRV Output'!$F:$F)</f>
        <v>1003205337</v>
      </c>
      <c r="C314" s="139"/>
      <c r="D314" s="139"/>
      <c r="E314" s="140"/>
      <c r="F314" s="148" t="s">
        <v>595</v>
      </c>
      <c r="G314" s="139"/>
      <c r="H314" s="139"/>
      <c r="I314" s="140"/>
      <c r="J314" s="148" t="s">
        <v>595</v>
      </c>
      <c r="K314" s="139"/>
      <c r="L314" s="139"/>
      <c r="M314" s="140"/>
      <c r="N314" s="148" t="s">
        <v>595</v>
      </c>
      <c r="O314" s="139"/>
      <c r="P314" s="139"/>
      <c r="Q314" s="140"/>
      <c r="R314" s="148" t="s">
        <v>595</v>
      </c>
      <c r="S314" s="139"/>
      <c r="T314" s="139"/>
      <c r="U314" s="140"/>
      <c r="V314" s="141" t="s">
        <v>595</v>
      </c>
      <c r="W314" s="139"/>
      <c r="X314" s="139"/>
      <c r="Y314" s="140"/>
    </row>
    <row r="315" spans="1:25" x14ac:dyDescent="0.25">
      <c r="A315" s="138" t="s">
        <v>470</v>
      </c>
      <c r="B315" s="138">
        <f>_xlfn.XLOOKUP(A315,'[2]FRV Output'!$B:$B,'[2]FRV Output'!$F:$F)</f>
        <v>1184712580</v>
      </c>
      <c r="C315" s="139"/>
      <c r="D315" s="139"/>
      <c r="E315" s="140"/>
      <c r="F315" s="141" t="s">
        <v>595</v>
      </c>
      <c r="G315" s="139"/>
      <c r="H315" s="139"/>
      <c r="I315" s="140"/>
      <c r="J315" s="141" t="s">
        <v>595</v>
      </c>
      <c r="K315" s="139"/>
      <c r="L315" s="139"/>
      <c r="M315" s="140"/>
      <c r="N315" s="141" t="s">
        <v>595</v>
      </c>
      <c r="O315" s="139"/>
      <c r="P315" s="139"/>
      <c r="Q315" s="140"/>
      <c r="R315" s="141" t="s">
        <v>595</v>
      </c>
      <c r="S315" s="139"/>
      <c r="T315" s="139"/>
      <c r="U315" s="140"/>
      <c r="V315" s="141" t="s">
        <v>595</v>
      </c>
      <c r="W315" s="139"/>
      <c r="X315" s="139"/>
      <c r="Y315" s="140"/>
    </row>
    <row r="316" spans="1:25" x14ac:dyDescent="0.25">
      <c r="A316" s="142" t="s">
        <v>471</v>
      </c>
      <c r="B316" s="138">
        <f>_xlfn.XLOOKUP(A316,'[2]FRV Output'!$B:$B,'[2]FRV Output'!$F:$F)</f>
        <v>1407843097</v>
      </c>
      <c r="C316" s="139">
        <v>3</v>
      </c>
      <c r="D316" s="139">
        <v>2016</v>
      </c>
      <c r="E316" s="140">
        <v>517730</v>
      </c>
      <c r="F316" s="141" t="s">
        <v>595</v>
      </c>
      <c r="G316" s="139">
        <v>3</v>
      </c>
      <c r="H316" s="139">
        <v>2017</v>
      </c>
      <c r="I316" s="140">
        <v>1413348</v>
      </c>
      <c r="J316" s="141" t="s">
        <v>595</v>
      </c>
      <c r="K316" s="139">
        <v>3</v>
      </c>
      <c r="L316" s="139">
        <v>2018</v>
      </c>
      <c r="M316" s="140">
        <v>1123012</v>
      </c>
      <c r="N316" s="141" t="s">
        <v>595</v>
      </c>
      <c r="O316" s="139">
        <v>3</v>
      </c>
      <c r="P316" s="139">
        <v>2019</v>
      </c>
      <c r="Q316" s="140">
        <v>217110</v>
      </c>
      <c r="R316" s="141" t="s">
        <v>595</v>
      </c>
      <c r="S316" s="139">
        <v>3</v>
      </c>
      <c r="T316" s="139">
        <v>2020</v>
      </c>
      <c r="U316" s="140">
        <v>412593</v>
      </c>
      <c r="V316" s="141" t="s">
        <v>595</v>
      </c>
      <c r="W316" s="139"/>
      <c r="X316" s="139"/>
      <c r="Y316" s="140"/>
    </row>
    <row r="317" spans="1:25" x14ac:dyDescent="0.25">
      <c r="A317" s="142" t="s">
        <v>472</v>
      </c>
      <c r="B317" s="138">
        <f>_xlfn.XLOOKUP(A317,'[2]FRV Output'!$B:$B,'[2]FRV Output'!$F:$F)</f>
        <v>1891346797</v>
      </c>
      <c r="C317" s="139">
        <v>3</v>
      </c>
      <c r="D317" s="139">
        <v>2017</v>
      </c>
      <c r="E317" s="140">
        <v>219419</v>
      </c>
      <c r="F317" s="141" t="s">
        <v>595</v>
      </c>
      <c r="G317" s="139">
        <v>3</v>
      </c>
      <c r="H317" s="139">
        <v>2018</v>
      </c>
      <c r="I317" s="140">
        <v>570779</v>
      </c>
      <c r="J317" s="141" t="s">
        <v>595</v>
      </c>
      <c r="K317" s="139">
        <v>3</v>
      </c>
      <c r="L317" s="139">
        <v>2019</v>
      </c>
      <c r="M317" s="140">
        <v>1186477</v>
      </c>
      <c r="N317" s="141" t="s">
        <v>595</v>
      </c>
      <c r="O317" s="139">
        <v>3</v>
      </c>
      <c r="P317" s="139">
        <v>2020</v>
      </c>
      <c r="Q317" s="140">
        <v>81860</v>
      </c>
      <c r="R317" s="141" t="s">
        <v>595</v>
      </c>
      <c r="S317" s="139"/>
      <c r="T317" s="139"/>
      <c r="U317" s="140"/>
      <c r="V317" s="141" t="s">
        <v>595</v>
      </c>
      <c r="W317" s="139"/>
      <c r="X317" s="139"/>
      <c r="Y317" s="140"/>
    </row>
    <row r="318" spans="1:25" x14ac:dyDescent="0.25">
      <c r="A318" s="148" t="s">
        <v>473</v>
      </c>
      <c r="B318" s="138">
        <f>_xlfn.XLOOKUP(A318,'[2]FRV Output'!$B:$B,'[2]FRV Output'!$F:$F)</f>
        <v>1629511597</v>
      </c>
      <c r="C318" s="139"/>
      <c r="D318" s="139"/>
      <c r="E318" s="140"/>
      <c r="F318" s="141" t="s">
        <v>595</v>
      </c>
      <c r="G318" s="139"/>
      <c r="H318" s="139"/>
      <c r="I318" s="140"/>
      <c r="J318" s="141" t="s">
        <v>595</v>
      </c>
      <c r="K318" s="139"/>
      <c r="L318" s="139"/>
      <c r="M318" s="140"/>
      <c r="N318" s="141" t="s">
        <v>595</v>
      </c>
      <c r="O318" s="139"/>
      <c r="P318" s="139"/>
      <c r="Q318" s="140"/>
      <c r="R318" s="141" t="s">
        <v>595</v>
      </c>
      <c r="S318" s="139"/>
      <c r="T318" s="139"/>
      <c r="U318" s="140"/>
      <c r="V318" s="141" t="s">
        <v>595</v>
      </c>
      <c r="W318" s="139"/>
      <c r="X318" s="139"/>
      <c r="Y318" s="140"/>
    </row>
    <row r="319" spans="1:25" x14ac:dyDescent="0.25">
      <c r="A319" s="142" t="s">
        <v>752</v>
      </c>
      <c r="B319" s="138">
        <f>_xlfn.XLOOKUP(A319,'[2]FRV Output'!$B:$B,'[2]FRV Output'!$F:$F)</f>
        <v>1164725198</v>
      </c>
      <c r="C319" s="139">
        <v>3</v>
      </c>
      <c r="D319" s="139">
        <v>2016</v>
      </c>
      <c r="E319" s="140">
        <v>238920</v>
      </c>
      <c r="F319" s="141" t="s">
        <v>595</v>
      </c>
      <c r="G319" s="139">
        <v>3</v>
      </c>
      <c r="H319" s="139">
        <v>2018</v>
      </c>
      <c r="I319" s="140">
        <v>152356</v>
      </c>
      <c r="J319" s="141" t="s">
        <v>595</v>
      </c>
      <c r="K319" s="139">
        <v>3</v>
      </c>
      <c r="L319" s="139">
        <v>2019</v>
      </c>
      <c r="M319" s="140">
        <v>92669</v>
      </c>
      <c r="N319" s="141" t="s">
        <v>595</v>
      </c>
      <c r="O319" s="139">
        <v>3</v>
      </c>
      <c r="P319" s="139">
        <v>2021</v>
      </c>
      <c r="Q319" s="140">
        <v>306740.8</v>
      </c>
      <c r="R319" s="141" t="s">
        <v>595</v>
      </c>
      <c r="S319" s="139"/>
      <c r="T319" s="139"/>
      <c r="U319" s="140"/>
      <c r="V319" s="141" t="s">
        <v>595</v>
      </c>
      <c r="W319" s="139"/>
      <c r="X319" s="139"/>
      <c r="Y319" s="140"/>
    </row>
    <row r="320" spans="1:25" x14ac:dyDescent="0.25">
      <c r="A320" s="142" t="s">
        <v>753</v>
      </c>
      <c r="B320" s="138">
        <f>_xlfn.XLOOKUP(A320,'[2]FRV Output'!$B:$B,'[2]FRV Output'!$F:$F)</f>
        <v>1710244827</v>
      </c>
      <c r="C320" s="139">
        <v>2</v>
      </c>
      <c r="D320" s="139">
        <v>2017</v>
      </c>
      <c r="E320" s="140">
        <v>200</v>
      </c>
      <c r="F320" s="141" t="s">
        <v>595</v>
      </c>
      <c r="G320" s="139">
        <v>1</v>
      </c>
      <c r="H320" s="139">
        <v>2017</v>
      </c>
      <c r="I320" s="140">
        <v>-100</v>
      </c>
      <c r="J320" s="141" t="s">
        <v>595</v>
      </c>
      <c r="K320" s="139">
        <v>1</v>
      </c>
      <c r="L320" s="139">
        <v>2018</v>
      </c>
      <c r="M320" s="140">
        <v>20</v>
      </c>
      <c r="N320" s="141" t="s">
        <v>595</v>
      </c>
      <c r="O320" s="139">
        <v>3</v>
      </c>
      <c r="P320" s="139">
        <v>2019</v>
      </c>
      <c r="Q320" s="140">
        <v>68342</v>
      </c>
      <c r="R320" s="141" t="s">
        <v>595</v>
      </c>
      <c r="S320" s="139">
        <v>3</v>
      </c>
      <c r="T320" s="139">
        <v>2021</v>
      </c>
      <c r="U320" s="140">
        <v>94958</v>
      </c>
      <c r="V320" s="141" t="s">
        <v>595</v>
      </c>
      <c r="W320" s="139"/>
      <c r="X320" s="139"/>
      <c r="Y320" s="140"/>
    </row>
    <row r="321" spans="1:25" x14ac:dyDescent="0.25">
      <c r="A321" s="142" t="s">
        <v>476</v>
      </c>
      <c r="B321" s="138">
        <f>_xlfn.XLOOKUP(A321,'[2]FRV Output'!$B:$B,'[2]FRV Output'!$F:$F)</f>
        <v>1821414269</v>
      </c>
      <c r="C321" s="139">
        <v>3</v>
      </c>
      <c r="D321" s="139">
        <v>2016</v>
      </c>
      <c r="E321" s="140">
        <v>83905</v>
      </c>
      <c r="F321" s="141" t="s">
        <v>595</v>
      </c>
      <c r="G321" s="139">
        <v>3</v>
      </c>
      <c r="H321" s="139">
        <v>2019</v>
      </c>
      <c r="I321" s="140">
        <v>101976</v>
      </c>
      <c r="J321" s="141" t="s">
        <v>595</v>
      </c>
      <c r="K321" s="139">
        <v>3</v>
      </c>
      <c r="L321" s="139">
        <v>2021</v>
      </c>
      <c r="M321" s="140">
        <v>81948</v>
      </c>
      <c r="N321" s="141" t="s">
        <v>595</v>
      </c>
      <c r="O321" s="139"/>
      <c r="P321" s="139"/>
      <c r="Q321" s="140"/>
      <c r="R321" s="141" t="s">
        <v>595</v>
      </c>
      <c r="S321" s="139"/>
      <c r="T321" s="139"/>
      <c r="U321" s="140"/>
      <c r="V321" s="141" t="s">
        <v>595</v>
      </c>
      <c r="W321" s="139"/>
      <c r="X321" s="139"/>
      <c r="Y321" s="140"/>
    </row>
    <row r="322" spans="1:25" x14ac:dyDescent="0.25">
      <c r="A322" s="138" t="s">
        <v>754</v>
      </c>
      <c r="B322" s="138">
        <f>_xlfn.XLOOKUP(A322,'[2]FRV Output'!$B:$B,'[2]FRV Output'!$F:$F)</f>
        <v>1225588536</v>
      </c>
      <c r="C322" s="139">
        <v>3</v>
      </c>
      <c r="D322" s="139">
        <v>2017</v>
      </c>
      <c r="E322" s="140">
        <v>87378.4</v>
      </c>
      <c r="F322" s="141" t="s">
        <v>595</v>
      </c>
      <c r="G322" s="139">
        <v>3</v>
      </c>
      <c r="H322" s="139">
        <v>2021</v>
      </c>
      <c r="I322" s="140">
        <v>352164</v>
      </c>
      <c r="J322" s="141" t="s">
        <v>595</v>
      </c>
      <c r="K322" s="139"/>
      <c r="L322" s="139"/>
      <c r="M322" s="140"/>
      <c r="N322" s="141" t="s">
        <v>595</v>
      </c>
      <c r="O322" s="139"/>
      <c r="P322" s="139"/>
      <c r="Q322" s="140"/>
      <c r="R322" s="141" t="s">
        <v>595</v>
      </c>
      <c r="S322" s="139"/>
      <c r="T322" s="139"/>
      <c r="U322" s="140"/>
      <c r="V322" s="141" t="s">
        <v>595</v>
      </c>
      <c r="W322" s="139"/>
      <c r="X322" s="139"/>
      <c r="Y322" s="140"/>
    </row>
    <row r="323" spans="1:25" x14ac:dyDescent="0.25">
      <c r="A323" s="138" t="s">
        <v>481</v>
      </c>
      <c r="B323" s="138">
        <f>_xlfn.XLOOKUP(A323,'[2]FRV Output'!$B:$B,'[2]FRV Output'!$F:$F)</f>
        <v>1861003485</v>
      </c>
      <c r="C323" s="139"/>
      <c r="D323" s="139"/>
      <c r="E323" s="140"/>
      <c r="F323" s="141" t="s">
        <v>595</v>
      </c>
      <c r="G323" s="139"/>
      <c r="H323" s="139"/>
      <c r="I323" s="140"/>
      <c r="J323" s="141" t="s">
        <v>595</v>
      </c>
      <c r="K323" s="139"/>
      <c r="L323" s="139"/>
      <c r="M323" s="140"/>
      <c r="N323" s="141" t="s">
        <v>595</v>
      </c>
      <c r="O323" s="139"/>
      <c r="P323" s="139"/>
      <c r="Q323" s="140"/>
      <c r="R323" s="141" t="s">
        <v>595</v>
      </c>
      <c r="S323" s="139"/>
      <c r="T323" s="139"/>
      <c r="U323" s="140"/>
      <c r="V323" s="141" t="s">
        <v>595</v>
      </c>
      <c r="W323" s="139"/>
      <c r="X323" s="139"/>
      <c r="Y323" s="140"/>
    </row>
    <row r="324" spans="1:25" x14ac:dyDescent="0.25">
      <c r="A324" s="142" t="s">
        <v>483</v>
      </c>
      <c r="B324" s="138">
        <f>_xlfn.XLOOKUP(A324,'[2]FRV Output'!$B:$B,'[2]FRV Output'!$F:$F)</f>
        <v>1699313544</v>
      </c>
      <c r="C324" s="139">
        <v>3</v>
      </c>
      <c r="D324" s="139">
        <v>2017</v>
      </c>
      <c r="E324" s="140">
        <v>120709</v>
      </c>
      <c r="F324" s="141" t="s">
        <v>595</v>
      </c>
      <c r="G324" s="139">
        <v>1</v>
      </c>
      <c r="H324" s="139">
        <v>2020</v>
      </c>
      <c r="I324" s="140">
        <v>30</v>
      </c>
      <c r="J324" s="141" t="s">
        <v>678</v>
      </c>
      <c r="K324" s="139">
        <v>3</v>
      </c>
      <c r="L324" s="139">
        <v>2020</v>
      </c>
      <c r="M324" s="140">
        <v>333894</v>
      </c>
      <c r="N324" s="141" t="s">
        <v>595</v>
      </c>
      <c r="O324" s="139"/>
      <c r="P324" s="139"/>
      <c r="Q324" s="140"/>
      <c r="R324" s="141" t="s">
        <v>595</v>
      </c>
      <c r="S324" s="139"/>
      <c r="T324" s="139"/>
      <c r="U324" s="140"/>
      <c r="V324" s="141" t="s">
        <v>595</v>
      </c>
      <c r="W324" s="139"/>
      <c r="X324" s="139"/>
      <c r="Y324" s="140"/>
    </row>
    <row r="325" spans="1:25" x14ac:dyDescent="0.25">
      <c r="A325" s="142" t="s">
        <v>484</v>
      </c>
      <c r="B325" s="138">
        <f>_xlfn.XLOOKUP(A325,'[2]FRV Output'!$B:$B,'[2]FRV Output'!$F:$F)</f>
        <v>1336602358</v>
      </c>
      <c r="C325" s="139">
        <v>3</v>
      </c>
      <c r="D325" s="139">
        <v>2018</v>
      </c>
      <c r="E325" s="140">
        <v>406147</v>
      </c>
      <c r="F325" s="141" t="s">
        <v>595</v>
      </c>
      <c r="G325" s="139">
        <v>3</v>
      </c>
      <c r="H325" s="139">
        <v>2019</v>
      </c>
      <c r="I325" s="140">
        <v>149877</v>
      </c>
      <c r="J325" s="141" t="s">
        <v>595</v>
      </c>
      <c r="K325" s="139">
        <v>3</v>
      </c>
      <c r="L325" s="139">
        <v>2020</v>
      </c>
      <c r="M325" s="140">
        <v>865682</v>
      </c>
      <c r="N325" s="141" t="s">
        <v>595</v>
      </c>
      <c r="O325" s="139">
        <v>3</v>
      </c>
      <c r="P325" s="139">
        <v>2021</v>
      </c>
      <c r="Q325" s="140">
        <v>1631433</v>
      </c>
      <c r="R325" s="141" t="s">
        <v>595</v>
      </c>
      <c r="S325" s="139"/>
      <c r="T325" s="139"/>
      <c r="U325" s="140"/>
      <c r="V325" s="141" t="s">
        <v>595</v>
      </c>
      <c r="W325" s="139"/>
      <c r="X325" s="139"/>
      <c r="Y325" s="140"/>
    </row>
    <row r="326" spans="1:25" x14ac:dyDescent="0.25">
      <c r="A326" s="138" t="s">
        <v>485</v>
      </c>
      <c r="B326" s="138">
        <f>_xlfn.XLOOKUP(A326,'[2]FRV Output'!$B:$B,'[2]FRV Output'!$F:$F)</f>
        <v>1144868092</v>
      </c>
      <c r="C326" s="139">
        <v>3</v>
      </c>
      <c r="D326" s="139">
        <v>2017</v>
      </c>
      <c r="E326" s="140">
        <v>307975</v>
      </c>
      <c r="F326" s="141" t="s">
        <v>595</v>
      </c>
      <c r="G326" s="139">
        <v>3</v>
      </c>
      <c r="H326" s="139">
        <v>2020</v>
      </c>
      <c r="I326" s="140">
        <v>219950</v>
      </c>
      <c r="J326" s="141" t="s">
        <v>595</v>
      </c>
      <c r="K326" s="139">
        <v>3</v>
      </c>
      <c r="L326" s="139">
        <v>2021</v>
      </c>
      <c r="M326" s="140">
        <v>462065</v>
      </c>
      <c r="N326" s="141" t="s">
        <v>595</v>
      </c>
      <c r="O326" s="139"/>
      <c r="P326" s="139"/>
      <c r="Q326" s="140"/>
      <c r="R326" s="141" t="s">
        <v>595</v>
      </c>
      <c r="S326" s="139"/>
      <c r="T326" s="139"/>
      <c r="U326" s="140"/>
      <c r="V326" s="141" t="s">
        <v>595</v>
      </c>
      <c r="W326" s="139"/>
      <c r="X326" s="139"/>
      <c r="Y326" s="140"/>
    </row>
    <row r="327" spans="1:25" x14ac:dyDescent="0.25">
      <c r="A327" s="142" t="s">
        <v>486</v>
      </c>
      <c r="B327" s="138">
        <f>_xlfn.XLOOKUP(A327,'[2]FRV Output'!$B:$B,'[2]FRV Output'!$F:$F)</f>
        <v>1821551797</v>
      </c>
      <c r="C327" s="139">
        <v>3</v>
      </c>
      <c r="D327" s="139">
        <v>2018</v>
      </c>
      <c r="E327" s="140">
        <v>183500</v>
      </c>
      <c r="F327" s="141" t="s">
        <v>595</v>
      </c>
      <c r="G327" s="139">
        <v>3</v>
      </c>
      <c r="H327" s="139">
        <v>2019</v>
      </c>
      <c r="I327" s="140">
        <v>289248</v>
      </c>
      <c r="J327" s="141" t="s">
        <v>595</v>
      </c>
      <c r="K327" s="139">
        <v>3</v>
      </c>
      <c r="L327" s="139">
        <v>2020</v>
      </c>
      <c r="M327" s="140">
        <v>202746</v>
      </c>
      <c r="N327" s="141" t="s">
        <v>595</v>
      </c>
      <c r="O327" s="139">
        <v>3</v>
      </c>
      <c r="P327" s="139">
        <v>2021</v>
      </c>
      <c r="Q327" s="140">
        <v>1712648</v>
      </c>
      <c r="R327" s="141" t="s">
        <v>595</v>
      </c>
      <c r="S327" s="139"/>
      <c r="T327" s="139"/>
      <c r="U327" s="140"/>
      <c r="V327" s="141" t="s">
        <v>595</v>
      </c>
      <c r="W327" s="139"/>
      <c r="X327" s="139"/>
      <c r="Y327" s="140"/>
    </row>
    <row r="328" spans="1:25" x14ac:dyDescent="0.25">
      <c r="A328" s="142" t="s">
        <v>487</v>
      </c>
      <c r="B328" s="138">
        <f>_xlfn.XLOOKUP(A328,'[2]FRV Output'!$B:$B,'[2]FRV Output'!$F:$F)</f>
        <v>1194381681</v>
      </c>
      <c r="C328" s="139">
        <v>3</v>
      </c>
      <c r="D328" s="139">
        <v>2016</v>
      </c>
      <c r="E328" s="140">
        <v>137734</v>
      </c>
      <c r="F328" s="141" t="s">
        <v>595</v>
      </c>
      <c r="G328" s="139">
        <v>3</v>
      </c>
      <c r="H328" s="139">
        <v>2019</v>
      </c>
      <c r="I328" s="140">
        <v>121892</v>
      </c>
      <c r="J328" s="141" t="s">
        <v>595</v>
      </c>
      <c r="K328" s="139">
        <v>3</v>
      </c>
      <c r="L328" s="139">
        <v>2020</v>
      </c>
      <c r="M328" s="140">
        <v>535224</v>
      </c>
      <c r="N328" s="141" t="s">
        <v>595</v>
      </c>
      <c r="O328" s="139">
        <v>3</v>
      </c>
      <c r="P328" s="139">
        <v>2021</v>
      </c>
      <c r="Q328" s="140">
        <v>924621</v>
      </c>
      <c r="R328" s="141" t="s">
        <v>595</v>
      </c>
      <c r="S328" s="139"/>
      <c r="T328" s="139"/>
      <c r="U328" s="140"/>
      <c r="V328" s="141" t="s">
        <v>595</v>
      </c>
      <c r="W328" s="139"/>
      <c r="X328" s="139"/>
      <c r="Y328" s="140"/>
    </row>
    <row r="329" spans="1:25" x14ac:dyDescent="0.25">
      <c r="A329" s="138" t="s">
        <v>755</v>
      </c>
      <c r="B329" s="138">
        <f>_xlfn.XLOOKUP(A329,'[2]FRV Output'!$B:$B,'[2]FRV Output'!$F:$F)</f>
        <v>1528544145</v>
      </c>
      <c r="C329" s="139"/>
      <c r="D329" s="139"/>
      <c r="E329" s="140"/>
      <c r="F329" s="141" t="s">
        <v>595</v>
      </c>
      <c r="G329" s="139"/>
      <c r="H329" s="139"/>
      <c r="I329" s="140"/>
      <c r="J329" s="141" t="s">
        <v>595</v>
      </c>
      <c r="K329" s="139"/>
      <c r="L329" s="139"/>
      <c r="M329" s="140"/>
      <c r="N329" s="141" t="s">
        <v>595</v>
      </c>
      <c r="O329" s="139"/>
      <c r="P329" s="139"/>
      <c r="Q329" s="140"/>
      <c r="R329" s="141" t="s">
        <v>595</v>
      </c>
      <c r="S329" s="139"/>
      <c r="T329" s="139"/>
      <c r="U329" s="140"/>
      <c r="V329" s="141" t="s">
        <v>595</v>
      </c>
      <c r="W329" s="139"/>
      <c r="X329" s="139"/>
      <c r="Y329" s="140"/>
    </row>
    <row r="330" spans="1:25" x14ac:dyDescent="0.25">
      <c r="A330" s="138" t="s">
        <v>489</v>
      </c>
      <c r="B330" s="138">
        <f>_xlfn.XLOOKUP(A330,'[2]FRV Output'!$B:$B,'[2]FRV Output'!$F:$F)</f>
        <v>1699336776</v>
      </c>
      <c r="C330" s="139"/>
      <c r="D330" s="139"/>
      <c r="E330" s="140"/>
      <c r="F330" s="141" t="s">
        <v>595</v>
      </c>
      <c r="G330" s="139"/>
      <c r="H330" s="139"/>
      <c r="I330" s="140"/>
      <c r="J330" s="141" t="s">
        <v>595</v>
      </c>
      <c r="K330" s="139"/>
      <c r="L330" s="139"/>
      <c r="M330" s="140"/>
      <c r="N330" s="141" t="s">
        <v>595</v>
      </c>
      <c r="O330" s="139"/>
      <c r="P330" s="139"/>
      <c r="Q330" s="140"/>
      <c r="R330" s="141" t="s">
        <v>595</v>
      </c>
      <c r="S330" s="139"/>
      <c r="T330" s="139"/>
      <c r="U330" s="140"/>
      <c r="V330" s="141" t="s">
        <v>595</v>
      </c>
      <c r="W330" s="139"/>
      <c r="X330" s="139"/>
      <c r="Y330" s="140"/>
    </row>
    <row r="331" spans="1:25" x14ac:dyDescent="0.25">
      <c r="A331" s="138" t="s">
        <v>490</v>
      </c>
      <c r="B331" s="138">
        <f>_xlfn.XLOOKUP(A331,'[2]FRV Output'!$B:$B,'[2]FRV Output'!$F:$F)</f>
        <v>1215982525</v>
      </c>
      <c r="C331" s="139">
        <v>3</v>
      </c>
      <c r="D331" s="139">
        <v>2016</v>
      </c>
      <c r="E331" s="140">
        <v>277401</v>
      </c>
      <c r="F331" s="141" t="s">
        <v>595</v>
      </c>
      <c r="G331" s="139">
        <v>3</v>
      </c>
      <c r="H331" s="139">
        <v>2017</v>
      </c>
      <c r="I331" s="140">
        <v>89917</v>
      </c>
      <c r="J331" s="141" t="s">
        <v>595</v>
      </c>
      <c r="K331" s="139">
        <v>3</v>
      </c>
      <c r="L331" s="139">
        <v>2018</v>
      </c>
      <c r="M331" s="140">
        <v>134544</v>
      </c>
      <c r="N331" s="141" t="s">
        <v>595</v>
      </c>
      <c r="O331" s="139">
        <v>3</v>
      </c>
      <c r="P331" s="139">
        <v>2021</v>
      </c>
      <c r="Q331" s="140">
        <v>77322</v>
      </c>
      <c r="R331" s="141" t="s">
        <v>595</v>
      </c>
      <c r="S331" s="139"/>
      <c r="T331" s="139"/>
      <c r="U331" s="140"/>
      <c r="V331" s="141" t="s">
        <v>595</v>
      </c>
      <c r="W331" s="139"/>
      <c r="X331" s="139"/>
      <c r="Y331" s="140"/>
    </row>
    <row r="332" spans="1:25" x14ac:dyDescent="0.25">
      <c r="A332" s="142" t="s">
        <v>491</v>
      </c>
      <c r="B332" s="138">
        <f>_xlfn.XLOOKUP(A332,'[2]FRV Output'!$B:$B,'[2]FRV Output'!$F:$F)</f>
        <v>1427003110</v>
      </c>
      <c r="C332" s="139">
        <v>3</v>
      </c>
      <c r="D332" s="139">
        <v>2016</v>
      </c>
      <c r="E332" s="140">
        <v>127193</v>
      </c>
      <c r="F332" s="141" t="s">
        <v>595</v>
      </c>
      <c r="G332" s="139">
        <v>3</v>
      </c>
      <c r="H332" s="139">
        <v>2017</v>
      </c>
      <c r="I332" s="140">
        <v>208907</v>
      </c>
      <c r="J332" s="141" t="s">
        <v>595</v>
      </c>
      <c r="K332" s="139">
        <v>3</v>
      </c>
      <c r="L332" s="139">
        <v>2018</v>
      </c>
      <c r="M332" s="140">
        <v>65794</v>
      </c>
      <c r="N332" s="141" t="s">
        <v>595</v>
      </c>
      <c r="O332" s="139">
        <v>3</v>
      </c>
      <c r="P332" s="139">
        <v>2019</v>
      </c>
      <c r="Q332" s="140">
        <v>112272</v>
      </c>
      <c r="R332" s="141" t="s">
        <v>595</v>
      </c>
      <c r="S332" s="139"/>
      <c r="T332" s="139"/>
      <c r="U332" s="140"/>
      <c r="V332" s="141" t="s">
        <v>595</v>
      </c>
      <c r="W332" s="139"/>
      <c r="X332" s="139"/>
      <c r="Y332" s="140"/>
    </row>
    <row r="333" spans="1:25" x14ac:dyDescent="0.25">
      <c r="A333" s="142" t="s">
        <v>492</v>
      </c>
      <c r="B333" s="138">
        <f>_xlfn.XLOOKUP(A333,'[2]FRV Output'!$B:$B,'[2]FRV Output'!$F:$F)</f>
        <v>1598710949</v>
      </c>
      <c r="C333" s="139">
        <v>3</v>
      </c>
      <c r="D333" s="139">
        <v>2016</v>
      </c>
      <c r="E333" s="140">
        <v>102969</v>
      </c>
      <c r="F333" s="141" t="s">
        <v>595</v>
      </c>
      <c r="G333" s="139">
        <v>3</v>
      </c>
      <c r="H333" s="139">
        <v>2017</v>
      </c>
      <c r="I333" s="140">
        <v>103054</v>
      </c>
      <c r="J333" s="141" t="s">
        <v>595</v>
      </c>
      <c r="K333" s="139">
        <v>3</v>
      </c>
      <c r="L333" s="139">
        <v>2018</v>
      </c>
      <c r="M333" s="140">
        <v>1205729</v>
      </c>
      <c r="N333" s="141" t="s">
        <v>595</v>
      </c>
      <c r="O333" s="139">
        <v>3</v>
      </c>
      <c r="P333" s="139">
        <v>2019</v>
      </c>
      <c r="Q333" s="140">
        <v>76265</v>
      </c>
      <c r="R333" s="141" t="s">
        <v>595</v>
      </c>
      <c r="S333" s="139"/>
      <c r="T333" s="139"/>
      <c r="U333" s="140"/>
      <c r="V333" s="141" t="s">
        <v>595</v>
      </c>
      <c r="W333" s="139"/>
      <c r="X333" s="139"/>
      <c r="Y333" s="140"/>
    </row>
    <row r="334" spans="1:25" x14ac:dyDescent="0.25">
      <c r="A334" s="138" t="s">
        <v>493</v>
      </c>
      <c r="B334" s="138">
        <f>_xlfn.XLOOKUP(A334,'[2]FRV Output'!$B:$B,'[2]FRV Output'!$F:$F)</f>
        <v>1770538092</v>
      </c>
      <c r="C334" s="139">
        <v>3</v>
      </c>
      <c r="D334" s="139">
        <v>2016</v>
      </c>
      <c r="E334" s="140">
        <v>188913</v>
      </c>
      <c r="F334" s="141" t="s">
        <v>595</v>
      </c>
      <c r="G334" s="139">
        <v>3</v>
      </c>
      <c r="H334" s="139">
        <v>2018</v>
      </c>
      <c r="I334" s="140">
        <v>152097</v>
      </c>
      <c r="J334" s="141" t="s">
        <v>595</v>
      </c>
      <c r="K334" s="139"/>
      <c r="L334" s="139"/>
      <c r="M334" s="140"/>
      <c r="N334" s="141" t="s">
        <v>595</v>
      </c>
      <c r="O334" s="139"/>
      <c r="P334" s="139"/>
      <c r="Q334" s="140"/>
      <c r="R334" s="141" t="s">
        <v>595</v>
      </c>
      <c r="S334" s="139"/>
      <c r="T334" s="139"/>
      <c r="U334" s="140"/>
      <c r="V334" s="141" t="s">
        <v>595</v>
      </c>
      <c r="W334" s="139"/>
      <c r="X334" s="139"/>
      <c r="Y334" s="140"/>
    </row>
    <row r="335" spans="1:25" x14ac:dyDescent="0.25">
      <c r="A335" s="142" t="s">
        <v>756</v>
      </c>
      <c r="B335" s="138">
        <f>_xlfn.XLOOKUP(A335,'[2]FRV Output'!$B:$B,'[2]FRV Output'!$F:$F)</f>
        <v>1851836118</v>
      </c>
      <c r="C335" s="139">
        <v>3</v>
      </c>
      <c r="D335" s="139">
        <v>2017</v>
      </c>
      <c r="E335" s="140">
        <v>197813</v>
      </c>
      <c r="F335" s="141" t="s">
        <v>595</v>
      </c>
      <c r="G335" s="139">
        <v>3</v>
      </c>
      <c r="H335" s="139">
        <v>2018</v>
      </c>
      <c r="I335" s="140">
        <v>104911</v>
      </c>
      <c r="J335" s="141" t="s">
        <v>595</v>
      </c>
      <c r="K335" s="139">
        <v>3</v>
      </c>
      <c r="L335" s="139">
        <v>2019</v>
      </c>
      <c r="M335" s="140">
        <v>92102</v>
      </c>
      <c r="N335" s="141" t="s">
        <v>595</v>
      </c>
      <c r="O335" s="139">
        <v>3</v>
      </c>
      <c r="P335" s="139">
        <v>2020</v>
      </c>
      <c r="Q335" s="140">
        <v>67983</v>
      </c>
      <c r="R335" s="141" t="s">
        <v>595</v>
      </c>
      <c r="S335" s="139"/>
      <c r="T335" s="139"/>
      <c r="U335" s="140"/>
      <c r="V335" s="141" t="s">
        <v>595</v>
      </c>
      <c r="W335" s="139"/>
      <c r="X335" s="139"/>
      <c r="Y335" s="140"/>
    </row>
    <row r="336" spans="1:25" x14ac:dyDescent="0.25">
      <c r="A336" s="138" t="s">
        <v>495</v>
      </c>
      <c r="B336" s="138">
        <f>_xlfn.XLOOKUP(A336,'[2]FRV Output'!$B:$B,'[2]FRV Output'!$F:$F)</f>
        <v>1871548487</v>
      </c>
      <c r="C336" s="139">
        <v>3</v>
      </c>
      <c r="D336" s="139">
        <v>2016</v>
      </c>
      <c r="E336" s="140">
        <v>75088</v>
      </c>
      <c r="F336" s="141" t="s">
        <v>595</v>
      </c>
      <c r="G336" s="139">
        <v>3</v>
      </c>
      <c r="H336" s="139">
        <v>2020</v>
      </c>
      <c r="I336" s="140">
        <v>32404</v>
      </c>
      <c r="J336" s="141" t="s">
        <v>595</v>
      </c>
      <c r="K336" s="139">
        <v>3</v>
      </c>
      <c r="L336" s="139">
        <v>2021</v>
      </c>
      <c r="M336" s="140">
        <v>52340</v>
      </c>
      <c r="N336" s="141" t="s">
        <v>595</v>
      </c>
      <c r="O336" s="139"/>
      <c r="P336" s="139"/>
      <c r="Q336" s="140"/>
      <c r="R336" s="141" t="s">
        <v>595</v>
      </c>
      <c r="S336" s="139"/>
      <c r="T336" s="139"/>
      <c r="U336" s="140"/>
      <c r="V336" s="141" t="s">
        <v>595</v>
      </c>
      <c r="W336" s="139"/>
      <c r="X336" s="139"/>
      <c r="Y336" s="140"/>
    </row>
    <row r="337" spans="1:25" x14ac:dyDescent="0.25">
      <c r="A337" s="142" t="s">
        <v>496</v>
      </c>
      <c r="B337" s="138">
        <f>_xlfn.XLOOKUP(A337,'[2]FRV Output'!$B:$B,'[2]FRV Output'!$F:$F)</f>
        <v>1467407775</v>
      </c>
      <c r="C337" s="139">
        <v>3</v>
      </c>
      <c r="D337" s="139">
        <v>2016</v>
      </c>
      <c r="E337" s="140">
        <v>140807</v>
      </c>
      <c r="F337" s="141" t="s">
        <v>595</v>
      </c>
      <c r="G337" s="139">
        <v>2</v>
      </c>
      <c r="H337" s="139">
        <v>2017</v>
      </c>
      <c r="I337" s="140">
        <v>9</v>
      </c>
      <c r="J337" s="141" t="s">
        <v>595</v>
      </c>
      <c r="K337" s="139">
        <v>3</v>
      </c>
      <c r="L337" s="139">
        <v>2018</v>
      </c>
      <c r="M337" s="140">
        <v>294560</v>
      </c>
      <c r="N337" s="141" t="s">
        <v>595</v>
      </c>
      <c r="O337" s="139">
        <v>3</v>
      </c>
      <c r="P337" s="139">
        <v>2019</v>
      </c>
      <c r="Q337" s="140">
        <v>86281</v>
      </c>
      <c r="R337" s="141" t="s">
        <v>595</v>
      </c>
      <c r="S337" s="139">
        <v>3</v>
      </c>
      <c r="T337" s="139">
        <v>2021</v>
      </c>
      <c r="U337" s="140">
        <v>56360</v>
      </c>
      <c r="V337" s="141" t="s">
        <v>595</v>
      </c>
      <c r="W337" s="139"/>
      <c r="X337" s="139"/>
      <c r="Y337" s="140"/>
    </row>
    <row r="338" spans="1:25" x14ac:dyDescent="0.25">
      <c r="A338" s="138" t="s">
        <v>757</v>
      </c>
      <c r="B338" s="138">
        <f>_xlfn.XLOOKUP(A338,'[2]FRV Output'!$B:$B,'[2]FRV Output'!$F:$F)</f>
        <v>1548293988</v>
      </c>
      <c r="C338" s="139">
        <v>3</v>
      </c>
      <c r="D338" s="139">
        <v>2016</v>
      </c>
      <c r="E338" s="140">
        <v>44616</v>
      </c>
      <c r="F338" s="141" t="s">
        <v>595</v>
      </c>
      <c r="G338" s="139">
        <v>3</v>
      </c>
      <c r="H338" s="139">
        <v>2021</v>
      </c>
      <c r="I338" s="140">
        <v>39973</v>
      </c>
      <c r="J338" s="141" t="s">
        <v>595</v>
      </c>
      <c r="K338" s="139"/>
      <c r="L338" s="139"/>
      <c r="M338" s="140"/>
      <c r="N338" s="141" t="s">
        <v>595</v>
      </c>
      <c r="O338" s="139"/>
      <c r="P338" s="139"/>
      <c r="Q338" s="140"/>
      <c r="R338" s="141" t="s">
        <v>595</v>
      </c>
      <c r="S338" s="139"/>
      <c r="T338" s="139"/>
      <c r="U338" s="140"/>
      <c r="V338" s="141" t="s">
        <v>595</v>
      </c>
      <c r="W338" s="139"/>
      <c r="X338" s="139"/>
      <c r="Y338" s="140"/>
    </row>
    <row r="339" spans="1:25" x14ac:dyDescent="0.25">
      <c r="A339" s="142" t="s">
        <v>498</v>
      </c>
      <c r="B339" s="138">
        <f>_xlfn.XLOOKUP(A339,'[2]FRV Output'!$B:$B,'[2]FRV Output'!$F:$F)</f>
        <v>1417368143</v>
      </c>
      <c r="C339" s="139">
        <v>3</v>
      </c>
      <c r="D339" s="139">
        <v>2016</v>
      </c>
      <c r="E339" s="140">
        <v>65674</v>
      </c>
      <c r="F339" s="141" t="s">
        <v>595</v>
      </c>
      <c r="G339" s="139">
        <v>2</v>
      </c>
      <c r="H339" s="139">
        <v>2019</v>
      </c>
      <c r="I339" s="140">
        <v>100</v>
      </c>
      <c r="J339" s="141" t="s">
        <v>595</v>
      </c>
      <c r="K339" s="139">
        <v>3</v>
      </c>
      <c r="L339" s="139">
        <v>2020</v>
      </c>
      <c r="M339" s="140">
        <v>154963</v>
      </c>
      <c r="N339" s="141" t="s">
        <v>595</v>
      </c>
      <c r="O339" s="139"/>
      <c r="P339" s="139"/>
      <c r="Q339" s="140"/>
      <c r="R339" s="141" t="s">
        <v>595</v>
      </c>
      <c r="S339" s="139"/>
      <c r="T339" s="139"/>
      <c r="U339" s="140"/>
      <c r="V339" s="141" t="s">
        <v>595</v>
      </c>
      <c r="W339" s="139"/>
      <c r="X339" s="139"/>
      <c r="Y339" s="140"/>
    </row>
    <row r="340" spans="1:25" x14ac:dyDescent="0.25">
      <c r="A340" s="142" t="s">
        <v>500</v>
      </c>
      <c r="B340" s="138">
        <f>_xlfn.XLOOKUP(A340,'[2]FRV Output'!$B:$B,'[2]FRV Output'!$F:$F)</f>
        <v>1881993079</v>
      </c>
      <c r="C340" s="139">
        <v>3</v>
      </c>
      <c r="D340" s="139">
        <v>2016</v>
      </c>
      <c r="E340" s="140">
        <v>718425</v>
      </c>
      <c r="F340" s="141" t="s">
        <v>595</v>
      </c>
      <c r="G340" s="139">
        <v>1</v>
      </c>
      <c r="H340" s="139">
        <v>2019</v>
      </c>
      <c r="I340" s="140">
        <v>-20</v>
      </c>
      <c r="J340" s="141" t="s">
        <v>700</v>
      </c>
      <c r="K340" s="139">
        <v>3</v>
      </c>
      <c r="L340" s="139">
        <v>2019</v>
      </c>
      <c r="M340" s="140">
        <v>369397</v>
      </c>
      <c r="N340" s="141" t="s">
        <v>595</v>
      </c>
      <c r="O340" s="139">
        <v>3</v>
      </c>
      <c r="P340" s="139">
        <v>2020</v>
      </c>
      <c r="Q340" s="140">
        <v>89840</v>
      </c>
      <c r="R340" s="141" t="s">
        <v>595</v>
      </c>
      <c r="S340" s="139">
        <v>3</v>
      </c>
      <c r="T340" s="139">
        <v>2021</v>
      </c>
      <c r="U340" s="140">
        <v>105778</v>
      </c>
      <c r="V340" s="141" t="s">
        <v>595</v>
      </c>
      <c r="W340" s="139"/>
      <c r="X340" s="139"/>
      <c r="Y340" s="140"/>
    </row>
    <row r="341" spans="1:25" x14ac:dyDescent="0.25">
      <c r="A341" s="138" t="s">
        <v>501</v>
      </c>
      <c r="B341" s="138">
        <f>_xlfn.XLOOKUP(A341,'[2]FRV Output'!$B:$B,'[2]FRV Output'!$F:$F)</f>
        <v>1255379293</v>
      </c>
      <c r="C341" s="139">
        <v>3</v>
      </c>
      <c r="D341" s="139">
        <v>2018</v>
      </c>
      <c r="E341" s="140">
        <v>102072</v>
      </c>
      <c r="F341" s="141" t="s">
        <v>595</v>
      </c>
      <c r="G341" s="139">
        <v>3</v>
      </c>
      <c r="H341" s="139">
        <v>2021</v>
      </c>
      <c r="I341" s="140">
        <v>185179</v>
      </c>
      <c r="J341" s="141" t="s">
        <v>595</v>
      </c>
      <c r="K341" s="139"/>
      <c r="L341" s="139"/>
      <c r="M341" s="140"/>
      <c r="N341" s="141" t="s">
        <v>595</v>
      </c>
      <c r="O341" s="139"/>
      <c r="P341" s="139"/>
      <c r="Q341" s="140"/>
      <c r="R341" s="141" t="s">
        <v>595</v>
      </c>
      <c r="S341" s="139"/>
      <c r="T341" s="139"/>
      <c r="U341" s="140"/>
      <c r="V341" s="141" t="s">
        <v>595</v>
      </c>
      <c r="W341" s="139"/>
      <c r="X341" s="139"/>
      <c r="Y341" s="140"/>
    </row>
    <row r="342" spans="1:25" x14ac:dyDescent="0.25">
      <c r="A342" s="142" t="s">
        <v>758</v>
      </c>
      <c r="B342" s="138">
        <f>_xlfn.XLOOKUP(A342,'[2]FRV Output'!$B:$B,'[2]FRV Output'!$F:$F)</f>
        <v>1366529406</v>
      </c>
      <c r="C342" s="139">
        <v>3</v>
      </c>
      <c r="D342" s="139">
        <v>2016</v>
      </c>
      <c r="E342" s="140">
        <v>55926</v>
      </c>
      <c r="F342" s="141" t="s">
        <v>595</v>
      </c>
      <c r="G342" s="139">
        <v>3</v>
      </c>
      <c r="H342" s="139">
        <v>2017</v>
      </c>
      <c r="I342" s="140">
        <v>295827</v>
      </c>
      <c r="J342" s="141" t="s">
        <v>595</v>
      </c>
      <c r="K342" s="139">
        <v>3</v>
      </c>
      <c r="L342" s="139">
        <v>2018</v>
      </c>
      <c r="M342" s="140">
        <v>112994</v>
      </c>
      <c r="N342" s="141" t="s">
        <v>595</v>
      </c>
      <c r="O342" s="139">
        <v>3</v>
      </c>
      <c r="P342" s="139">
        <v>2019</v>
      </c>
      <c r="Q342" s="140">
        <v>68803</v>
      </c>
      <c r="R342" s="141" t="s">
        <v>595</v>
      </c>
      <c r="S342" s="139">
        <v>3</v>
      </c>
      <c r="T342" s="139">
        <v>2020</v>
      </c>
      <c r="U342" s="140">
        <v>82453</v>
      </c>
      <c r="V342" s="141" t="s">
        <v>595</v>
      </c>
      <c r="W342" s="139"/>
      <c r="X342" s="139"/>
      <c r="Y342" s="140"/>
    </row>
    <row r="343" spans="1:25" x14ac:dyDescent="0.25">
      <c r="A343" s="142" t="s">
        <v>503</v>
      </c>
      <c r="B343" s="138">
        <f>_xlfn.XLOOKUP(A343,'[2]FRV Output'!$B:$B,'[2]FRV Output'!$F:$F)</f>
        <v>1598704504</v>
      </c>
      <c r="C343" s="139">
        <v>3</v>
      </c>
      <c r="D343" s="139">
        <v>2016</v>
      </c>
      <c r="E343" s="140">
        <v>162467</v>
      </c>
      <c r="F343" s="141" t="s">
        <v>595</v>
      </c>
      <c r="G343" s="139">
        <v>3</v>
      </c>
      <c r="H343" s="139">
        <v>2017</v>
      </c>
      <c r="I343" s="140">
        <v>123368</v>
      </c>
      <c r="J343" s="141" t="s">
        <v>595</v>
      </c>
      <c r="K343" s="139">
        <v>3</v>
      </c>
      <c r="L343" s="139">
        <v>2019</v>
      </c>
      <c r="M343" s="140">
        <v>93278</v>
      </c>
      <c r="N343" s="141" t="s">
        <v>595</v>
      </c>
      <c r="O343" s="139">
        <v>3</v>
      </c>
      <c r="P343" s="139">
        <v>2020</v>
      </c>
      <c r="Q343" s="140">
        <v>114412</v>
      </c>
      <c r="R343" s="141" t="s">
        <v>595</v>
      </c>
      <c r="S343" s="139"/>
      <c r="T343" s="139"/>
      <c r="U343" s="140"/>
      <c r="V343" s="141" t="s">
        <v>595</v>
      </c>
      <c r="W343" s="139"/>
      <c r="X343" s="139"/>
      <c r="Y343" s="140"/>
    </row>
    <row r="344" spans="1:25" x14ac:dyDescent="0.25">
      <c r="A344" s="142" t="s">
        <v>504</v>
      </c>
      <c r="B344" s="138">
        <f>_xlfn.XLOOKUP(A344,'[2]FRV Output'!$B:$B,'[2]FRV Output'!$F:$F)</f>
        <v>1669613071</v>
      </c>
      <c r="C344" s="139"/>
      <c r="D344" s="139"/>
      <c r="E344" s="140"/>
      <c r="F344" s="141" t="s">
        <v>595</v>
      </c>
      <c r="G344" s="139"/>
      <c r="H344" s="139"/>
      <c r="I344" s="140"/>
      <c r="J344" s="141" t="s">
        <v>595</v>
      </c>
      <c r="K344" s="139"/>
      <c r="L344" s="139"/>
      <c r="M344" s="140"/>
      <c r="N344" s="141" t="s">
        <v>595</v>
      </c>
      <c r="O344" s="139"/>
      <c r="P344" s="139"/>
      <c r="Q344" s="140"/>
      <c r="R344" s="141" t="s">
        <v>595</v>
      </c>
      <c r="S344" s="139"/>
      <c r="T344" s="139"/>
      <c r="U344" s="140"/>
      <c r="V344" s="141" t="s">
        <v>595</v>
      </c>
      <c r="W344" s="139"/>
      <c r="X344" s="139"/>
      <c r="Y344" s="140"/>
    </row>
    <row r="345" spans="1:25" x14ac:dyDescent="0.25">
      <c r="A345" s="142" t="s">
        <v>505</v>
      </c>
      <c r="B345" s="138">
        <f>_xlfn.XLOOKUP(A345,'[2]FRV Output'!$B:$B,'[2]FRV Output'!$F:$F)</f>
        <v>1881648350</v>
      </c>
      <c r="C345" s="139">
        <v>3</v>
      </c>
      <c r="D345" s="139">
        <v>2019</v>
      </c>
      <c r="E345" s="140">
        <v>87859</v>
      </c>
      <c r="F345" s="141" t="s">
        <v>595</v>
      </c>
      <c r="G345" s="139">
        <v>3</v>
      </c>
      <c r="H345" s="139">
        <v>2020</v>
      </c>
      <c r="I345" s="140">
        <v>36240</v>
      </c>
      <c r="J345" s="141" t="s">
        <v>595</v>
      </c>
      <c r="K345" s="139">
        <v>3</v>
      </c>
      <c r="L345" s="139">
        <v>2021</v>
      </c>
      <c r="M345" s="140">
        <v>48126</v>
      </c>
      <c r="N345" s="141" t="s">
        <v>595</v>
      </c>
      <c r="O345" s="139"/>
      <c r="P345" s="139"/>
      <c r="Q345" s="140"/>
      <c r="R345" s="141" t="s">
        <v>595</v>
      </c>
      <c r="S345" s="139"/>
      <c r="T345" s="139"/>
      <c r="U345" s="140"/>
      <c r="V345" s="141" t="s">
        <v>595</v>
      </c>
      <c r="W345" s="139"/>
      <c r="X345" s="139"/>
      <c r="Y345" s="140"/>
    </row>
    <row r="346" spans="1:25" x14ac:dyDescent="0.25">
      <c r="A346" s="138" t="s">
        <v>506</v>
      </c>
      <c r="B346" s="138">
        <f>_xlfn.XLOOKUP(A346,'[2]FRV Output'!$B:$B,'[2]FRV Output'!$F:$F)</f>
        <v>1669410312</v>
      </c>
      <c r="C346" s="139">
        <v>3</v>
      </c>
      <c r="D346" s="139">
        <v>2021</v>
      </c>
      <c r="E346" s="140">
        <v>69809</v>
      </c>
      <c r="F346" s="141" t="s">
        <v>595</v>
      </c>
      <c r="G346" s="139"/>
      <c r="H346" s="139"/>
      <c r="I346" s="140"/>
      <c r="J346" s="141" t="s">
        <v>595</v>
      </c>
      <c r="K346" s="139"/>
      <c r="L346" s="139"/>
      <c r="M346" s="140"/>
      <c r="N346" s="141" t="s">
        <v>595</v>
      </c>
      <c r="O346" s="139"/>
      <c r="P346" s="139"/>
      <c r="Q346" s="140"/>
      <c r="R346" s="141" t="s">
        <v>595</v>
      </c>
      <c r="S346" s="139"/>
      <c r="T346" s="139"/>
      <c r="U346" s="140"/>
      <c r="V346" s="141" t="s">
        <v>595</v>
      </c>
      <c r="W346" s="139"/>
      <c r="X346" s="139"/>
      <c r="Y346" s="140"/>
    </row>
    <row r="347" spans="1:25" x14ac:dyDescent="0.25">
      <c r="A347" s="142" t="s">
        <v>759</v>
      </c>
      <c r="B347" s="138">
        <f>_xlfn.XLOOKUP(A347,'[2]FRV Output'!$B:$B,'[2]FRV Output'!$F:$F)</f>
        <v>1356387153</v>
      </c>
      <c r="C347" s="139">
        <v>3</v>
      </c>
      <c r="D347" s="139">
        <v>2017</v>
      </c>
      <c r="E347" s="140">
        <v>143868</v>
      </c>
      <c r="F347" s="141" t="s">
        <v>595</v>
      </c>
      <c r="G347" s="139">
        <v>3</v>
      </c>
      <c r="H347" s="139">
        <v>2019</v>
      </c>
      <c r="I347" s="140">
        <v>638679</v>
      </c>
      <c r="J347" s="141" t="s">
        <v>595</v>
      </c>
      <c r="K347" s="139">
        <v>3</v>
      </c>
      <c r="L347" s="139">
        <v>2020</v>
      </c>
      <c r="M347" s="140">
        <v>93055</v>
      </c>
      <c r="N347" s="141" t="s">
        <v>595</v>
      </c>
      <c r="O347" s="139"/>
      <c r="P347" s="139"/>
      <c r="Q347" s="140"/>
      <c r="R347" s="141" t="s">
        <v>595</v>
      </c>
      <c r="S347" s="139"/>
      <c r="T347" s="139"/>
      <c r="U347" s="140"/>
      <c r="V347" s="141" t="s">
        <v>595</v>
      </c>
      <c r="W347" s="139"/>
      <c r="X347" s="139"/>
      <c r="Y347" s="140"/>
    </row>
    <row r="348" spans="1:25" x14ac:dyDescent="0.25">
      <c r="A348" s="138" t="s">
        <v>508</v>
      </c>
      <c r="B348" s="138">
        <f>_xlfn.XLOOKUP(A348,'[2]FRV Output'!$B:$B,'[2]FRV Output'!$F:$F)</f>
        <v>1184705048</v>
      </c>
      <c r="C348" s="139"/>
      <c r="D348" s="139"/>
      <c r="E348" s="140"/>
      <c r="F348" s="141" t="s">
        <v>595</v>
      </c>
      <c r="G348" s="139"/>
      <c r="H348" s="139"/>
      <c r="I348" s="140"/>
      <c r="J348" s="141" t="s">
        <v>595</v>
      </c>
      <c r="K348" s="139"/>
      <c r="L348" s="139"/>
      <c r="M348" s="140"/>
      <c r="N348" s="141" t="s">
        <v>595</v>
      </c>
      <c r="O348" s="139"/>
      <c r="P348" s="139"/>
      <c r="Q348" s="140"/>
      <c r="R348" s="141" t="s">
        <v>595</v>
      </c>
      <c r="S348" s="139"/>
      <c r="T348" s="139"/>
      <c r="U348" s="140"/>
      <c r="V348" s="141" t="s">
        <v>595</v>
      </c>
      <c r="W348" s="139"/>
      <c r="X348" s="139"/>
      <c r="Y348" s="140"/>
    </row>
    <row r="349" spans="1:25" x14ac:dyDescent="0.25">
      <c r="A349" s="142" t="s">
        <v>509</v>
      </c>
      <c r="B349" s="138">
        <f>_xlfn.XLOOKUP(A349,'[2]FRV Output'!$B:$B,'[2]FRV Output'!$F:$F)</f>
        <v>1386187813</v>
      </c>
      <c r="C349" s="139">
        <v>3</v>
      </c>
      <c r="D349" s="139">
        <v>2019</v>
      </c>
      <c r="E349" s="140">
        <v>128776</v>
      </c>
      <c r="F349" s="141" t="s">
        <v>595</v>
      </c>
      <c r="G349" s="139">
        <v>3</v>
      </c>
      <c r="H349" s="139">
        <v>2021</v>
      </c>
      <c r="I349" s="140">
        <v>187817</v>
      </c>
      <c r="J349" s="141" t="s">
        <v>595</v>
      </c>
      <c r="K349" s="139"/>
      <c r="L349" s="139"/>
      <c r="M349" s="140"/>
      <c r="N349" s="141" t="s">
        <v>595</v>
      </c>
      <c r="O349" s="139"/>
      <c r="P349" s="139"/>
      <c r="Q349" s="140"/>
      <c r="R349" s="141" t="s">
        <v>595</v>
      </c>
      <c r="S349" s="139"/>
      <c r="T349" s="139"/>
      <c r="U349" s="140"/>
      <c r="V349" s="141" t="s">
        <v>595</v>
      </c>
      <c r="W349" s="139"/>
      <c r="X349" s="139"/>
      <c r="Y349" s="140"/>
    </row>
    <row r="350" spans="1:25" x14ac:dyDescent="0.25">
      <c r="A350" s="138" t="s">
        <v>760</v>
      </c>
      <c r="B350" s="138">
        <f>_xlfn.XLOOKUP(A350,'[2]FRV Output'!$B:$B,'[2]FRV Output'!$F:$F)</f>
        <v>1952354565</v>
      </c>
      <c r="C350" s="139">
        <v>3</v>
      </c>
      <c r="D350" s="139">
        <v>2020</v>
      </c>
      <c r="E350" s="140">
        <v>29949</v>
      </c>
      <c r="F350" s="141" t="s">
        <v>595</v>
      </c>
      <c r="G350" s="139"/>
      <c r="H350" s="139"/>
      <c r="I350" s="140"/>
      <c r="J350" s="141" t="s">
        <v>595</v>
      </c>
      <c r="K350" s="139"/>
      <c r="L350" s="139"/>
      <c r="M350" s="140"/>
      <c r="N350" s="141" t="s">
        <v>595</v>
      </c>
      <c r="O350" s="139"/>
      <c r="P350" s="139"/>
      <c r="Q350" s="140"/>
      <c r="R350" s="141" t="s">
        <v>595</v>
      </c>
      <c r="S350" s="139"/>
      <c r="T350" s="139"/>
      <c r="U350" s="140"/>
      <c r="V350" s="141" t="s">
        <v>595</v>
      </c>
      <c r="W350" s="139"/>
      <c r="X350" s="139"/>
      <c r="Y350" s="140"/>
    </row>
    <row r="351" spans="1:25" x14ac:dyDescent="0.25">
      <c r="A351" s="142" t="s">
        <v>511</v>
      </c>
      <c r="B351" s="138">
        <f>_xlfn.XLOOKUP(A351,'[2]FRV Output'!$B:$B,'[2]FRV Output'!$F:$F)</f>
        <v>1912323635</v>
      </c>
      <c r="C351" s="139"/>
      <c r="D351" s="139"/>
      <c r="E351" s="140"/>
      <c r="F351" s="148" t="s">
        <v>595</v>
      </c>
      <c r="G351" s="139"/>
      <c r="H351" s="139"/>
      <c r="I351" s="140"/>
      <c r="J351" s="148" t="s">
        <v>595</v>
      </c>
      <c r="K351" s="139"/>
      <c r="L351" s="139"/>
      <c r="M351" s="140"/>
      <c r="N351" s="148" t="s">
        <v>595</v>
      </c>
      <c r="O351" s="139"/>
      <c r="P351" s="139"/>
      <c r="Q351" s="140"/>
      <c r="R351" s="148" t="s">
        <v>595</v>
      </c>
      <c r="S351" s="139"/>
      <c r="T351" s="139"/>
      <c r="U351" s="140"/>
      <c r="V351" s="141" t="s">
        <v>595</v>
      </c>
      <c r="W351" s="139"/>
      <c r="X351" s="139"/>
      <c r="Y351" s="140"/>
    </row>
    <row r="352" spans="1:25" x14ac:dyDescent="0.25">
      <c r="A352" s="142" t="s">
        <v>512</v>
      </c>
      <c r="B352" s="138">
        <f>_xlfn.XLOOKUP(A352,'[2]FRV Output'!$B:$B,'[2]FRV Output'!$F:$F)</f>
        <v>1912902230</v>
      </c>
      <c r="C352" s="139">
        <v>3</v>
      </c>
      <c r="D352" s="139">
        <v>2017</v>
      </c>
      <c r="E352" s="140">
        <v>79357</v>
      </c>
      <c r="F352" s="141" t="s">
        <v>595</v>
      </c>
      <c r="G352" s="139">
        <v>3</v>
      </c>
      <c r="H352" s="139">
        <v>2018</v>
      </c>
      <c r="I352" s="140">
        <v>295001</v>
      </c>
      <c r="J352" s="141" t="s">
        <v>595</v>
      </c>
      <c r="K352" s="139">
        <v>3</v>
      </c>
      <c r="L352" s="139">
        <v>2019</v>
      </c>
      <c r="M352" s="140">
        <v>83514</v>
      </c>
      <c r="N352" s="141" t="s">
        <v>595</v>
      </c>
      <c r="O352" s="139"/>
      <c r="P352" s="139"/>
      <c r="Q352" s="140"/>
      <c r="R352" s="141" t="s">
        <v>595</v>
      </c>
      <c r="S352" s="139"/>
      <c r="T352" s="139"/>
      <c r="U352" s="140"/>
      <c r="V352" s="141" t="s">
        <v>595</v>
      </c>
      <c r="W352" s="139"/>
      <c r="X352" s="139"/>
      <c r="Y352" s="140"/>
    </row>
    <row r="353" spans="1:25" x14ac:dyDescent="0.25">
      <c r="A353" s="142" t="s">
        <v>513</v>
      </c>
      <c r="B353" s="138">
        <f>_xlfn.XLOOKUP(A353,'[2]FRV Output'!$B:$B,'[2]FRV Output'!$F:$F)</f>
        <v>1194028118</v>
      </c>
      <c r="C353" s="139">
        <v>3</v>
      </c>
      <c r="D353" s="139">
        <v>2019</v>
      </c>
      <c r="E353" s="140">
        <v>95304</v>
      </c>
      <c r="F353" s="141" t="s">
        <v>595</v>
      </c>
      <c r="G353" s="139">
        <v>3</v>
      </c>
      <c r="H353" s="139">
        <v>2021</v>
      </c>
      <c r="I353" s="140">
        <v>117028</v>
      </c>
      <c r="J353" s="141" t="s">
        <v>595</v>
      </c>
      <c r="K353" s="139"/>
      <c r="L353" s="139"/>
      <c r="M353" s="140"/>
      <c r="N353" s="141" t="s">
        <v>595</v>
      </c>
      <c r="O353" s="139"/>
      <c r="P353" s="139"/>
      <c r="Q353" s="140"/>
      <c r="R353" s="141" t="s">
        <v>595</v>
      </c>
      <c r="S353" s="139"/>
      <c r="T353" s="139"/>
      <c r="U353" s="140"/>
      <c r="V353" s="141" t="s">
        <v>595</v>
      </c>
      <c r="W353" s="139"/>
      <c r="X353" s="139"/>
      <c r="Y353" s="140"/>
    </row>
    <row r="354" spans="1:25" x14ac:dyDescent="0.25">
      <c r="A354" s="142" t="s">
        <v>514</v>
      </c>
      <c r="B354" s="138">
        <f>_xlfn.XLOOKUP(A354,'[2]FRV Output'!$B:$B,'[2]FRV Output'!$F:$F)</f>
        <v>1215931977</v>
      </c>
      <c r="C354" s="139">
        <v>3</v>
      </c>
      <c r="D354" s="139">
        <v>2016</v>
      </c>
      <c r="E354" s="140">
        <v>915314</v>
      </c>
      <c r="F354" s="141" t="s">
        <v>595</v>
      </c>
      <c r="G354" s="139">
        <v>3</v>
      </c>
      <c r="H354" s="139">
        <v>2017</v>
      </c>
      <c r="I354" s="140">
        <v>63849</v>
      </c>
      <c r="J354" s="141" t="s">
        <v>595</v>
      </c>
      <c r="K354" s="139">
        <v>3</v>
      </c>
      <c r="L354" s="139">
        <v>2019</v>
      </c>
      <c r="M354" s="140">
        <v>155418</v>
      </c>
      <c r="N354" s="141" t="s">
        <v>595</v>
      </c>
      <c r="O354" s="139">
        <v>3</v>
      </c>
      <c r="P354" s="139">
        <v>2020</v>
      </c>
      <c r="Q354" s="140">
        <v>579336</v>
      </c>
      <c r="R354" s="141" t="s">
        <v>595</v>
      </c>
      <c r="S354" s="139">
        <v>3</v>
      </c>
      <c r="T354" s="139">
        <v>2021</v>
      </c>
      <c r="U354" s="140">
        <v>45991</v>
      </c>
      <c r="V354" s="141" t="s">
        <v>595</v>
      </c>
      <c r="W354" s="139"/>
      <c r="X354" s="139"/>
      <c r="Y354" s="140"/>
    </row>
    <row r="355" spans="1:25" x14ac:dyDescent="0.25">
      <c r="A355" s="138" t="s">
        <v>515</v>
      </c>
      <c r="B355" s="138">
        <f>_xlfn.XLOOKUP(A355,'[2]FRV Output'!$B:$B,'[2]FRV Output'!$F:$F)</f>
        <v>1508864323</v>
      </c>
      <c r="C355" s="139">
        <v>3</v>
      </c>
      <c r="D355" s="139">
        <v>2021</v>
      </c>
      <c r="E355" s="140">
        <v>64939</v>
      </c>
      <c r="F355" s="141" t="s">
        <v>595</v>
      </c>
      <c r="G355" s="139"/>
      <c r="H355" s="139"/>
      <c r="I355" s="140"/>
      <c r="J355" s="141" t="s">
        <v>595</v>
      </c>
      <c r="K355" s="139"/>
      <c r="L355" s="139"/>
      <c r="M355" s="140"/>
      <c r="N355" s="141" t="s">
        <v>595</v>
      </c>
      <c r="O355" s="139"/>
      <c r="P355" s="139"/>
      <c r="Q355" s="140"/>
      <c r="R355" s="141" t="s">
        <v>595</v>
      </c>
      <c r="S355" s="139"/>
      <c r="T355" s="139"/>
      <c r="U355" s="140"/>
      <c r="V355" s="141" t="s">
        <v>595</v>
      </c>
      <c r="W355" s="139"/>
      <c r="X355" s="139"/>
      <c r="Y355" s="140"/>
    </row>
    <row r="356" spans="1:25" x14ac:dyDescent="0.25">
      <c r="A356" s="142" t="s">
        <v>516</v>
      </c>
      <c r="B356" s="138">
        <f>_xlfn.XLOOKUP(A356,'[2]FRV Output'!$B:$B,'[2]FRV Output'!$F:$F)</f>
        <v>1427052067</v>
      </c>
      <c r="C356" s="139">
        <v>3</v>
      </c>
      <c r="D356" s="139">
        <v>2016</v>
      </c>
      <c r="E356" s="140">
        <v>82413</v>
      </c>
      <c r="F356" s="141" t="s">
        <v>595</v>
      </c>
      <c r="G356" s="139">
        <v>3</v>
      </c>
      <c r="H356" s="139">
        <v>2017</v>
      </c>
      <c r="I356" s="140">
        <v>301373</v>
      </c>
      <c r="J356" s="141" t="s">
        <v>595</v>
      </c>
      <c r="K356" s="139">
        <v>3</v>
      </c>
      <c r="L356" s="139">
        <v>2018</v>
      </c>
      <c r="M356" s="140">
        <v>154324</v>
      </c>
      <c r="N356" s="141" t="s">
        <v>595</v>
      </c>
      <c r="O356" s="139">
        <v>3</v>
      </c>
      <c r="P356" s="139">
        <v>2019</v>
      </c>
      <c r="Q356" s="140">
        <v>299760</v>
      </c>
      <c r="R356" s="141" t="s">
        <v>595</v>
      </c>
      <c r="S356" s="139">
        <v>3</v>
      </c>
      <c r="T356" s="139">
        <v>2020</v>
      </c>
      <c r="U356" s="140">
        <v>80908</v>
      </c>
      <c r="V356" s="141" t="s">
        <v>595</v>
      </c>
      <c r="W356" s="139">
        <v>3</v>
      </c>
      <c r="X356" s="139">
        <v>2021</v>
      </c>
      <c r="Y356" s="140">
        <v>83775</v>
      </c>
    </row>
    <row r="357" spans="1:25" x14ac:dyDescent="0.25">
      <c r="A357" s="138" t="s">
        <v>761</v>
      </c>
      <c r="B357" s="138" t="e">
        <f>_xlfn.XLOOKUP(A357,'[2]FRV Output'!$B:$B,'[2]FRV Output'!$F:$F)</f>
        <v>#N/A</v>
      </c>
      <c r="C357" s="139" t="s">
        <v>654</v>
      </c>
      <c r="D357" s="139"/>
      <c r="E357" s="140"/>
      <c r="F357" s="141" t="s">
        <v>595</v>
      </c>
      <c r="G357" s="139"/>
      <c r="H357" s="139"/>
      <c r="I357" s="140"/>
      <c r="J357" s="141" t="s">
        <v>595</v>
      </c>
      <c r="K357" s="139"/>
      <c r="L357" s="139"/>
      <c r="M357" s="140"/>
      <c r="N357" s="141" t="s">
        <v>595</v>
      </c>
      <c r="O357" s="139"/>
      <c r="P357" s="139"/>
      <c r="Q357" s="140"/>
      <c r="R357" s="141" t="s">
        <v>595</v>
      </c>
      <c r="S357" s="139"/>
      <c r="T357" s="139"/>
      <c r="U357" s="140"/>
      <c r="V357" s="141" t="s">
        <v>595</v>
      </c>
      <c r="W357" s="139"/>
      <c r="X357" s="139"/>
      <c r="Y357" s="140"/>
    </row>
    <row r="358" spans="1:25" x14ac:dyDescent="0.25">
      <c r="A358" s="142" t="s">
        <v>517</v>
      </c>
      <c r="B358" s="138">
        <f>_xlfn.XLOOKUP(A358,'[2]FRV Output'!$B:$B,'[2]FRV Output'!$F:$F)</f>
        <v>1669449799</v>
      </c>
      <c r="C358" s="139">
        <v>3</v>
      </c>
      <c r="D358" s="139">
        <v>2016</v>
      </c>
      <c r="E358" s="140">
        <v>54239</v>
      </c>
      <c r="F358" s="141" t="s">
        <v>595</v>
      </c>
      <c r="G358" s="139">
        <v>3</v>
      </c>
      <c r="H358" s="139">
        <v>2017</v>
      </c>
      <c r="I358" s="140">
        <v>56770</v>
      </c>
      <c r="J358" s="141" t="s">
        <v>595</v>
      </c>
      <c r="K358" s="139">
        <v>3</v>
      </c>
      <c r="L358" s="139">
        <v>2018</v>
      </c>
      <c r="M358" s="140">
        <v>106632</v>
      </c>
      <c r="N358" s="141" t="s">
        <v>595</v>
      </c>
      <c r="O358" s="139">
        <v>3</v>
      </c>
      <c r="P358" s="139">
        <v>2019</v>
      </c>
      <c r="Q358" s="140">
        <v>248757</v>
      </c>
      <c r="R358" s="141" t="s">
        <v>595</v>
      </c>
      <c r="S358" s="139"/>
      <c r="T358" s="139"/>
      <c r="U358" s="140"/>
      <c r="V358" s="141" t="s">
        <v>595</v>
      </c>
      <c r="W358" s="139"/>
      <c r="X358" s="139"/>
      <c r="Y358" s="140"/>
    </row>
    <row r="359" spans="1:25" x14ac:dyDescent="0.25">
      <c r="A359" s="142" t="s">
        <v>762</v>
      </c>
      <c r="B359" s="138">
        <f>_xlfn.XLOOKUP(A359,'[2]FRV Output'!$B:$B,'[2]FRV Output'!$F:$F)</f>
        <v>1932368586</v>
      </c>
      <c r="C359" s="139">
        <v>3</v>
      </c>
      <c r="D359" s="139">
        <v>2016</v>
      </c>
      <c r="E359" s="140">
        <v>42052</v>
      </c>
      <c r="F359" s="141" t="s">
        <v>595</v>
      </c>
      <c r="G359" s="139">
        <v>3</v>
      </c>
      <c r="H359" s="139">
        <v>2017</v>
      </c>
      <c r="I359" s="140">
        <v>12814</v>
      </c>
      <c r="J359" s="141" t="s">
        <v>595</v>
      </c>
      <c r="K359" s="139">
        <v>3</v>
      </c>
      <c r="L359" s="139">
        <v>2018</v>
      </c>
      <c r="M359" s="140">
        <v>30077</v>
      </c>
      <c r="N359" s="141" t="s">
        <v>595</v>
      </c>
      <c r="O359" s="139">
        <v>3</v>
      </c>
      <c r="P359" s="139">
        <v>2019</v>
      </c>
      <c r="Q359" s="140">
        <v>92275</v>
      </c>
      <c r="R359" s="141" t="s">
        <v>595</v>
      </c>
      <c r="S359" s="139">
        <v>3</v>
      </c>
      <c r="T359" s="139">
        <v>2020</v>
      </c>
      <c r="U359" s="140">
        <v>40061</v>
      </c>
      <c r="V359" s="141" t="s">
        <v>595</v>
      </c>
      <c r="W359" s="139"/>
      <c r="X359" s="139"/>
      <c r="Y359" s="140"/>
    </row>
    <row r="360" spans="1:25" x14ac:dyDescent="0.25">
      <c r="A360" s="138" t="s">
        <v>518</v>
      </c>
      <c r="B360" s="138">
        <f>_xlfn.XLOOKUP(A360,'[2]FRV Output'!$B:$B,'[2]FRV Output'!$F:$F)</f>
        <v>1720088339</v>
      </c>
      <c r="C360" s="139">
        <v>3</v>
      </c>
      <c r="D360" s="139">
        <v>2018</v>
      </c>
      <c r="E360" s="140">
        <v>182839</v>
      </c>
      <c r="F360" s="141" t="s">
        <v>595</v>
      </c>
      <c r="G360" s="139">
        <v>3</v>
      </c>
      <c r="H360" s="139">
        <v>2021</v>
      </c>
      <c r="I360" s="140">
        <v>86370</v>
      </c>
      <c r="J360" s="141" t="s">
        <v>595</v>
      </c>
      <c r="K360" s="139"/>
      <c r="L360" s="139"/>
      <c r="M360" s="140"/>
      <c r="N360" s="141" t="s">
        <v>595</v>
      </c>
      <c r="O360" s="139"/>
      <c r="P360" s="139"/>
      <c r="Q360" s="140"/>
      <c r="R360" s="141" t="s">
        <v>595</v>
      </c>
      <c r="S360" s="139"/>
      <c r="T360" s="139"/>
      <c r="U360" s="140"/>
      <c r="V360" s="141" t="s">
        <v>595</v>
      </c>
      <c r="W360" s="139"/>
      <c r="X360" s="139"/>
      <c r="Y360" s="140"/>
    </row>
    <row r="361" spans="1:25" x14ac:dyDescent="0.25">
      <c r="A361" s="138" t="s">
        <v>763</v>
      </c>
      <c r="B361" s="138">
        <f>_xlfn.XLOOKUP(A361,'[2]FRV Output'!$B:$B,'[2]FRV Output'!$F:$F)</f>
        <v>1891007506</v>
      </c>
      <c r="C361" s="139"/>
      <c r="D361" s="139"/>
      <c r="E361" s="140"/>
      <c r="F361" s="141" t="s">
        <v>595</v>
      </c>
      <c r="G361" s="139"/>
      <c r="H361" s="139"/>
      <c r="I361" s="140"/>
      <c r="J361" s="141" t="s">
        <v>595</v>
      </c>
      <c r="K361" s="139"/>
      <c r="L361" s="139"/>
      <c r="M361" s="140"/>
      <c r="N361" s="141" t="s">
        <v>595</v>
      </c>
      <c r="O361" s="139"/>
      <c r="P361" s="139"/>
      <c r="Q361" s="140"/>
      <c r="R361" s="141" t="s">
        <v>595</v>
      </c>
      <c r="S361" s="139"/>
      <c r="T361" s="139"/>
      <c r="U361" s="140"/>
      <c r="V361" s="141" t="s">
        <v>595</v>
      </c>
      <c r="W361" s="139"/>
      <c r="X361" s="139"/>
      <c r="Y361" s="140"/>
    </row>
    <row r="362" spans="1:25" x14ac:dyDescent="0.25">
      <c r="A362" s="142" t="s">
        <v>519</v>
      </c>
      <c r="B362" s="138">
        <f>_xlfn.XLOOKUP(A362,'[2]FRV Output'!$B:$B,'[2]FRV Output'!$F:$F)</f>
        <v>1225279755</v>
      </c>
      <c r="C362" s="139">
        <v>3</v>
      </c>
      <c r="D362" s="139">
        <v>2016</v>
      </c>
      <c r="E362" s="140">
        <v>67894</v>
      </c>
      <c r="F362" s="141" t="s">
        <v>595</v>
      </c>
      <c r="G362" s="139">
        <v>3</v>
      </c>
      <c r="H362" s="139">
        <v>2019</v>
      </c>
      <c r="I362" s="140">
        <v>69957</v>
      </c>
      <c r="J362" s="141" t="s">
        <v>595</v>
      </c>
      <c r="K362" s="139"/>
      <c r="L362" s="139"/>
      <c r="M362" s="140"/>
      <c r="N362" s="141" t="s">
        <v>595</v>
      </c>
      <c r="O362" s="139"/>
      <c r="P362" s="139"/>
      <c r="Q362" s="140"/>
      <c r="R362" s="141" t="s">
        <v>595</v>
      </c>
      <c r="S362" s="139"/>
      <c r="T362" s="139"/>
      <c r="U362" s="140"/>
      <c r="V362" s="141" t="s">
        <v>595</v>
      </c>
      <c r="W362" s="139"/>
      <c r="X362" s="139"/>
      <c r="Y362" s="140"/>
    </row>
    <row r="363" spans="1:25" x14ac:dyDescent="0.25">
      <c r="A363" s="138" t="s">
        <v>520</v>
      </c>
      <c r="B363" s="138">
        <f>_xlfn.XLOOKUP(A363,'[2]FRV Output'!$B:$B,'[2]FRV Output'!$F:$F)</f>
        <v>1235370750</v>
      </c>
      <c r="C363" s="139">
        <v>3</v>
      </c>
      <c r="D363" s="139">
        <v>2017</v>
      </c>
      <c r="E363" s="140">
        <v>313750</v>
      </c>
      <c r="F363" s="141" t="s">
        <v>595</v>
      </c>
      <c r="G363" s="139"/>
      <c r="H363" s="139"/>
      <c r="I363" s="140"/>
      <c r="J363" s="141" t="s">
        <v>595</v>
      </c>
      <c r="K363" s="139"/>
      <c r="L363" s="139"/>
      <c r="M363" s="140"/>
      <c r="N363" s="141" t="s">
        <v>595</v>
      </c>
      <c r="O363" s="139"/>
      <c r="P363" s="139"/>
      <c r="Q363" s="140"/>
      <c r="R363" s="141" t="s">
        <v>595</v>
      </c>
      <c r="S363" s="139"/>
      <c r="T363" s="139"/>
      <c r="U363" s="140"/>
      <c r="V363" s="141" t="s">
        <v>595</v>
      </c>
      <c r="W363" s="139"/>
      <c r="X363" s="139"/>
      <c r="Y363" s="140"/>
    </row>
    <row r="364" spans="1:25" x14ac:dyDescent="0.25">
      <c r="A364" s="142" t="s">
        <v>521</v>
      </c>
      <c r="B364" s="138">
        <f>_xlfn.XLOOKUP(A364,'[2]FRV Output'!$B:$B,'[2]FRV Output'!$F:$F)</f>
        <v>1497996920</v>
      </c>
      <c r="C364" s="139">
        <v>3</v>
      </c>
      <c r="D364" s="139">
        <v>2019</v>
      </c>
      <c r="E364" s="140">
        <v>91225</v>
      </c>
      <c r="F364" s="141" t="s">
        <v>595</v>
      </c>
      <c r="G364" s="139"/>
      <c r="H364" s="139"/>
      <c r="I364" s="140"/>
      <c r="J364" s="141" t="s">
        <v>595</v>
      </c>
      <c r="K364" s="139"/>
      <c r="L364" s="139"/>
      <c r="M364" s="140"/>
      <c r="N364" s="141" t="s">
        <v>595</v>
      </c>
      <c r="O364" s="139"/>
      <c r="P364" s="139"/>
      <c r="Q364" s="140"/>
      <c r="R364" s="141" t="s">
        <v>595</v>
      </c>
      <c r="S364" s="139"/>
      <c r="T364" s="139"/>
      <c r="U364" s="140"/>
      <c r="V364" s="141" t="s">
        <v>595</v>
      </c>
      <c r="W364" s="139"/>
      <c r="X364" s="139"/>
      <c r="Y364" s="140"/>
    </row>
    <row r="365" spans="1:25" x14ac:dyDescent="0.25">
      <c r="A365" s="142" t="s">
        <v>522</v>
      </c>
      <c r="B365" s="138">
        <f>_xlfn.XLOOKUP(A365,'[2]FRV Output'!$B:$B,'[2]FRV Output'!$F:$F)</f>
        <v>1295704997</v>
      </c>
      <c r="C365" s="139">
        <v>2</v>
      </c>
      <c r="D365" s="139">
        <v>2016</v>
      </c>
      <c r="E365" s="140">
        <v>20</v>
      </c>
      <c r="F365" s="141" t="s">
        <v>595</v>
      </c>
      <c r="G365" s="139">
        <v>3</v>
      </c>
      <c r="H365" s="139">
        <v>2017</v>
      </c>
      <c r="I365" s="140">
        <v>159182</v>
      </c>
      <c r="J365" s="141" t="s">
        <v>595</v>
      </c>
      <c r="K365" s="139">
        <v>3</v>
      </c>
      <c r="L365" s="139">
        <v>2019</v>
      </c>
      <c r="M365" s="140">
        <v>92110</v>
      </c>
      <c r="N365" s="141" t="s">
        <v>595</v>
      </c>
      <c r="O365" s="139"/>
      <c r="P365" s="139"/>
      <c r="Q365" s="140"/>
      <c r="R365" s="141" t="s">
        <v>595</v>
      </c>
      <c r="S365" s="139"/>
      <c r="T365" s="139"/>
      <c r="U365" s="140"/>
      <c r="V365" s="141" t="s">
        <v>595</v>
      </c>
      <c r="W365" s="139"/>
      <c r="X365" s="139"/>
      <c r="Y365" s="140"/>
    </row>
    <row r="366" spans="1:25" x14ac:dyDescent="0.25">
      <c r="A366" s="138" t="s">
        <v>523</v>
      </c>
      <c r="B366" s="138">
        <f>_xlfn.XLOOKUP(A366,'[2]FRV Output'!$B:$B,'[2]FRV Output'!$F:$F)</f>
        <v>1629047279</v>
      </c>
      <c r="C366" s="139">
        <v>3</v>
      </c>
      <c r="D366" s="139">
        <v>2016</v>
      </c>
      <c r="E366" s="140">
        <v>114188</v>
      </c>
      <c r="F366" s="141" t="s">
        <v>595</v>
      </c>
      <c r="G366" s="139">
        <v>3</v>
      </c>
      <c r="H366" s="139">
        <v>2021</v>
      </c>
      <c r="I366" s="140">
        <v>64663</v>
      </c>
      <c r="J366" s="141" t="s">
        <v>595</v>
      </c>
      <c r="K366" s="139"/>
      <c r="L366" s="139"/>
      <c r="M366" s="140"/>
      <c r="N366" s="141" t="s">
        <v>595</v>
      </c>
      <c r="O366" s="139"/>
      <c r="P366" s="139"/>
      <c r="Q366" s="140"/>
      <c r="R366" s="141" t="s">
        <v>595</v>
      </c>
      <c r="S366" s="139"/>
      <c r="T366" s="139"/>
      <c r="U366" s="140"/>
      <c r="V366" s="141" t="s">
        <v>595</v>
      </c>
      <c r="W366" s="139"/>
      <c r="X366" s="139"/>
      <c r="Y366" s="140"/>
    </row>
    <row r="367" spans="1:25" x14ac:dyDescent="0.25">
      <c r="A367" s="138" t="s">
        <v>524</v>
      </c>
      <c r="B367" s="138">
        <f>_xlfn.XLOOKUP(A367,'[2]FRV Output'!$B:$B,'[2]FRV Output'!$F:$F)</f>
        <v>1144299702</v>
      </c>
      <c r="C367" s="139">
        <v>3</v>
      </c>
      <c r="D367" s="139">
        <v>2016</v>
      </c>
      <c r="E367" s="140">
        <v>98761</v>
      </c>
      <c r="F367" s="141" t="s">
        <v>595</v>
      </c>
      <c r="G367" s="139">
        <v>1</v>
      </c>
      <c r="H367" s="139">
        <v>2016</v>
      </c>
      <c r="I367" s="140">
        <v>20</v>
      </c>
      <c r="J367" s="141" t="s">
        <v>595</v>
      </c>
      <c r="K367" s="139">
        <v>3</v>
      </c>
      <c r="L367" s="139">
        <v>2021</v>
      </c>
      <c r="M367" s="140">
        <v>67159</v>
      </c>
      <c r="N367" s="141" t="s">
        <v>595</v>
      </c>
      <c r="O367" s="139"/>
      <c r="P367" s="139"/>
      <c r="Q367" s="140"/>
      <c r="R367" s="141" t="s">
        <v>595</v>
      </c>
      <c r="S367" s="139"/>
      <c r="T367" s="139"/>
      <c r="U367" s="140"/>
      <c r="V367" s="141" t="s">
        <v>595</v>
      </c>
      <c r="W367" s="139"/>
      <c r="X367" s="139"/>
      <c r="Y367" s="140"/>
    </row>
    <row r="368" spans="1:25" x14ac:dyDescent="0.25">
      <c r="A368" s="142" t="s">
        <v>525</v>
      </c>
      <c r="B368" s="138">
        <f>_xlfn.XLOOKUP(A368,'[2]FRV Output'!$B:$B,'[2]FRV Output'!$F:$F)</f>
        <v>1437484672</v>
      </c>
      <c r="C368" s="139">
        <v>3</v>
      </c>
      <c r="D368" s="139">
        <v>2016</v>
      </c>
      <c r="E368" s="140">
        <v>56465</v>
      </c>
      <c r="F368" s="141" t="s">
        <v>595</v>
      </c>
      <c r="G368" s="139"/>
      <c r="H368" s="139"/>
      <c r="I368" s="140"/>
      <c r="J368" s="141" t="s">
        <v>595</v>
      </c>
      <c r="K368" s="139"/>
      <c r="L368" s="139"/>
      <c r="M368" s="140"/>
      <c r="N368" s="141" t="s">
        <v>595</v>
      </c>
      <c r="O368" s="139"/>
      <c r="P368" s="139"/>
      <c r="Q368" s="140"/>
      <c r="R368" s="141" t="s">
        <v>595</v>
      </c>
      <c r="S368" s="139"/>
      <c r="T368" s="139"/>
      <c r="U368" s="140"/>
      <c r="V368" s="141" t="s">
        <v>595</v>
      </c>
      <c r="W368" s="139"/>
      <c r="X368" s="139"/>
      <c r="Y368" s="140"/>
    </row>
    <row r="369" spans="1:25" x14ac:dyDescent="0.25">
      <c r="A369" s="155" t="s">
        <v>526</v>
      </c>
      <c r="B369" s="138">
        <f>_xlfn.XLOOKUP(A369,'[2]FRV Output'!$B:$B,'[2]FRV Output'!$F:$F)</f>
        <v>1942279609</v>
      </c>
      <c r="C369" s="139">
        <v>3</v>
      </c>
      <c r="D369" s="139">
        <v>2020</v>
      </c>
      <c r="E369" s="140">
        <v>105770</v>
      </c>
      <c r="F369" s="141" t="s">
        <v>595</v>
      </c>
      <c r="G369" s="139"/>
      <c r="H369" s="139"/>
      <c r="I369" s="140"/>
      <c r="J369" s="141" t="s">
        <v>595</v>
      </c>
      <c r="K369" s="139"/>
      <c r="L369" s="139"/>
      <c r="M369" s="140"/>
      <c r="N369" s="141" t="s">
        <v>595</v>
      </c>
      <c r="O369" s="139"/>
      <c r="P369" s="139"/>
      <c r="Q369" s="140"/>
      <c r="R369" s="141" t="s">
        <v>595</v>
      </c>
      <c r="S369" s="139"/>
      <c r="T369" s="139"/>
      <c r="U369" s="140"/>
      <c r="V369" s="141" t="s">
        <v>595</v>
      </c>
      <c r="W369" s="139"/>
      <c r="X369" s="139"/>
      <c r="Y369" s="140"/>
    </row>
    <row r="370" spans="1:25" x14ac:dyDescent="0.25">
      <c r="A370" s="155" t="s">
        <v>764</v>
      </c>
      <c r="B370" s="138">
        <f>_xlfn.XLOOKUP(A370,'[2]FRV Output'!$B:$B,'[2]FRV Output'!$F:$F)</f>
        <v>1114996758</v>
      </c>
      <c r="C370" s="139">
        <v>3</v>
      </c>
      <c r="D370" s="139">
        <v>2016</v>
      </c>
      <c r="E370" s="140">
        <v>58352</v>
      </c>
      <c r="F370" s="141" t="s">
        <v>595</v>
      </c>
      <c r="G370" s="139"/>
      <c r="H370" s="139"/>
      <c r="I370" s="140"/>
      <c r="J370" s="141" t="s">
        <v>595</v>
      </c>
      <c r="K370" s="139"/>
      <c r="L370" s="139"/>
      <c r="M370" s="140"/>
      <c r="N370" s="141" t="s">
        <v>595</v>
      </c>
      <c r="O370" s="139"/>
      <c r="P370" s="139"/>
      <c r="Q370" s="140"/>
      <c r="R370" s="141" t="s">
        <v>595</v>
      </c>
      <c r="S370" s="139"/>
      <c r="T370" s="139"/>
      <c r="U370" s="140"/>
      <c r="V370" s="141" t="s">
        <v>595</v>
      </c>
      <c r="W370" s="139"/>
      <c r="X370" s="139"/>
      <c r="Y370" s="140"/>
    </row>
    <row r="371" spans="1:25" x14ac:dyDescent="0.25">
      <c r="A371" s="138" t="s">
        <v>765</v>
      </c>
      <c r="B371" s="138">
        <f>_xlfn.XLOOKUP(A371,'[2]FRV Output'!$B:$B,'[2]FRV Output'!$F:$F)</f>
        <v>1902875578</v>
      </c>
      <c r="C371" s="139"/>
      <c r="D371" s="139"/>
      <c r="E371" s="140"/>
      <c r="F371" s="141" t="s">
        <v>595</v>
      </c>
      <c r="G371" s="139"/>
      <c r="H371" s="139"/>
      <c r="I371" s="140"/>
      <c r="J371" s="141" t="s">
        <v>595</v>
      </c>
      <c r="K371" s="139"/>
      <c r="L371" s="139"/>
      <c r="M371" s="140"/>
      <c r="N371" s="141" t="s">
        <v>595</v>
      </c>
      <c r="O371" s="139"/>
      <c r="P371" s="139"/>
      <c r="Q371" s="140"/>
      <c r="R371" s="141" t="s">
        <v>595</v>
      </c>
      <c r="S371" s="139"/>
      <c r="T371" s="139"/>
      <c r="U371" s="140"/>
      <c r="V371" s="141" t="s">
        <v>595</v>
      </c>
      <c r="W371" s="139"/>
      <c r="X371" s="139"/>
      <c r="Y371" s="140"/>
    </row>
    <row r="372" spans="1:25" x14ac:dyDescent="0.25">
      <c r="A372" s="156" t="s">
        <v>529</v>
      </c>
      <c r="B372" s="138">
        <f>_xlfn.XLOOKUP(A372,'[2]FRV Output'!$B:$B,'[2]FRV Output'!$F:$F)</f>
        <v>1588805014</v>
      </c>
      <c r="C372" s="139">
        <v>3</v>
      </c>
      <c r="D372" s="139">
        <v>2016</v>
      </c>
      <c r="E372" s="140">
        <v>95117</v>
      </c>
      <c r="F372" s="141" t="s">
        <v>595</v>
      </c>
      <c r="G372" s="139"/>
      <c r="H372" s="139"/>
      <c r="I372" s="140"/>
      <c r="J372" s="141" t="s">
        <v>595</v>
      </c>
      <c r="K372" s="139"/>
      <c r="L372" s="139"/>
      <c r="M372" s="140"/>
      <c r="N372" s="141" t="s">
        <v>595</v>
      </c>
      <c r="O372" s="139"/>
      <c r="P372" s="139"/>
      <c r="Q372" s="140"/>
      <c r="R372" s="141" t="s">
        <v>595</v>
      </c>
      <c r="S372" s="139"/>
      <c r="T372" s="139"/>
      <c r="U372" s="140"/>
      <c r="V372" s="141" t="s">
        <v>595</v>
      </c>
      <c r="W372" s="139"/>
      <c r="X372" s="139"/>
      <c r="Y372" s="140"/>
    </row>
    <row r="373" spans="1:25" x14ac:dyDescent="0.25">
      <c r="A373" s="138" t="s">
        <v>766</v>
      </c>
      <c r="B373" s="138">
        <f>_xlfn.XLOOKUP(A373,'[2]FRV Output'!$B:$B,'[2]FRV Output'!$F:$F)</f>
        <v>1669408969</v>
      </c>
      <c r="C373" s="139">
        <v>3</v>
      </c>
      <c r="D373" s="139">
        <v>2020</v>
      </c>
      <c r="E373" s="140">
        <v>2770833</v>
      </c>
      <c r="F373" s="141" t="s">
        <v>595</v>
      </c>
      <c r="G373" s="139"/>
      <c r="H373" s="139"/>
      <c r="I373" s="140"/>
      <c r="J373" s="141" t="s">
        <v>595</v>
      </c>
      <c r="K373" s="139"/>
      <c r="L373" s="139"/>
      <c r="M373" s="140"/>
      <c r="N373" s="141" t="s">
        <v>595</v>
      </c>
      <c r="O373" s="139"/>
      <c r="P373" s="139"/>
      <c r="Q373" s="140"/>
      <c r="R373" s="141" t="s">
        <v>595</v>
      </c>
      <c r="S373" s="139"/>
      <c r="T373" s="139"/>
      <c r="U373" s="140"/>
      <c r="V373" s="141" t="s">
        <v>595</v>
      </c>
      <c r="W373" s="139"/>
      <c r="X373" s="139"/>
      <c r="Y373" s="140"/>
    </row>
    <row r="374" spans="1:25" x14ac:dyDescent="0.25">
      <c r="A374" s="138" t="s">
        <v>531</v>
      </c>
      <c r="B374" s="138">
        <f>_xlfn.XLOOKUP(A374,'[2]FRV Output'!$B:$B,'[2]FRV Output'!$F:$F)</f>
        <v>1689640583</v>
      </c>
      <c r="C374" s="139">
        <v>3</v>
      </c>
      <c r="D374" s="139">
        <v>2018</v>
      </c>
      <c r="E374" s="140">
        <v>128868</v>
      </c>
      <c r="F374" s="141" t="s">
        <v>595</v>
      </c>
      <c r="G374" s="139">
        <v>3</v>
      </c>
      <c r="H374" s="139">
        <v>2021</v>
      </c>
      <c r="I374" s="140">
        <v>71274</v>
      </c>
      <c r="J374" s="141" t="s">
        <v>595</v>
      </c>
      <c r="K374" s="139"/>
      <c r="L374" s="139"/>
      <c r="M374" s="140"/>
      <c r="N374" s="141" t="s">
        <v>595</v>
      </c>
      <c r="O374" s="139"/>
      <c r="P374" s="139"/>
      <c r="Q374" s="140"/>
      <c r="R374" s="141" t="s">
        <v>595</v>
      </c>
      <c r="S374" s="139"/>
      <c r="T374" s="139"/>
      <c r="U374" s="140"/>
      <c r="V374" s="141" t="s">
        <v>595</v>
      </c>
      <c r="W374" s="139"/>
      <c r="X374" s="139"/>
      <c r="Y374" s="140"/>
    </row>
    <row r="375" spans="1:25" x14ac:dyDescent="0.25">
      <c r="A375" s="138" t="s">
        <v>532</v>
      </c>
      <c r="B375" s="138">
        <f>_xlfn.XLOOKUP(A375,'[2]FRV Output'!$B:$B,'[2]FRV Output'!$F:$F)</f>
        <v>1831125285</v>
      </c>
      <c r="C375" s="139">
        <v>3</v>
      </c>
      <c r="D375" s="139">
        <v>2016</v>
      </c>
      <c r="E375" s="140">
        <v>42465</v>
      </c>
      <c r="F375" s="141" t="s">
        <v>595</v>
      </c>
      <c r="G375" s="139">
        <v>3</v>
      </c>
      <c r="H375" s="139">
        <v>2017</v>
      </c>
      <c r="I375" s="140">
        <v>47234</v>
      </c>
      <c r="J375" s="141" t="s">
        <v>595</v>
      </c>
      <c r="K375" s="139">
        <v>3</v>
      </c>
      <c r="L375" s="139">
        <v>2020</v>
      </c>
      <c r="M375" s="140">
        <v>48348</v>
      </c>
      <c r="N375" s="141" t="s">
        <v>595</v>
      </c>
      <c r="O375" s="139"/>
      <c r="P375" s="139"/>
      <c r="Q375" s="140"/>
      <c r="R375" s="141" t="s">
        <v>595</v>
      </c>
      <c r="S375" s="139"/>
      <c r="T375" s="139"/>
      <c r="U375" s="140"/>
      <c r="V375" s="141" t="s">
        <v>595</v>
      </c>
      <c r="W375" s="139"/>
      <c r="X375" s="139"/>
      <c r="Y375" s="140"/>
    </row>
    <row r="376" spans="1:25" x14ac:dyDescent="0.25">
      <c r="A376" s="138" t="s">
        <v>533</v>
      </c>
      <c r="B376" s="138">
        <f>_xlfn.XLOOKUP(A376,'[2]FRV Output'!$B:$B,'[2]FRV Output'!$F:$F)</f>
        <v>1871063214</v>
      </c>
      <c r="C376" s="139">
        <v>3</v>
      </c>
      <c r="D376" s="139">
        <v>2016</v>
      </c>
      <c r="E376" s="140">
        <v>123096</v>
      </c>
      <c r="F376" s="141" t="s">
        <v>595</v>
      </c>
      <c r="G376" s="139">
        <v>3</v>
      </c>
      <c r="H376" s="139">
        <v>2017</v>
      </c>
      <c r="I376" s="140">
        <v>290865</v>
      </c>
      <c r="J376" s="141" t="s">
        <v>595</v>
      </c>
      <c r="K376" s="139">
        <v>3</v>
      </c>
      <c r="L376" s="139">
        <v>2018</v>
      </c>
      <c r="M376" s="140">
        <v>59742</v>
      </c>
      <c r="N376" s="141" t="s">
        <v>595</v>
      </c>
      <c r="O376" s="139"/>
      <c r="P376" s="139"/>
      <c r="Q376" s="140"/>
      <c r="R376" s="141" t="s">
        <v>595</v>
      </c>
      <c r="S376" s="139"/>
      <c r="T376" s="139"/>
      <c r="U376" s="140"/>
      <c r="V376" s="141" t="s">
        <v>595</v>
      </c>
      <c r="W376" s="139"/>
      <c r="X376" s="139"/>
      <c r="Y376" s="140"/>
    </row>
    <row r="377" spans="1:25" x14ac:dyDescent="0.25">
      <c r="A377" s="142" t="s">
        <v>534</v>
      </c>
      <c r="B377" s="138">
        <f>_xlfn.XLOOKUP(A377,'[2]FRV Output'!$B:$B,'[2]FRV Output'!$F:$F)</f>
        <v>1629515499</v>
      </c>
      <c r="C377" s="139">
        <v>3</v>
      </c>
      <c r="D377" s="139">
        <v>2018</v>
      </c>
      <c r="E377" s="140">
        <v>147269</v>
      </c>
      <c r="F377" s="141" t="s">
        <v>595</v>
      </c>
      <c r="G377" s="139">
        <v>3</v>
      </c>
      <c r="H377" s="139">
        <v>2019</v>
      </c>
      <c r="I377" s="140">
        <v>64739</v>
      </c>
      <c r="J377" s="141" t="s">
        <v>595</v>
      </c>
      <c r="K377" s="139"/>
      <c r="L377" s="139"/>
      <c r="M377" s="140"/>
      <c r="N377" s="141" t="s">
        <v>595</v>
      </c>
      <c r="O377" s="139"/>
      <c r="P377" s="139"/>
      <c r="Q377" s="140"/>
      <c r="R377" s="141" t="s">
        <v>595</v>
      </c>
      <c r="S377" s="139"/>
      <c r="T377" s="139"/>
      <c r="U377" s="140"/>
      <c r="V377" s="141" t="s">
        <v>595</v>
      </c>
      <c r="W377" s="139"/>
      <c r="X377" s="139"/>
      <c r="Y377" s="140"/>
    </row>
    <row r="378" spans="1:25" x14ac:dyDescent="0.25">
      <c r="A378" s="142" t="s">
        <v>767</v>
      </c>
      <c r="B378" s="138">
        <f>_xlfn.XLOOKUP(A378,'[2]FRV Output'!$B:$B,'[2]FRV Output'!$F:$F)</f>
        <v>1134660103</v>
      </c>
      <c r="C378" s="139">
        <v>3</v>
      </c>
      <c r="D378" s="139">
        <v>2017</v>
      </c>
      <c r="E378" s="140">
        <v>118998</v>
      </c>
      <c r="F378" s="141" t="s">
        <v>595</v>
      </c>
      <c r="G378" s="139">
        <v>3</v>
      </c>
      <c r="H378" s="139">
        <v>2018</v>
      </c>
      <c r="I378" s="140">
        <v>594009</v>
      </c>
      <c r="J378" s="141" t="s">
        <v>595</v>
      </c>
      <c r="K378" s="139">
        <v>3</v>
      </c>
      <c r="L378" s="139">
        <v>2019</v>
      </c>
      <c r="M378" s="140">
        <v>993059</v>
      </c>
      <c r="N378" s="141" t="s">
        <v>595</v>
      </c>
      <c r="O378" s="139">
        <v>3</v>
      </c>
      <c r="P378" s="139">
        <v>2020</v>
      </c>
      <c r="Q378" s="140">
        <v>91112</v>
      </c>
      <c r="R378" s="141" t="s">
        <v>595</v>
      </c>
      <c r="S378" s="139"/>
      <c r="T378" s="139"/>
      <c r="U378" s="140"/>
      <c r="V378" s="141" t="s">
        <v>595</v>
      </c>
      <c r="W378" s="139"/>
      <c r="X378" s="139"/>
      <c r="Y378" s="140"/>
    </row>
    <row r="379" spans="1:25" x14ac:dyDescent="0.25">
      <c r="A379" s="138" t="s">
        <v>536</v>
      </c>
      <c r="B379" s="138">
        <f>_xlfn.XLOOKUP(A379,'[2]FRV Output'!$B:$B,'[2]FRV Output'!$F:$F)</f>
        <v>1447736087</v>
      </c>
      <c r="C379" s="139">
        <v>3</v>
      </c>
      <c r="D379" s="139">
        <v>2018</v>
      </c>
      <c r="E379" s="140">
        <v>218575</v>
      </c>
      <c r="F379" s="141" t="s">
        <v>595</v>
      </c>
      <c r="G379" s="139">
        <v>3</v>
      </c>
      <c r="H379" s="139">
        <v>2021</v>
      </c>
      <c r="I379" s="140">
        <v>46040</v>
      </c>
      <c r="J379" s="141" t="s">
        <v>595</v>
      </c>
      <c r="K379" s="139"/>
      <c r="L379" s="139"/>
      <c r="M379" s="140"/>
      <c r="N379" s="141" t="s">
        <v>595</v>
      </c>
      <c r="O379" s="139"/>
      <c r="P379" s="139"/>
      <c r="Q379" s="140"/>
      <c r="R379" s="141" t="s">
        <v>595</v>
      </c>
      <c r="S379" s="139"/>
      <c r="T379" s="139"/>
      <c r="U379" s="140"/>
      <c r="V379" s="141" t="s">
        <v>595</v>
      </c>
      <c r="W379" s="139"/>
      <c r="X379" s="139"/>
      <c r="Y379" s="140"/>
    </row>
    <row r="380" spans="1:25" x14ac:dyDescent="0.25">
      <c r="A380" s="142" t="s">
        <v>768</v>
      </c>
      <c r="B380" s="138">
        <f>_xlfn.XLOOKUP(A380,'[2]FRV Output'!$B:$B,'[2]FRV Output'!$F:$F)</f>
        <v>1366418246</v>
      </c>
      <c r="C380" s="139"/>
      <c r="D380" s="139"/>
      <c r="E380" s="140"/>
      <c r="F380" s="141" t="s">
        <v>595</v>
      </c>
      <c r="G380" s="139"/>
      <c r="H380" s="139"/>
      <c r="I380" s="140"/>
      <c r="J380" s="141" t="s">
        <v>595</v>
      </c>
      <c r="K380" s="139"/>
      <c r="L380" s="139"/>
      <c r="M380" s="140"/>
      <c r="N380" s="141" t="s">
        <v>595</v>
      </c>
      <c r="O380" s="139"/>
      <c r="P380" s="139"/>
      <c r="Q380" s="140"/>
      <c r="R380" s="141" t="s">
        <v>595</v>
      </c>
      <c r="S380" s="139"/>
      <c r="T380" s="139"/>
      <c r="U380" s="140"/>
      <c r="V380" s="141" t="s">
        <v>595</v>
      </c>
      <c r="W380" s="139"/>
      <c r="X380" s="139"/>
      <c r="Y380" s="140"/>
    </row>
    <row r="381" spans="1:25" x14ac:dyDescent="0.25">
      <c r="A381" s="142" t="s">
        <v>769</v>
      </c>
      <c r="B381" s="138">
        <f>_xlfn.XLOOKUP(A381,'[2]FRV Output'!$B:$B,'[2]FRV Output'!$F:$F)</f>
        <v>1124094008</v>
      </c>
      <c r="C381" s="139"/>
      <c r="D381" s="139"/>
      <c r="E381" s="140"/>
      <c r="F381" s="141" t="s">
        <v>595</v>
      </c>
      <c r="G381" s="139"/>
      <c r="H381" s="139"/>
      <c r="I381" s="140"/>
      <c r="J381" s="141" t="s">
        <v>595</v>
      </c>
      <c r="K381" s="139"/>
      <c r="L381" s="139"/>
      <c r="M381" s="140"/>
      <c r="N381" s="141" t="s">
        <v>595</v>
      </c>
      <c r="O381" s="139"/>
      <c r="P381" s="139"/>
      <c r="Q381" s="140"/>
      <c r="R381" s="141" t="s">
        <v>595</v>
      </c>
      <c r="S381" s="139"/>
      <c r="T381" s="139"/>
      <c r="U381" s="140"/>
      <c r="V381" s="141" t="s">
        <v>595</v>
      </c>
      <c r="W381" s="139"/>
      <c r="X381" s="139"/>
      <c r="Y381" s="140"/>
    </row>
    <row r="382" spans="1:25" x14ac:dyDescent="0.25">
      <c r="A382" s="138" t="s">
        <v>537</v>
      </c>
      <c r="B382" s="138">
        <f>_xlfn.XLOOKUP(A382,'[2]FRV Output'!$B:$B,'[2]FRV Output'!$F:$F)</f>
        <v>1659319366</v>
      </c>
      <c r="C382" s="139">
        <v>3</v>
      </c>
      <c r="D382" s="139">
        <v>2016</v>
      </c>
      <c r="E382" s="140">
        <v>0</v>
      </c>
      <c r="F382" s="141" t="s">
        <v>595</v>
      </c>
      <c r="G382" s="139">
        <v>3</v>
      </c>
      <c r="H382" s="139">
        <v>2017</v>
      </c>
      <c r="I382" s="140">
        <v>141755</v>
      </c>
      <c r="J382" s="141" t="s">
        <v>595</v>
      </c>
      <c r="K382" s="139">
        <v>3</v>
      </c>
      <c r="L382" s="139">
        <v>2018</v>
      </c>
      <c r="M382" s="140">
        <v>82784</v>
      </c>
      <c r="N382" s="141" t="s">
        <v>595</v>
      </c>
      <c r="O382" s="139"/>
      <c r="P382" s="139"/>
      <c r="Q382" s="140"/>
      <c r="R382" s="141" t="s">
        <v>595</v>
      </c>
      <c r="S382" s="139"/>
      <c r="T382" s="139"/>
      <c r="U382" s="140"/>
      <c r="V382" s="141" t="s">
        <v>595</v>
      </c>
      <c r="W382" s="139"/>
      <c r="X382" s="139"/>
      <c r="Y382" s="140"/>
    </row>
    <row r="383" spans="1:25" x14ac:dyDescent="0.25">
      <c r="A383" s="142" t="s">
        <v>538</v>
      </c>
      <c r="B383" s="138">
        <f>_xlfn.XLOOKUP(A383,'[2]FRV Output'!$B:$B,'[2]FRV Output'!$F:$F)</f>
        <v>1972050276</v>
      </c>
      <c r="C383" s="139">
        <v>3</v>
      </c>
      <c r="D383" s="139">
        <v>2019</v>
      </c>
      <c r="E383" s="140">
        <v>241620</v>
      </c>
      <c r="F383" s="141" t="s">
        <v>595</v>
      </c>
      <c r="G383" s="139">
        <v>3</v>
      </c>
      <c r="H383" s="139">
        <v>2021</v>
      </c>
      <c r="I383" s="140">
        <v>240285</v>
      </c>
      <c r="J383" s="141" t="s">
        <v>595</v>
      </c>
      <c r="K383" s="139"/>
      <c r="L383" s="139"/>
      <c r="M383" s="140"/>
      <c r="N383" s="141" t="s">
        <v>595</v>
      </c>
      <c r="O383" s="139"/>
      <c r="P383" s="139"/>
      <c r="Q383" s="140"/>
      <c r="R383" s="141" t="s">
        <v>595</v>
      </c>
      <c r="S383" s="139"/>
      <c r="T383" s="139"/>
      <c r="U383" s="140"/>
      <c r="V383" s="141" t="s">
        <v>595</v>
      </c>
      <c r="W383" s="139"/>
      <c r="X383" s="139"/>
      <c r="Y383" s="140"/>
    </row>
    <row r="384" spans="1:25" x14ac:dyDescent="0.25">
      <c r="A384" s="138" t="s">
        <v>770</v>
      </c>
      <c r="B384" s="138">
        <f>_xlfn.XLOOKUP(A384,'[2]FRV Output'!$B:$B,'[2]FRV Output'!$F:$F)</f>
        <v>1023386190</v>
      </c>
      <c r="C384" s="139"/>
      <c r="D384" s="139"/>
      <c r="E384" s="140"/>
      <c r="F384" s="141" t="s">
        <v>595</v>
      </c>
      <c r="G384" s="139"/>
      <c r="H384" s="139"/>
      <c r="I384" s="140"/>
      <c r="J384" s="141" t="s">
        <v>595</v>
      </c>
      <c r="K384" s="139"/>
      <c r="L384" s="139"/>
      <c r="M384" s="140"/>
      <c r="N384" s="141" t="s">
        <v>595</v>
      </c>
      <c r="O384" s="139"/>
      <c r="P384" s="139"/>
      <c r="Q384" s="140"/>
      <c r="R384" s="141" t="s">
        <v>595</v>
      </c>
      <c r="S384" s="139"/>
      <c r="T384" s="139"/>
      <c r="U384" s="140"/>
      <c r="V384" s="141" t="s">
        <v>595</v>
      </c>
      <c r="W384" s="139"/>
      <c r="X384" s="139"/>
      <c r="Y384" s="140"/>
    </row>
    <row r="385" spans="1:25" x14ac:dyDescent="0.25">
      <c r="A385" s="138" t="s">
        <v>771</v>
      </c>
      <c r="B385" s="138">
        <f>_xlfn.XLOOKUP(A385,'[2]FRV Output'!$B:$B,'[2]FRV Output'!$F:$F)</f>
        <v>1154369841</v>
      </c>
      <c r="C385" s="139">
        <v>3</v>
      </c>
      <c r="D385" s="139">
        <v>2016</v>
      </c>
      <c r="E385" s="140">
        <v>40585</v>
      </c>
      <c r="F385" s="141" t="s">
        <v>595</v>
      </c>
      <c r="G385" s="139">
        <v>3</v>
      </c>
      <c r="H385" s="139">
        <v>2018</v>
      </c>
      <c r="I385" s="140">
        <v>94699</v>
      </c>
      <c r="J385" s="141" t="s">
        <v>595</v>
      </c>
      <c r="K385" s="139">
        <v>3</v>
      </c>
      <c r="L385" s="139">
        <v>2020</v>
      </c>
      <c r="M385" s="140">
        <v>51908</v>
      </c>
      <c r="N385" s="141" t="s">
        <v>595</v>
      </c>
      <c r="O385" s="139">
        <v>3</v>
      </c>
      <c r="P385" s="139">
        <v>2021</v>
      </c>
      <c r="Q385" s="140">
        <v>61996</v>
      </c>
      <c r="R385" s="141" t="s">
        <v>595</v>
      </c>
      <c r="S385" s="139"/>
      <c r="T385" s="139"/>
      <c r="U385" s="140"/>
      <c r="V385" s="141" t="s">
        <v>595</v>
      </c>
      <c r="W385" s="139"/>
      <c r="X385" s="139"/>
      <c r="Y385" s="140"/>
    </row>
    <row r="386" spans="1:25" x14ac:dyDescent="0.25">
      <c r="A386" s="142" t="s">
        <v>541</v>
      </c>
      <c r="B386" s="138">
        <f>_xlfn.XLOOKUP(A386,'[2]FRV Output'!$B:$B,'[2]FRV Output'!$F:$F)</f>
        <v>1639153919</v>
      </c>
      <c r="C386" s="139">
        <v>3</v>
      </c>
      <c r="D386" s="139">
        <v>2016</v>
      </c>
      <c r="E386" s="140">
        <v>42469</v>
      </c>
      <c r="F386" s="141" t="s">
        <v>595</v>
      </c>
      <c r="G386" s="139">
        <v>3</v>
      </c>
      <c r="H386" s="139">
        <v>2017</v>
      </c>
      <c r="I386" s="140">
        <v>54361</v>
      </c>
      <c r="J386" s="141" t="s">
        <v>595</v>
      </c>
      <c r="K386" s="139">
        <v>3</v>
      </c>
      <c r="L386" s="139">
        <v>2018</v>
      </c>
      <c r="M386" s="140">
        <v>58672</v>
      </c>
      <c r="N386" s="141" t="s">
        <v>595</v>
      </c>
      <c r="O386" s="139">
        <v>3</v>
      </c>
      <c r="P386" s="139">
        <v>2019</v>
      </c>
      <c r="Q386" s="140">
        <v>47012</v>
      </c>
      <c r="R386" s="141" t="s">
        <v>595</v>
      </c>
      <c r="S386" s="139">
        <v>3</v>
      </c>
      <c r="T386" s="139">
        <v>2020</v>
      </c>
      <c r="U386" s="140">
        <v>32219</v>
      </c>
      <c r="V386" s="141" t="s">
        <v>595</v>
      </c>
      <c r="W386" s="139"/>
      <c r="X386" s="139"/>
      <c r="Y386" s="140"/>
    </row>
    <row r="387" spans="1:25" x14ac:dyDescent="0.25">
      <c r="A387" s="138" t="s">
        <v>542</v>
      </c>
      <c r="B387" s="138">
        <f>_xlfn.XLOOKUP(A387,'[2]FRV Output'!$B:$B,'[2]FRV Output'!$F:$F)</f>
        <v>1043314602</v>
      </c>
      <c r="C387" s="139">
        <v>3</v>
      </c>
      <c r="D387" s="139">
        <v>2017</v>
      </c>
      <c r="E387" s="140">
        <v>135625</v>
      </c>
      <c r="F387" s="141" t="s">
        <v>595</v>
      </c>
      <c r="G387" s="139">
        <v>3</v>
      </c>
      <c r="H387" s="139">
        <v>2018</v>
      </c>
      <c r="I387" s="140">
        <v>432063</v>
      </c>
      <c r="J387" s="141" t="s">
        <v>595</v>
      </c>
      <c r="K387" s="139">
        <v>3</v>
      </c>
      <c r="L387" s="139">
        <v>2021</v>
      </c>
      <c r="M387" s="140">
        <v>244839</v>
      </c>
      <c r="N387" s="141" t="s">
        <v>595</v>
      </c>
      <c r="O387" s="139"/>
      <c r="P387" s="139"/>
      <c r="Q387" s="140"/>
      <c r="R387" s="141" t="s">
        <v>595</v>
      </c>
      <c r="S387" s="139"/>
      <c r="T387" s="139"/>
      <c r="U387" s="140"/>
      <c r="V387" s="141" t="s">
        <v>595</v>
      </c>
      <c r="W387" s="139"/>
      <c r="X387" s="139"/>
      <c r="Y387" s="140"/>
    </row>
    <row r="388" spans="1:25" x14ac:dyDescent="0.25">
      <c r="A388" s="142" t="s">
        <v>772</v>
      </c>
      <c r="B388" s="138">
        <f>_xlfn.XLOOKUP(A388,'[2]FRV Output'!$B:$B,'[2]FRV Output'!$F:$F)</f>
        <v>1891740544</v>
      </c>
      <c r="C388" s="139">
        <v>3</v>
      </c>
      <c r="D388" s="139">
        <v>2019</v>
      </c>
      <c r="E388" s="140">
        <v>80421</v>
      </c>
      <c r="F388" s="141" t="s">
        <v>595</v>
      </c>
      <c r="G388" s="139">
        <v>3</v>
      </c>
      <c r="H388" s="139">
        <v>2021</v>
      </c>
      <c r="I388" s="140">
        <v>50912</v>
      </c>
      <c r="J388" s="141" t="s">
        <v>595</v>
      </c>
      <c r="K388" s="139"/>
      <c r="L388" s="139"/>
      <c r="M388" s="140"/>
      <c r="N388" s="141" t="s">
        <v>595</v>
      </c>
      <c r="O388" s="139"/>
      <c r="P388" s="139"/>
      <c r="Q388" s="140"/>
      <c r="R388" s="141" t="s">
        <v>595</v>
      </c>
      <c r="S388" s="139"/>
      <c r="T388" s="139"/>
      <c r="U388" s="140"/>
      <c r="V388" s="141" t="s">
        <v>595</v>
      </c>
      <c r="W388" s="139"/>
      <c r="X388" s="139"/>
      <c r="Y388" s="140"/>
    </row>
    <row r="389" spans="1:25" x14ac:dyDescent="0.25">
      <c r="A389" s="138" t="s">
        <v>544</v>
      </c>
      <c r="B389" s="138">
        <f>_xlfn.XLOOKUP(A389,'[2]FRV Output'!$B:$B,'[2]FRV Output'!$F:$F)</f>
        <v>1700821865</v>
      </c>
      <c r="C389" s="139">
        <v>3</v>
      </c>
      <c r="D389" s="139">
        <v>2017</v>
      </c>
      <c r="E389" s="140">
        <v>58596</v>
      </c>
      <c r="F389" s="141" t="s">
        <v>595</v>
      </c>
      <c r="G389" s="139">
        <v>3</v>
      </c>
      <c r="H389" s="139">
        <v>2018</v>
      </c>
      <c r="I389" s="140">
        <v>53896</v>
      </c>
      <c r="J389" s="141" t="s">
        <v>595</v>
      </c>
      <c r="K389" s="139">
        <v>3</v>
      </c>
      <c r="L389" s="139">
        <v>2021</v>
      </c>
      <c r="M389" s="140">
        <v>81032</v>
      </c>
      <c r="N389" s="141" t="s">
        <v>595</v>
      </c>
      <c r="O389" s="139"/>
      <c r="P389" s="139"/>
      <c r="Q389" s="140"/>
      <c r="R389" s="141" t="s">
        <v>595</v>
      </c>
      <c r="S389" s="139"/>
      <c r="T389" s="139"/>
      <c r="U389" s="140"/>
      <c r="V389" s="141" t="s">
        <v>595</v>
      </c>
      <c r="W389" s="139"/>
      <c r="X389" s="139"/>
      <c r="Y389" s="140"/>
    </row>
    <row r="390" spans="1:25" x14ac:dyDescent="0.25">
      <c r="A390" s="138" t="s">
        <v>773</v>
      </c>
      <c r="B390" s="138">
        <f>_xlfn.XLOOKUP(A390,'[2]FRV Output'!$B:$B,'[2]FRV Output'!$F:$F)</f>
        <v>1184650541</v>
      </c>
      <c r="C390" s="139">
        <v>3</v>
      </c>
      <c r="D390" s="139">
        <v>2017</v>
      </c>
      <c r="E390" s="140">
        <v>203573</v>
      </c>
      <c r="F390" s="141" t="s">
        <v>595</v>
      </c>
      <c r="G390" s="139"/>
      <c r="H390" s="139"/>
      <c r="I390" s="140"/>
      <c r="J390" s="141" t="s">
        <v>595</v>
      </c>
      <c r="K390" s="139"/>
      <c r="L390" s="139"/>
      <c r="M390" s="140"/>
      <c r="N390" s="141" t="s">
        <v>595</v>
      </c>
      <c r="O390" s="139"/>
      <c r="P390" s="139"/>
      <c r="Q390" s="140"/>
      <c r="R390" s="141" t="s">
        <v>595</v>
      </c>
      <c r="S390" s="139"/>
      <c r="T390" s="139"/>
      <c r="U390" s="140"/>
      <c r="V390" s="141" t="s">
        <v>595</v>
      </c>
      <c r="W390" s="139"/>
      <c r="X390" s="139"/>
      <c r="Y390" s="140"/>
    </row>
    <row r="391" spans="1:25" x14ac:dyDescent="0.25">
      <c r="A391" s="138" t="s">
        <v>546</v>
      </c>
      <c r="B391" s="138">
        <f>_xlfn.XLOOKUP(A391,'[2]FRV Output'!$B:$B,'[2]FRV Output'!$F:$F)</f>
        <v>1902853781</v>
      </c>
      <c r="C391" s="139">
        <v>3</v>
      </c>
      <c r="D391" s="139">
        <v>2016</v>
      </c>
      <c r="E391" s="140">
        <v>267359</v>
      </c>
      <c r="F391" s="141" t="s">
        <v>595</v>
      </c>
      <c r="G391" s="139">
        <v>3</v>
      </c>
      <c r="H391" s="139">
        <v>2017</v>
      </c>
      <c r="I391" s="140">
        <v>105007</v>
      </c>
      <c r="J391" s="141" t="s">
        <v>595</v>
      </c>
      <c r="K391" s="139">
        <v>3</v>
      </c>
      <c r="L391" s="139">
        <v>2018</v>
      </c>
      <c r="M391" s="140">
        <v>78733</v>
      </c>
      <c r="N391" s="141" t="s">
        <v>595</v>
      </c>
      <c r="O391" s="139">
        <v>3</v>
      </c>
      <c r="P391" s="139">
        <v>2020</v>
      </c>
      <c r="Q391" s="140">
        <v>95486</v>
      </c>
      <c r="R391" s="141" t="s">
        <v>595</v>
      </c>
      <c r="S391" s="139">
        <v>3</v>
      </c>
      <c r="T391" s="139">
        <v>2021</v>
      </c>
      <c r="U391" s="140">
        <v>130330</v>
      </c>
      <c r="V391" s="141" t="s">
        <v>595</v>
      </c>
      <c r="W391" s="139"/>
      <c r="X391" s="139"/>
      <c r="Y391" s="140"/>
    </row>
    <row r="392" spans="1:25" x14ac:dyDescent="0.25">
      <c r="A392" s="142" t="s">
        <v>547</v>
      </c>
      <c r="B392" s="138">
        <f>_xlfn.XLOOKUP(A392,'[2]FRV Output'!$B:$B,'[2]FRV Output'!$F:$F)</f>
        <v>1235264219</v>
      </c>
      <c r="C392" s="139">
        <v>3</v>
      </c>
      <c r="D392" s="139">
        <v>2016</v>
      </c>
      <c r="E392" s="140">
        <v>227903</v>
      </c>
      <c r="F392" s="141" t="s">
        <v>595</v>
      </c>
      <c r="G392" s="139">
        <v>3</v>
      </c>
      <c r="H392" s="139">
        <v>2017</v>
      </c>
      <c r="I392" s="140">
        <v>145608</v>
      </c>
      <c r="J392" s="141" t="s">
        <v>595</v>
      </c>
      <c r="K392" s="139">
        <v>3</v>
      </c>
      <c r="L392" s="139">
        <v>2018</v>
      </c>
      <c r="M392" s="140">
        <v>98790</v>
      </c>
      <c r="N392" s="141" t="s">
        <v>595</v>
      </c>
      <c r="O392" s="139">
        <v>3</v>
      </c>
      <c r="P392" s="139">
        <v>2019</v>
      </c>
      <c r="Q392" s="140">
        <v>618173</v>
      </c>
      <c r="R392" s="141" t="s">
        <v>595</v>
      </c>
      <c r="S392" s="139">
        <v>3</v>
      </c>
      <c r="T392" s="139">
        <v>2020</v>
      </c>
      <c r="U392" s="140">
        <v>89068</v>
      </c>
      <c r="V392" s="141" t="s">
        <v>595</v>
      </c>
      <c r="W392" s="139">
        <v>3</v>
      </c>
      <c r="X392" s="139">
        <v>2021</v>
      </c>
      <c r="Y392" s="140">
        <v>115553</v>
      </c>
    </row>
    <row r="393" spans="1:25" x14ac:dyDescent="0.25">
      <c r="A393" s="142" t="s">
        <v>548</v>
      </c>
      <c r="B393" s="138">
        <f>_xlfn.XLOOKUP(A393,'[2]FRV Output'!$B:$B,'[2]FRV Output'!$F:$F)</f>
        <v>1366577355</v>
      </c>
      <c r="C393" s="139">
        <v>3</v>
      </c>
      <c r="D393" s="139">
        <v>2016</v>
      </c>
      <c r="E393" s="140">
        <v>293981</v>
      </c>
      <c r="F393" s="141" t="s">
        <v>595</v>
      </c>
      <c r="G393" s="139">
        <v>3</v>
      </c>
      <c r="H393" s="139">
        <v>2017</v>
      </c>
      <c r="I393" s="140">
        <v>276094</v>
      </c>
      <c r="J393" s="141" t="s">
        <v>595</v>
      </c>
      <c r="K393" s="139">
        <v>3</v>
      </c>
      <c r="L393" s="139">
        <v>2018</v>
      </c>
      <c r="M393" s="140">
        <v>376835</v>
      </c>
      <c r="N393" s="141" t="s">
        <v>595</v>
      </c>
      <c r="O393" s="139">
        <v>3</v>
      </c>
      <c r="P393" s="139">
        <v>2019</v>
      </c>
      <c r="Q393" s="140">
        <v>147186</v>
      </c>
      <c r="R393" s="141" t="s">
        <v>595</v>
      </c>
      <c r="S393" s="139">
        <v>3</v>
      </c>
      <c r="T393" s="139">
        <v>2020</v>
      </c>
      <c r="U393" s="140">
        <v>176431</v>
      </c>
      <c r="V393" s="141" t="s">
        <v>595</v>
      </c>
      <c r="W393" s="139">
        <v>3</v>
      </c>
      <c r="X393" s="139">
        <v>2021</v>
      </c>
      <c r="Y393" s="140">
        <v>238626</v>
      </c>
    </row>
    <row r="394" spans="1:25" x14ac:dyDescent="0.25">
      <c r="A394" s="142" t="s">
        <v>549</v>
      </c>
      <c r="B394" s="138">
        <f>_xlfn.XLOOKUP(A394,'[2]FRV Output'!$B:$B,'[2]FRV Output'!$F:$F)</f>
        <v>1033244090</v>
      </c>
      <c r="C394" s="139">
        <v>3</v>
      </c>
      <c r="D394" s="139">
        <v>2016</v>
      </c>
      <c r="E394" s="140">
        <v>129521</v>
      </c>
      <c r="F394" s="141" t="s">
        <v>595</v>
      </c>
      <c r="G394" s="139">
        <v>3</v>
      </c>
      <c r="H394" s="139">
        <v>2017</v>
      </c>
      <c r="I394" s="140">
        <v>195624</v>
      </c>
      <c r="J394" s="141" t="s">
        <v>595</v>
      </c>
      <c r="K394" s="139">
        <v>3</v>
      </c>
      <c r="L394" s="139">
        <v>2018</v>
      </c>
      <c r="M394" s="140">
        <v>227969</v>
      </c>
      <c r="N394" s="141" t="s">
        <v>595</v>
      </c>
      <c r="O394" s="139">
        <v>3</v>
      </c>
      <c r="P394" s="139">
        <v>2019</v>
      </c>
      <c r="Q394" s="140">
        <v>336176</v>
      </c>
      <c r="R394" s="141" t="s">
        <v>595</v>
      </c>
      <c r="S394" s="139">
        <v>3</v>
      </c>
      <c r="T394" s="139">
        <v>2020</v>
      </c>
      <c r="U394" s="140">
        <v>172774</v>
      </c>
      <c r="V394" s="141" t="s">
        <v>595</v>
      </c>
      <c r="W394" s="139">
        <v>3</v>
      </c>
      <c r="X394" s="139">
        <v>2021</v>
      </c>
      <c r="Y394" s="140">
        <v>260286</v>
      </c>
    </row>
    <row r="395" spans="1:25" x14ac:dyDescent="0.25">
      <c r="A395" s="138" t="s">
        <v>550</v>
      </c>
      <c r="B395" s="138">
        <f>_xlfn.XLOOKUP(A395,'[2]FRV Output'!$B:$B,'[2]FRV Output'!$F:$F)</f>
        <v>1770618720</v>
      </c>
      <c r="C395" s="139">
        <v>3</v>
      </c>
      <c r="D395" s="139">
        <v>2016</v>
      </c>
      <c r="E395" s="140">
        <v>741898</v>
      </c>
      <c r="F395" s="141" t="s">
        <v>595</v>
      </c>
      <c r="G395" s="139">
        <v>3</v>
      </c>
      <c r="H395" s="139">
        <v>2017</v>
      </c>
      <c r="I395" s="140">
        <v>148076</v>
      </c>
      <c r="J395" s="141" t="s">
        <v>595</v>
      </c>
      <c r="K395" s="139">
        <v>3</v>
      </c>
      <c r="L395" s="139">
        <v>2018</v>
      </c>
      <c r="M395" s="140">
        <v>83512</v>
      </c>
      <c r="N395" s="141" t="s">
        <v>595</v>
      </c>
      <c r="O395" s="139">
        <v>3</v>
      </c>
      <c r="P395" s="139">
        <v>2020</v>
      </c>
      <c r="Q395" s="140">
        <v>87099</v>
      </c>
      <c r="R395" s="141" t="s">
        <v>595</v>
      </c>
      <c r="S395" s="139">
        <v>3</v>
      </c>
      <c r="T395" s="139">
        <v>2021</v>
      </c>
      <c r="U395" s="140">
        <v>108218</v>
      </c>
      <c r="V395" s="141" t="s">
        <v>595</v>
      </c>
      <c r="W395" s="139"/>
      <c r="X395" s="139"/>
      <c r="Y395" s="140"/>
    </row>
    <row r="396" spans="1:25" x14ac:dyDescent="0.25">
      <c r="A396" s="142" t="s">
        <v>551</v>
      </c>
      <c r="B396" s="138">
        <f>_xlfn.XLOOKUP(A396,'[2]FRV Output'!$B:$B,'[2]FRV Output'!$F:$F)</f>
        <v>1356476311</v>
      </c>
      <c r="C396" s="139">
        <v>3</v>
      </c>
      <c r="D396" s="139">
        <v>2016</v>
      </c>
      <c r="E396" s="140">
        <v>289885</v>
      </c>
      <c r="F396" s="141" t="s">
        <v>595</v>
      </c>
      <c r="G396" s="139">
        <v>3</v>
      </c>
      <c r="H396" s="139">
        <v>2017</v>
      </c>
      <c r="I396" s="140">
        <v>141051</v>
      </c>
      <c r="J396" s="141" t="s">
        <v>595</v>
      </c>
      <c r="K396" s="139">
        <v>3</v>
      </c>
      <c r="L396" s="139">
        <v>2018</v>
      </c>
      <c r="M396" s="140">
        <v>68079</v>
      </c>
      <c r="N396" s="141" t="s">
        <v>595</v>
      </c>
      <c r="O396" s="139">
        <v>3</v>
      </c>
      <c r="P396" s="139">
        <v>2019</v>
      </c>
      <c r="Q396" s="140">
        <v>62539</v>
      </c>
      <c r="R396" s="141" t="s">
        <v>595</v>
      </c>
      <c r="S396" s="139">
        <v>3</v>
      </c>
      <c r="T396" s="139">
        <v>2020</v>
      </c>
      <c r="U396" s="140">
        <v>111192</v>
      </c>
      <c r="V396" s="141" t="s">
        <v>595</v>
      </c>
      <c r="W396" s="139">
        <v>3</v>
      </c>
      <c r="X396" s="139">
        <v>2021</v>
      </c>
      <c r="Y396" s="140">
        <v>735855</v>
      </c>
    </row>
    <row r="397" spans="1:25" x14ac:dyDescent="0.25">
      <c r="A397" s="142" t="s">
        <v>774</v>
      </c>
      <c r="B397" s="138">
        <f>_xlfn.XLOOKUP(A397,'[2]FRV Output'!$B:$B,'[2]FRV Output'!$F:$F)</f>
        <v>1124342241</v>
      </c>
      <c r="C397" s="139">
        <v>3</v>
      </c>
      <c r="D397" s="139">
        <v>2016</v>
      </c>
      <c r="E397" s="140">
        <v>64105</v>
      </c>
      <c r="F397" s="141" t="s">
        <v>595</v>
      </c>
      <c r="G397" s="139">
        <v>3</v>
      </c>
      <c r="H397" s="139">
        <v>2018</v>
      </c>
      <c r="I397" s="140">
        <v>98930</v>
      </c>
      <c r="J397" s="141" t="s">
        <v>595</v>
      </c>
      <c r="K397" s="139">
        <v>3</v>
      </c>
      <c r="L397" s="139">
        <v>2019</v>
      </c>
      <c r="M397" s="140">
        <v>89527</v>
      </c>
      <c r="N397" s="141" t="s">
        <v>595</v>
      </c>
      <c r="O397" s="139">
        <v>3</v>
      </c>
      <c r="P397" s="139">
        <v>2020</v>
      </c>
      <c r="Q397" s="140">
        <v>80651</v>
      </c>
      <c r="R397" s="141" t="s">
        <v>595</v>
      </c>
      <c r="S397" s="139">
        <v>3</v>
      </c>
      <c r="T397" s="139">
        <v>2021</v>
      </c>
      <c r="U397" s="140">
        <v>119719</v>
      </c>
      <c r="V397" s="141" t="s">
        <v>595</v>
      </c>
      <c r="W397" s="139"/>
      <c r="X397" s="139"/>
      <c r="Y397" s="140"/>
    </row>
    <row r="398" spans="1:25" x14ac:dyDescent="0.25">
      <c r="A398" s="142" t="s">
        <v>775</v>
      </c>
      <c r="B398" s="138">
        <f>_xlfn.XLOOKUP(A398,'[2]FRV Output'!$B:$B,'[2]FRV Output'!$F:$F)</f>
        <v>1548230188</v>
      </c>
      <c r="C398" s="139"/>
      <c r="D398" s="139"/>
      <c r="E398" s="140"/>
      <c r="F398" s="141" t="s">
        <v>595</v>
      </c>
      <c r="G398" s="139"/>
      <c r="H398" s="139"/>
      <c r="I398" s="140"/>
      <c r="J398" s="141" t="s">
        <v>595</v>
      </c>
      <c r="K398" s="139"/>
      <c r="L398" s="139"/>
      <c r="M398" s="140"/>
      <c r="N398" s="141" t="s">
        <v>595</v>
      </c>
      <c r="O398" s="139"/>
      <c r="P398" s="139"/>
      <c r="Q398" s="140"/>
      <c r="R398" s="141" t="s">
        <v>595</v>
      </c>
      <c r="S398" s="139"/>
      <c r="T398" s="139"/>
      <c r="U398" s="140"/>
      <c r="V398" s="141" t="s">
        <v>595</v>
      </c>
      <c r="W398" s="139"/>
      <c r="X398" s="139"/>
      <c r="Y398" s="140"/>
    </row>
    <row r="399" spans="1:25" x14ac:dyDescent="0.25">
      <c r="A399" s="138" t="s">
        <v>555</v>
      </c>
      <c r="B399" s="138">
        <f>_xlfn.XLOOKUP(A399,'[2]FRV Output'!$B:$B,'[2]FRV Output'!$F:$F)</f>
        <v>1528606225</v>
      </c>
      <c r="C399" s="139">
        <v>3</v>
      </c>
      <c r="D399" s="139">
        <v>2016</v>
      </c>
      <c r="E399" s="140">
        <v>157077</v>
      </c>
      <c r="F399" s="141" t="s">
        <v>595</v>
      </c>
      <c r="G399" s="139">
        <v>3</v>
      </c>
      <c r="H399" s="139">
        <v>2020</v>
      </c>
      <c r="I399" s="140">
        <v>114755</v>
      </c>
      <c r="J399" s="141" t="s">
        <v>595</v>
      </c>
      <c r="K399" s="139">
        <v>3</v>
      </c>
      <c r="L399" s="139">
        <v>2021</v>
      </c>
      <c r="M399" s="140">
        <v>67622</v>
      </c>
      <c r="N399" s="141" t="s">
        <v>595</v>
      </c>
      <c r="O399" s="139"/>
      <c r="P399" s="139"/>
      <c r="Q399" s="140"/>
      <c r="R399" s="141" t="s">
        <v>595</v>
      </c>
      <c r="S399" s="139"/>
      <c r="T399" s="139"/>
      <c r="U399" s="140"/>
      <c r="V399" s="141" t="s">
        <v>595</v>
      </c>
      <c r="W399" s="139"/>
      <c r="X399" s="139"/>
      <c r="Y399" s="140"/>
    </row>
    <row r="400" spans="1:25" x14ac:dyDescent="0.25">
      <c r="A400" s="138" t="s">
        <v>776</v>
      </c>
      <c r="B400" s="138">
        <f>_xlfn.XLOOKUP(A400,'[2]FRV Output'!$B:$B,'[2]FRV Output'!$F:$F)</f>
        <v>1508802497</v>
      </c>
      <c r="C400" s="139"/>
      <c r="D400" s="139"/>
      <c r="E400" s="140"/>
      <c r="F400" s="141" t="s">
        <v>595</v>
      </c>
      <c r="G400" s="139"/>
      <c r="H400" s="139"/>
      <c r="I400" s="140"/>
      <c r="J400" s="141" t="s">
        <v>595</v>
      </c>
      <c r="K400" s="139"/>
      <c r="L400" s="139"/>
      <c r="M400" s="140"/>
      <c r="N400" s="141" t="s">
        <v>595</v>
      </c>
      <c r="O400" s="139"/>
      <c r="P400" s="139"/>
      <c r="Q400" s="140"/>
      <c r="R400" s="141" t="s">
        <v>595</v>
      </c>
      <c r="S400" s="139"/>
      <c r="T400" s="139"/>
      <c r="U400" s="140"/>
      <c r="V400" s="141" t="s">
        <v>595</v>
      </c>
      <c r="W400" s="139"/>
      <c r="X400" s="139"/>
      <c r="Y400" s="140"/>
    </row>
    <row r="401" spans="1:25" x14ac:dyDescent="0.25">
      <c r="A401" s="138" t="s">
        <v>557</v>
      </c>
      <c r="B401" s="138">
        <f>_xlfn.XLOOKUP(A401,'[2]FRV Output'!$B:$B,'[2]FRV Output'!$F:$F)</f>
        <v>1629425491</v>
      </c>
      <c r="C401" s="139">
        <v>1</v>
      </c>
      <c r="D401" s="139">
        <v>2019</v>
      </c>
      <c r="E401" s="140">
        <v>-14</v>
      </c>
      <c r="F401" s="141" t="s">
        <v>700</v>
      </c>
      <c r="G401" s="139"/>
      <c r="H401" s="139"/>
      <c r="I401" s="140"/>
      <c r="J401" s="141" t="s">
        <v>595</v>
      </c>
      <c r="K401" s="139"/>
      <c r="L401" s="139"/>
      <c r="M401" s="140"/>
      <c r="N401" s="141" t="s">
        <v>595</v>
      </c>
      <c r="O401" s="139"/>
      <c r="P401" s="139"/>
      <c r="Q401" s="140"/>
      <c r="R401" s="141" t="s">
        <v>595</v>
      </c>
      <c r="S401" s="139"/>
      <c r="T401" s="139"/>
      <c r="U401" s="140"/>
      <c r="V401" s="141" t="s">
        <v>595</v>
      </c>
      <c r="W401" s="139"/>
      <c r="X401" s="139"/>
      <c r="Y401" s="140"/>
    </row>
    <row r="402" spans="1:25" x14ac:dyDescent="0.25">
      <c r="A402" s="138" t="s">
        <v>558</v>
      </c>
      <c r="B402" s="138">
        <f>_xlfn.XLOOKUP(A402,'[2]FRV Output'!$B:$B,'[2]FRV Output'!$F:$F)</f>
        <v>1629016340</v>
      </c>
      <c r="C402" s="139">
        <v>3</v>
      </c>
      <c r="D402" s="139">
        <v>2017</v>
      </c>
      <c r="E402" s="140">
        <v>44210</v>
      </c>
      <c r="F402" s="141" t="s">
        <v>595</v>
      </c>
      <c r="G402" s="139">
        <v>3</v>
      </c>
      <c r="H402" s="139">
        <v>2021</v>
      </c>
      <c r="I402" s="140">
        <v>51375</v>
      </c>
      <c r="J402" s="141" t="s">
        <v>595</v>
      </c>
      <c r="K402" s="139"/>
      <c r="L402" s="139"/>
      <c r="M402" s="140"/>
      <c r="N402" s="141" t="s">
        <v>595</v>
      </c>
      <c r="O402" s="139"/>
      <c r="P402" s="139"/>
      <c r="Q402" s="140"/>
      <c r="R402" s="141" t="s">
        <v>595</v>
      </c>
      <c r="S402" s="139"/>
      <c r="T402" s="139"/>
      <c r="U402" s="140"/>
      <c r="V402" s="141" t="s">
        <v>595</v>
      </c>
      <c r="W402" s="139"/>
      <c r="X402" s="139"/>
      <c r="Y402" s="140"/>
    </row>
    <row r="403" spans="1:25" x14ac:dyDescent="0.25">
      <c r="A403" s="138" t="s">
        <v>559</v>
      </c>
      <c r="B403" s="138">
        <f>_xlfn.XLOOKUP(A403,'[2]FRV Output'!$B:$B,'[2]FRV Output'!$F:$F)</f>
        <v>1215979059</v>
      </c>
      <c r="C403" s="139">
        <v>3</v>
      </c>
      <c r="D403" s="139">
        <v>2016</v>
      </c>
      <c r="E403" s="140">
        <v>487980</v>
      </c>
      <c r="F403" s="141" t="s">
        <v>595</v>
      </c>
      <c r="G403" s="139">
        <v>3</v>
      </c>
      <c r="H403" s="139">
        <v>2018</v>
      </c>
      <c r="I403" s="140">
        <v>113861</v>
      </c>
      <c r="J403" s="141" t="s">
        <v>595</v>
      </c>
      <c r="K403" s="139">
        <v>3</v>
      </c>
      <c r="L403" s="139">
        <v>2020</v>
      </c>
      <c r="M403" s="140">
        <v>102873</v>
      </c>
      <c r="N403" s="141" t="s">
        <v>595</v>
      </c>
      <c r="O403" s="139">
        <v>3</v>
      </c>
      <c r="P403" s="139">
        <v>2021</v>
      </c>
      <c r="Q403" s="140">
        <v>51890</v>
      </c>
      <c r="R403" s="141" t="s">
        <v>595</v>
      </c>
      <c r="S403" s="139"/>
      <c r="T403" s="139"/>
      <c r="U403" s="140"/>
      <c r="V403" s="141" t="s">
        <v>595</v>
      </c>
      <c r="W403" s="139"/>
      <c r="X403" s="139"/>
      <c r="Y403" s="140"/>
    </row>
    <row r="404" spans="1:25" x14ac:dyDescent="0.25">
      <c r="A404" s="138" t="s">
        <v>777</v>
      </c>
      <c r="B404" s="138">
        <f>_xlfn.XLOOKUP(A404,'[2]FRV Output'!$B:$B,'[2]FRV Output'!$F:$F)</f>
        <v>1700812146</v>
      </c>
      <c r="C404" s="139"/>
      <c r="D404" s="139"/>
      <c r="E404" s="140"/>
      <c r="F404" s="141" t="s">
        <v>595</v>
      </c>
      <c r="G404" s="139"/>
      <c r="H404" s="139"/>
      <c r="I404" s="140"/>
      <c r="J404" s="141" t="s">
        <v>595</v>
      </c>
      <c r="K404" s="139"/>
      <c r="L404" s="139"/>
      <c r="M404" s="140"/>
      <c r="N404" s="141" t="s">
        <v>595</v>
      </c>
      <c r="O404" s="139"/>
      <c r="P404" s="139"/>
      <c r="Q404" s="140"/>
      <c r="R404" s="141" t="s">
        <v>595</v>
      </c>
      <c r="S404" s="139"/>
      <c r="T404" s="139"/>
      <c r="U404" s="140"/>
      <c r="V404" s="141" t="s">
        <v>595</v>
      </c>
      <c r="W404" s="139"/>
      <c r="X404" s="139"/>
      <c r="Y404" s="140"/>
    </row>
    <row r="405" spans="1:25" x14ac:dyDescent="0.25">
      <c r="A405" s="153" t="s">
        <v>778</v>
      </c>
      <c r="B405" s="138">
        <f>_xlfn.XLOOKUP(A405,'[2]FRV Output'!$B:$B,'[2]FRV Output'!$F:$F)</f>
        <v>1750703278</v>
      </c>
      <c r="C405" s="139"/>
      <c r="D405" s="139"/>
      <c r="E405" s="140"/>
      <c r="F405" s="141" t="s">
        <v>595</v>
      </c>
      <c r="G405" s="139"/>
      <c r="H405" s="139"/>
      <c r="I405" s="140"/>
      <c r="J405" s="141" t="s">
        <v>595</v>
      </c>
      <c r="K405" s="139"/>
      <c r="L405" s="139"/>
      <c r="M405" s="140"/>
      <c r="N405" s="141" t="s">
        <v>595</v>
      </c>
      <c r="O405" s="139"/>
      <c r="P405" s="139"/>
      <c r="Q405" s="140"/>
      <c r="R405" s="141" t="s">
        <v>595</v>
      </c>
      <c r="S405" s="139"/>
      <c r="T405" s="139"/>
      <c r="U405" s="140"/>
      <c r="V405" s="141" t="s">
        <v>595</v>
      </c>
      <c r="W405" s="139"/>
      <c r="X405" s="139"/>
      <c r="Y405" s="140"/>
    </row>
    <row r="406" spans="1:25" x14ac:dyDescent="0.25">
      <c r="A406" s="138" t="s">
        <v>562</v>
      </c>
      <c r="B406" s="138">
        <f>_xlfn.XLOOKUP(A406,'[2]FRV Output'!$B:$B,'[2]FRV Output'!$F:$F)</f>
        <v>1992793962</v>
      </c>
      <c r="C406" s="139"/>
      <c r="D406" s="139"/>
      <c r="E406" s="140"/>
      <c r="F406" s="141" t="s">
        <v>595</v>
      </c>
      <c r="G406" s="139"/>
      <c r="H406" s="139"/>
      <c r="I406" s="140"/>
      <c r="J406" s="141" t="s">
        <v>595</v>
      </c>
      <c r="K406" s="139"/>
      <c r="L406" s="139"/>
      <c r="M406" s="140"/>
      <c r="N406" s="141" t="s">
        <v>595</v>
      </c>
      <c r="O406" s="139"/>
      <c r="P406" s="139"/>
      <c r="Q406" s="140"/>
      <c r="R406" s="141" t="s">
        <v>595</v>
      </c>
      <c r="S406" s="139"/>
      <c r="T406" s="139"/>
      <c r="U406" s="140"/>
      <c r="V406" s="141" t="s">
        <v>595</v>
      </c>
      <c r="W406" s="139"/>
      <c r="X406" s="139"/>
      <c r="Y406" s="140"/>
    </row>
    <row r="407" spans="1:25" x14ac:dyDescent="0.25">
      <c r="A407" s="138" t="s">
        <v>779</v>
      </c>
      <c r="B407" s="138">
        <f>_xlfn.XLOOKUP(A407,'[2]FRV Output'!$B:$B,'[2]FRV Output'!$F:$F)</f>
        <v>1528040888</v>
      </c>
      <c r="C407" s="139"/>
      <c r="D407" s="139"/>
      <c r="E407" s="140"/>
      <c r="F407" s="141" t="s">
        <v>595</v>
      </c>
      <c r="G407" s="139"/>
      <c r="H407" s="139"/>
      <c r="I407" s="140"/>
      <c r="J407" s="141" t="s">
        <v>595</v>
      </c>
      <c r="K407" s="139"/>
      <c r="L407" s="139"/>
      <c r="M407" s="140"/>
      <c r="N407" s="141" t="s">
        <v>595</v>
      </c>
      <c r="O407" s="139"/>
      <c r="P407" s="139"/>
      <c r="Q407" s="140"/>
      <c r="R407" s="141" t="s">
        <v>595</v>
      </c>
      <c r="S407" s="139"/>
      <c r="T407" s="139"/>
      <c r="U407" s="140"/>
      <c r="V407" s="141" t="s">
        <v>595</v>
      </c>
      <c r="W407" s="139"/>
      <c r="X407" s="139"/>
      <c r="Y407" s="140"/>
    </row>
    <row r="408" spans="1:25" x14ac:dyDescent="0.25">
      <c r="A408" s="138" t="s">
        <v>564</v>
      </c>
      <c r="B408" s="138">
        <f>_xlfn.XLOOKUP(A408,'[2]FRV Output'!$B:$B,'[2]FRV Output'!$F:$F)</f>
        <v>1467016105</v>
      </c>
      <c r="C408" s="139">
        <v>3</v>
      </c>
      <c r="D408" s="139">
        <v>2016</v>
      </c>
      <c r="E408" s="140">
        <v>207936</v>
      </c>
      <c r="F408" s="141" t="s">
        <v>595</v>
      </c>
      <c r="G408" s="139">
        <v>3</v>
      </c>
      <c r="H408" s="139">
        <v>2020</v>
      </c>
      <c r="I408" s="140">
        <v>72587</v>
      </c>
      <c r="J408" s="141" t="s">
        <v>595</v>
      </c>
      <c r="K408" s="139">
        <v>3</v>
      </c>
      <c r="L408" s="139">
        <v>2021</v>
      </c>
      <c r="M408" s="140">
        <v>75474</v>
      </c>
      <c r="N408" s="141" t="s">
        <v>595</v>
      </c>
      <c r="O408" s="139"/>
      <c r="P408" s="139"/>
      <c r="Q408" s="140"/>
      <c r="R408" s="141" t="s">
        <v>595</v>
      </c>
      <c r="S408" s="139"/>
      <c r="T408" s="139"/>
      <c r="U408" s="140"/>
      <c r="V408" s="141" t="s">
        <v>595</v>
      </c>
      <c r="W408" s="139"/>
      <c r="X408" s="139"/>
      <c r="Y408" s="140"/>
    </row>
    <row r="409" spans="1:25" x14ac:dyDescent="0.25">
      <c r="A409" s="142" t="s">
        <v>565</v>
      </c>
      <c r="B409" s="138">
        <f>_xlfn.XLOOKUP(A409,'[2]FRV Output'!$B:$B,'[2]FRV Output'!$F:$F)</f>
        <v>1023481520</v>
      </c>
      <c r="C409" s="139">
        <v>3</v>
      </c>
      <c r="D409" s="139">
        <v>2017</v>
      </c>
      <c r="E409" s="140">
        <v>200382</v>
      </c>
      <c r="F409" s="141" t="s">
        <v>595</v>
      </c>
      <c r="G409" s="139">
        <v>3</v>
      </c>
      <c r="H409" s="139">
        <v>2019</v>
      </c>
      <c r="I409" s="140">
        <v>132537</v>
      </c>
      <c r="J409" s="141" t="s">
        <v>595</v>
      </c>
      <c r="K409" s="139"/>
      <c r="L409" s="139"/>
      <c r="M409" s="140"/>
      <c r="N409" s="141" t="s">
        <v>595</v>
      </c>
      <c r="O409" s="139"/>
      <c r="P409" s="139"/>
      <c r="Q409" s="140"/>
      <c r="R409" s="141" t="s">
        <v>595</v>
      </c>
      <c r="S409" s="139"/>
      <c r="T409" s="139"/>
      <c r="U409" s="140"/>
      <c r="V409" s="141" t="s">
        <v>595</v>
      </c>
      <c r="W409" s="139"/>
      <c r="X409" s="139"/>
      <c r="Y409" s="140"/>
    </row>
    <row r="410" spans="1:25" x14ac:dyDescent="0.25">
      <c r="A410" s="138" t="s">
        <v>566</v>
      </c>
      <c r="B410" s="138">
        <f>_xlfn.XLOOKUP(A410,'[2]FRV Output'!$B:$B,'[2]FRV Output'!$F:$F)</f>
        <v>1174178313</v>
      </c>
      <c r="C410" s="139">
        <v>3</v>
      </c>
      <c r="D410" s="139">
        <v>2017</v>
      </c>
      <c r="E410" s="140">
        <v>90445</v>
      </c>
      <c r="F410" s="141" t="s">
        <v>595</v>
      </c>
      <c r="G410" s="139">
        <v>3</v>
      </c>
      <c r="H410" s="139">
        <v>2020</v>
      </c>
      <c r="I410" s="140">
        <v>120628</v>
      </c>
      <c r="J410" s="141" t="s">
        <v>595</v>
      </c>
      <c r="K410" s="139">
        <v>3</v>
      </c>
      <c r="L410" s="139">
        <v>2021</v>
      </c>
      <c r="M410" s="140">
        <v>273686</v>
      </c>
      <c r="N410" s="141" t="s">
        <v>595</v>
      </c>
      <c r="O410" s="139"/>
      <c r="P410" s="139"/>
      <c r="Q410" s="140"/>
      <c r="R410" s="141" t="s">
        <v>595</v>
      </c>
      <c r="S410" s="139"/>
      <c r="T410" s="139"/>
      <c r="U410" s="140"/>
      <c r="V410" s="141" t="s">
        <v>595</v>
      </c>
      <c r="W410" s="139"/>
      <c r="X410" s="139"/>
      <c r="Y410" s="140"/>
    </row>
    <row r="411" spans="1:25" x14ac:dyDescent="0.25">
      <c r="A411" s="142" t="s">
        <v>567</v>
      </c>
      <c r="B411" s="138">
        <f>_xlfn.XLOOKUP(A411,'[2]FRV Output'!$B:$B,'[2]FRV Output'!$F:$F)</f>
        <v>1164848503</v>
      </c>
      <c r="C411" s="139">
        <v>3</v>
      </c>
      <c r="D411" s="139">
        <v>2019</v>
      </c>
      <c r="E411" s="140">
        <v>33631</v>
      </c>
      <c r="F411" s="141" t="s">
        <v>595</v>
      </c>
      <c r="G411" s="139">
        <v>3</v>
      </c>
      <c r="H411" s="139">
        <v>2021</v>
      </c>
      <c r="I411" s="140">
        <v>89329</v>
      </c>
      <c r="J411" s="141" t="s">
        <v>595</v>
      </c>
      <c r="K411" s="139"/>
      <c r="L411" s="139"/>
      <c r="M411" s="140"/>
      <c r="N411" s="141" t="s">
        <v>595</v>
      </c>
      <c r="O411" s="139"/>
      <c r="P411" s="139"/>
      <c r="Q411" s="140"/>
      <c r="R411" s="141" t="s">
        <v>595</v>
      </c>
      <c r="S411" s="139"/>
      <c r="T411" s="139"/>
      <c r="U411" s="140"/>
      <c r="V411" s="141" t="s">
        <v>595</v>
      </c>
      <c r="W411" s="139"/>
      <c r="X411" s="139"/>
      <c r="Y411" s="14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O84"/>
  <sheetViews>
    <sheetView workbookViewId="0">
      <selection activeCell="M1" sqref="M1"/>
    </sheetView>
  </sheetViews>
  <sheetFormatPr defaultRowHeight="13.2" x14ac:dyDescent="0.25"/>
  <cols>
    <col min="1" max="1" width="9.109375" style="1"/>
    <col min="2" max="2" width="12.88671875" style="2" bestFit="1" customWidth="1"/>
    <col min="3" max="3" width="10" style="1" bestFit="1" customWidth="1"/>
    <col min="5" max="5" width="17.77734375" style="37" bestFit="1" customWidth="1"/>
    <col min="6" max="6" width="11.44140625" style="37" bestFit="1" customWidth="1"/>
    <col min="7" max="7" width="7.6640625" bestFit="1" customWidth="1"/>
    <col min="8" max="8" width="8.21875" bestFit="1" customWidth="1"/>
    <col min="9" max="9" width="7.44140625" bestFit="1" customWidth="1"/>
    <col min="10" max="10" width="10.5546875" bestFit="1" customWidth="1"/>
    <col min="11" max="11" width="7" bestFit="1" customWidth="1"/>
    <col min="12" max="12" width="13.44140625" bestFit="1" customWidth="1"/>
    <col min="14" max="14" width="40.88671875" bestFit="1" customWidth="1"/>
    <col min="15" max="15" width="10" bestFit="1" customWidth="1"/>
  </cols>
  <sheetData>
    <row r="1" spans="1:15" s="3" customFormat="1" x14ac:dyDescent="0.25">
      <c r="A1" s="28" t="s">
        <v>19</v>
      </c>
      <c r="B1" s="29"/>
      <c r="C1" s="53"/>
      <c r="E1" t="s">
        <v>70</v>
      </c>
      <c r="F1" s="37"/>
      <c r="G1"/>
      <c r="H1"/>
      <c r="I1"/>
      <c r="J1"/>
      <c r="K1"/>
      <c r="L1"/>
      <c r="N1" s="50" t="s">
        <v>149</v>
      </c>
      <c r="O1" s="50" t="s">
        <v>150</v>
      </c>
    </row>
    <row r="2" spans="1:15" s="3" customFormat="1" x14ac:dyDescent="0.25">
      <c r="A2" s="30" t="s">
        <v>14</v>
      </c>
      <c r="B2" s="31" t="s">
        <v>0</v>
      </c>
      <c r="C2" s="30" t="s">
        <v>69</v>
      </c>
      <c r="F2" s="52" t="s">
        <v>72</v>
      </c>
      <c r="G2" s="52" t="s">
        <v>71</v>
      </c>
      <c r="H2" s="52" t="s">
        <v>7</v>
      </c>
      <c r="I2" s="52" t="s">
        <v>24</v>
      </c>
      <c r="J2" s="52" t="s">
        <v>1</v>
      </c>
      <c r="K2" s="52" t="s">
        <v>3</v>
      </c>
      <c r="L2" s="52" t="s">
        <v>2</v>
      </c>
      <c r="N2" s="50">
        <v>0</v>
      </c>
      <c r="O2" s="50">
        <v>425</v>
      </c>
    </row>
    <row r="3" spans="1:15" x14ac:dyDescent="0.25">
      <c r="A3" s="32">
        <v>270</v>
      </c>
      <c r="B3" s="33" t="s">
        <v>1</v>
      </c>
      <c r="C3" s="63">
        <v>0.85</v>
      </c>
      <c r="E3">
        <v>2021</v>
      </c>
      <c r="F3" s="51">
        <f t="shared" ref="F3:F16" si="0">+F4/G4*G3</f>
        <v>77158.626946922726</v>
      </c>
      <c r="G3" s="61">
        <v>204.1</v>
      </c>
      <c r="H3" s="61">
        <v>207.5</v>
      </c>
      <c r="I3" s="61">
        <v>205.2</v>
      </c>
      <c r="J3" s="61">
        <v>203.1</v>
      </c>
      <c r="K3" s="61">
        <v>201.8</v>
      </c>
      <c r="L3" s="61">
        <v>202.8</v>
      </c>
      <c r="N3" s="37">
        <v>10</v>
      </c>
      <c r="O3" s="37">
        <v>400</v>
      </c>
    </row>
    <row r="4" spans="1:15" x14ac:dyDescent="0.25">
      <c r="A4" s="32">
        <v>272</v>
      </c>
      <c r="B4" s="33" t="s">
        <v>1</v>
      </c>
      <c r="C4" s="63">
        <v>0.85</v>
      </c>
      <c r="E4">
        <v>2020</v>
      </c>
      <c r="F4" s="51">
        <f t="shared" si="0"/>
        <v>75699.380009073036</v>
      </c>
      <c r="G4" s="61">
        <v>200.24</v>
      </c>
      <c r="H4" s="61">
        <v>203.6</v>
      </c>
      <c r="I4" s="61">
        <v>201.3</v>
      </c>
      <c r="J4" s="61">
        <v>199.3</v>
      </c>
      <c r="K4" s="61">
        <v>198</v>
      </c>
      <c r="L4" s="61">
        <v>199</v>
      </c>
      <c r="N4" s="37">
        <v>20</v>
      </c>
      <c r="O4" s="37">
        <v>375</v>
      </c>
    </row>
    <row r="5" spans="1:15" x14ac:dyDescent="0.25">
      <c r="A5" s="32">
        <v>273</v>
      </c>
      <c r="B5" s="33" t="s">
        <v>1</v>
      </c>
      <c r="C5" s="63">
        <v>0.85</v>
      </c>
      <c r="E5">
        <v>2019</v>
      </c>
      <c r="F5" s="51">
        <f t="shared" si="0"/>
        <v>71291.395735672151</v>
      </c>
      <c r="G5" s="61">
        <v>188.57999999999998</v>
      </c>
      <c r="H5" s="61">
        <v>187.3</v>
      </c>
      <c r="I5" s="61">
        <v>191.1</v>
      </c>
      <c r="J5" s="61">
        <v>189.1</v>
      </c>
      <c r="K5" s="61">
        <v>186.8</v>
      </c>
      <c r="L5" s="61">
        <v>188.6</v>
      </c>
      <c r="N5" s="37">
        <v>25</v>
      </c>
      <c r="O5" s="37">
        <v>350</v>
      </c>
    </row>
    <row r="6" spans="1:15" x14ac:dyDescent="0.25">
      <c r="A6" s="32">
        <v>274</v>
      </c>
      <c r="B6" s="33" t="s">
        <v>1</v>
      </c>
      <c r="C6" s="63">
        <v>0.85</v>
      </c>
      <c r="E6">
        <v>2018</v>
      </c>
      <c r="F6" s="51">
        <f t="shared" si="0"/>
        <v>69945.561772266738</v>
      </c>
      <c r="G6" s="61">
        <v>185.01999999999998</v>
      </c>
      <c r="H6" s="61">
        <v>183.8</v>
      </c>
      <c r="I6" s="61">
        <v>187.5</v>
      </c>
      <c r="J6" s="61">
        <v>185.5</v>
      </c>
      <c r="K6" s="61">
        <v>183.3</v>
      </c>
      <c r="L6" s="61">
        <v>185</v>
      </c>
      <c r="N6" s="37">
        <v>30</v>
      </c>
      <c r="O6" s="37">
        <v>325</v>
      </c>
    </row>
    <row r="7" spans="1:15" x14ac:dyDescent="0.25">
      <c r="A7" s="32">
        <v>271</v>
      </c>
      <c r="B7" s="34" t="s">
        <v>2</v>
      </c>
      <c r="C7" s="63">
        <v>0.85</v>
      </c>
      <c r="E7">
        <v>2017</v>
      </c>
      <c r="F7" s="51">
        <f t="shared" si="0"/>
        <v>67238.77211553001</v>
      </c>
      <c r="G7" s="61">
        <v>177.85999999999999</v>
      </c>
      <c r="H7" s="61">
        <v>177</v>
      </c>
      <c r="I7" s="61">
        <v>180.3</v>
      </c>
      <c r="J7" s="61">
        <v>178.2</v>
      </c>
      <c r="K7" s="61">
        <v>175.8</v>
      </c>
      <c r="L7" s="61">
        <v>178</v>
      </c>
    </row>
    <row r="8" spans="1:15" x14ac:dyDescent="0.25">
      <c r="A8" s="32">
        <v>275</v>
      </c>
      <c r="B8" s="34" t="s">
        <v>3</v>
      </c>
      <c r="C8" s="63">
        <v>0.84</v>
      </c>
      <c r="E8">
        <v>2016</v>
      </c>
      <c r="F8" s="51">
        <f t="shared" si="0"/>
        <v>67790.715257825505</v>
      </c>
      <c r="G8" s="61">
        <v>179.32000000000002</v>
      </c>
      <c r="H8" s="61">
        <v>180.6</v>
      </c>
      <c r="I8" s="61">
        <v>182</v>
      </c>
      <c r="J8" s="61">
        <v>179.8</v>
      </c>
      <c r="K8" s="61">
        <v>174.6</v>
      </c>
      <c r="L8" s="61">
        <v>179.6</v>
      </c>
    </row>
    <row r="9" spans="1:15" x14ac:dyDescent="0.25">
      <c r="A9" s="32">
        <v>276</v>
      </c>
      <c r="B9" s="34" t="s">
        <v>3</v>
      </c>
      <c r="C9" s="63">
        <v>0.84</v>
      </c>
      <c r="E9">
        <v>2015</v>
      </c>
      <c r="F9" s="51">
        <f t="shared" si="0"/>
        <v>64577.347648570998</v>
      </c>
      <c r="G9" s="61">
        <v>170.82</v>
      </c>
      <c r="H9" s="61">
        <v>173.1</v>
      </c>
      <c r="I9" s="61">
        <v>172.3</v>
      </c>
      <c r="J9" s="61">
        <v>170.5</v>
      </c>
      <c r="K9" s="61">
        <v>167.6</v>
      </c>
      <c r="L9" s="61">
        <v>170.6</v>
      </c>
    </row>
    <row r="10" spans="1:15" x14ac:dyDescent="0.25">
      <c r="A10" s="32">
        <v>277</v>
      </c>
      <c r="B10" s="34" t="s">
        <v>24</v>
      </c>
      <c r="C10" s="63">
        <v>0.86</v>
      </c>
      <c r="E10">
        <v>2014</v>
      </c>
      <c r="F10" s="51">
        <f t="shared" si="0"/>
        <v>62036.897021019206</v>
      </c>
      <c r="G10" s="61">
        <v>164.1</v>
      </c>
      <c r="H10" s="61">
        <v>165.5</v>
      </c>
      <c r="I10" s="61">
        <v>165.2</v>
      </c>
      <c r="J10" s="61">
        <v>163.9</v>
      </c>
      <c r="K10" s="61">
        <v>161.6</v>
      </c>
      <c r="L10" s="61">
        <v>164.3</v>
      </c>
    </row>
    <row r="11" spans="1:15" x14ac:dyDescent="0.25">
      <c r="A11" s="32">
        <v>278</v>
      </c>
      <c r="B11" s="34" t="s">
        <v>4</v>
      </c>
      <c r="C11" s="63">
        <v>0.83</v>
      </c>
      <c r="E11">
        <v>2013</v>
      </c>
      <c r="F11" s="51">
        <f t="shared" si="0"/>
        <v>59980.341751096334</v>
      </c>
      <c r="G11" s="61">
        <v>158.66000000000003</v>
      </c>
      <c r="H11" s="61">
        <v>159.6</v>
      </c>
      <c r="I11" s="61">
        <v>158.4</v>
      </c>
      <c r="J11" s="61">
        <v>158.69999999999999</v>
      </c>
      <c r="K11" s="61">
        <v>157.5</v>
      </c>
      <c r="L11" s="61">
        <v>159.1</v>
      </c>
    </row>
    <row r="12" spans="1:15" x14ac:dyDescent="0.25">
      <c r="A12" s="32">
        <v>279</v>
      </c>
      <c r="B12" s="34" t="s">
        <v>5</v>
      </c>
      <c r="C12" s="63">
        <v>0.85</v>
      </c>
      <c r="E12">
        <v>2012</v>
      </c>
      <c r="F12" s="51">
        <f t="shared" si="0"/>
        <v>59042.794495690308</v>
      </c>
      <c r="G12" s="61">
        <v>156.18</v>
      </c>
      <c r="H12" s="61">
        <v>156.4</v>
      </c>
      <c r="I12" s="61">
        <v>155.6</v>
      </c>
      <c r="J12" s="61">
        <v>156.30000000000001</v>
      </c>
      <c r="K12" s="61">
        <v>155.4</v>
      </c>
      <c r="L12" s="61">
        <v>157.19999999999999</v>
      </c>
    </row>
    <row r="13" spans="1:15" x14ac:dyDescent="0.25">
      <c r="A13" s="32">
        <v>280</v>
      </c>
      <c r="B13" s="34" t="s">
        <v>6</v>
      </c>
      <c r="C13" s="63">
        <v>0.85</v>
      </c>
      <c r="E13">
        <v>2011</v>
      </c>
      <c r="F13" s="51">
        <f t="shared" si="0"/>
        <v>53856.04113110539</v>
      </c>
      <c r="G13" s="61">
        <v>142.45999999999998</v>
      </c>
      <c r="H13" s="61">
        <v>142.6</v>
      </c>
      <c r="I13" s="61">
        <v>143.80000000000001</v>
      </c>
      <c r="J13" s="61">
        <v>142.19999999999999</v>
      </c>
      <c r="K13" s="61">
        <v>142.80000000000001</v>
      </c>
      <c r="L13" s="61">
        <v>140.9</v>
      </c>
    </row>
    <row r="14" spans="1:15" x14ac:dyDescent="0.25">
      <c r="A14" s="32">
        <v>281</v>
      </c>
      <c r="B14" s="34" t="s">
        <v>7</v>
      </c>
      <c r="C14" s="63">
        <v>0.87</v>
      </c>
      <c r="E14">
        <v>2010</v>
      </c>
      <c r="F14" s="51">
        <f t="shared" si="0"/>
        <v>53039.467715106613</v>
      </c>
      <c r="G14" s="61">
        <v>140.30000000000001</v>
      </c>
      <c r="H14" s="61">
        <v>140.5</v>
      </c>
      <c r="I14" s="61">
        <v>141.6</v>
      </c>
      <c r="J14" s="61">
        <v>140</v>
      </c>
      <c r="K14" s="61">
        <v>140.6</v>
      </c>
      <c r="L14" s="61">
        <v>138.80000000000001</v>
      </c>
    </row>
    <row r="15" spans="1:15" x14ac:dyDescent="0.25">
      <c r="A15" s="32">
        <v>282</v>
      </c>
      <c r="B15" s="34" t="s">
        <v>7</v>
      </c>
      <c r="C15" s="63">
        <v>0.87</v>
      </c>
      <c r="E15">
        <v>2009</v>
      </c>
      <c r="F15" s="51">
        <f t="shared" si="0"/>
        <v>54642.371087252388</v>
      </c>
      <c r="G15" s="61">
        <v>144.54000000000002</v>
      </c>
      <c r="H15" s="61">
        <v>145.1</v>
      </c>
      <c r="I15" s="61">
        <v>145.80000000000001</v>
      </c>
      <c r="J15" s="61">
        <v>144</v>
      </c>
      <c r="K15" s="61">
        <v>145.1</v>
      </c>
      <c r="L15" s="61">
        <v>142.69999999999999</v>
      </c>
    </row>
    <row r="16" spans="1:15" x14ac:dyDescent="0.25">
      <c r="A16" s="32">
        <v>283</v>
      </c>
      <c r="B16" s="34" t="s">
        <v>8</v>
      </c>
      <c r="C16" s="63">
        <v>0.85</v>
      </c>
      <c r="E16">
        <v>2008</v>
      </c>
      <c r="F16" s="51">
        <f t="shared" si="0"/>
        <v>51119.008014516847</v>
      </c>
      <c r="G16" s="61">
        <v>135.21999999999997</v>
      </c>
      <c r="H16" s="61">
        <v>135.80000000000001</v>
      </c>
      <c r="I16" s="61">
        <v>136.6</v>
      </c>
      <c r="J16" s="61">
        <v>134.6</v>
      </c>
      <c r="K16" s="61">
        <v>135.30000000000001</v>
      </c>
      <c r="L16" s="61">
        <v>133.80000000000001</v>
      </c>
    </row>
    <row r="17" spans="1:12" x14ac:dyDescent="0.25">
      <c r="A17" s="32">
        <v>284</v>
      </c>
      <c r="B17" s="34" t="s">
        <v>9</v>
      </c>
      <c r="C17" s="63">
        <v>0.82</v>
      </c>
      <c r="E17">
        <v>2007</v>
      </c>
      <c r="F17" s="51">
        <v>50000</v>
      </c>
      <c r="G17" s="61">
        <v>132.26</v>
      </c>
      <c r="H17" s="61">
        <v>132.80000000000001</v>
      </c>
      <c r="I17" s="61">
        <v>133.69999999999999</v>
      </c>
      <c r="J17" s="61">
        <v>131.69999999999999</v>
      </c>
      <c r="K17" s="61">
        <v>132.1</v>
      </c>
      <c r="L17" s="61">
        <v>131</v>
      </c>
    </row>
    <row r="18" spans="1:12" x14ac:dyDescent="0.25">
      <c r="A18" s="32">
        <v>285</v>
      </c>
      <c r="B18" s="34" t="s">
        <v>10</v>
      </c>
      <c r="C18" s="63">
        <v>0.81</v>
      </c>
      <c r="E18">
        <v>2006</v>
      </c>
      <c r="F18" s="51">
        <f t="shared" ref="F18:F49" si="1">+F17/G17*G18</f>
        <v>46930.288825041593</v>
      </c>
      <c r="G18" s="61">
        <v>124.14000000000001</v>
      </c>
      <c r="H18" s="61">
        <v>125.1</v>
      </c>
      <c r="I18" s="61">
        <v>124.6</v>
      </c>
      <c r="J18" s="61">
        <v>123.8</v>
      </c>
      <c r="K18" s="61">
        <v>124.2</v>
      </c>
      <c r="L18" s="61">
        <v>123</v>
      </c>
    </row>
    <row r="19" spans="1:12" x14ac:dyDescent="0.25">
      <c r="A19" s="32">
        <v>286</v>
      </c>
      <c r="B19" s="34" t="s">
        <v>11</v>
      </c>
      <c r="C19" s="63">
        <v>0.84</v>
      </c>
      <c r="E19">
        <v>2005</v>
      </c>
      <c r="F19" s="51">
        <f t="shared" si="1"/>
        <v>42182.065628307879</v>
      </c>
      <c r="G19" s="61">
        <v>111.58</v>
      </c>
      <c r="H19" s="61">
        <v>110.5</v>
      </c>
      <c r="I19" s="61">
        <v>112.1</v>
      </c>
      <c r="J19" s="61">
        <v>112.1</v>
      </c>
      <c r="K19" s="61">
        <v>112.1</v>
      </c>
      <c r="L19" s="61">
        <v>111.1</v>
      </c>
    </row>
    <row r="20" spans="1:12" x14ac:dyDescent="0.25">
      <c r="A20" s="32">
        <v>287</v>
      </c>
      <c r="B20" s="34" t="s">
        <v>12</v>
      </c>
      <c r="C20" s="63">
        <v>0.83</v>
      </c>
      <c r="E20">
        <v>2004</v>
      </c>
      <c r="F20" s="51">
        <f t="shared" si="1"/>
        <v>37706.033570240441</v>
      </c>
      <c r="G20" s="61">
        <v>99.740000000000009</v>
      </c>
      <c r="H20" s="61">
        <v>98.9</v>
      </c>
      <c r="I20" s="61">
        <v>100</v>
      </c>
      <c r="J20" s="61">
        <v>100.1</v>
      </c>
      <c r="K20" s="61">
        <v>100.3</v>
      </c>
      <c r="L20" s="61">
        <v>99.4</v>
      </c>
    </row>
    <row r="21" spans="1:12" x14ac:dyDescent="0.25">
      <c r="A21" s="32">
        <v>288</v>
      </c>
      <c r="B21" s="34" t="s">
        <v>12</v>
      </c>
      <c r="C21" s="63">
        <v>0.83</v>
      </c>
      <c r="E21">
        <v>2003</v>
      </c>
      <c r="F21" s="51">
        <f t="shared" si="1"/>
        <v>36730.681990019657</v>
      </c>
      <c r="G21" s="61">
        <v>97.16</v>
      </c>
      <c r="H21" s="61">
        <v>96.2</v>
      </c>
      <c r="I21" s="61">
        <v>97.5</v>
      </c>
      <c r="J21" s="61">
        <v>97.5</v>
      </c>
      <c r="K21" s="61">
        <v>97.8</v>
      </c>
      <c r="L21" s="61">
        <v>96.8</v>
      </c>
    </row>
    <row r="22" spans="1:12" x14ac:dyDescent="0.25">
      <c r="A22" s="32">
        <v>289</v>
      </c>
      <c r="B22" s="34" t="s">
        <v>13</v>
      </c>
      <c r="C22" s="63">
        <v>0.82</v>
      </c>
      <c r="E22">
        <v>2002</v>
      </c>
      <c r="F22" s="51">
        <f t="shared" si="1"/>
        <v>36201.421442613035</v>
      </c>
      <c r="G22" s="61">
        <v>95.76</v>
      </c>
      <c r="H22" s="61">
        <v>94.8</v>
      </c>
      <c r="I22" s="61">
        <v>96.1</v>
      </c>
      <c r="J22" s="61">
        <v>96.1</v>
      </c>
      <c r="K22" s="61">
        <v>96.3</v>
      </c>
      <c r="L22" s="61">
        <v>95.5</v>
      </c>
    </row>
    <row r="23" spans="1:12" x14ac:dyDescent="0.25">
      <c r="E23">
        <v>2001</v>
      </c>
      <c r="F23" s="51">
        <f t="shared" si="1"/>
        <v>34999.243913503713</v>
      </c>
      <c r="G23" s="61">
        <v>92.580000000000013</v>
      </c>
      <c r="H23" s="61">
        <v>91.5</v>
      </c>
      <c r="I23" s="61">
        <v>92.9</v>
      </c>
      <c r="J23" s="61">
        <v>92.9</v>
      </c>
      <c r="K23" s="61">
        <v>93.3</v>
      </c>
      <c r="L23" s="61">
        <v>92.3</v>
      </c>
    </row>
    <row r="24" spans="1:12" x14ac:dyDescent="0.25">
      <c r="E24">
        <v>2000</v>
      </c>
      <c r="F24" s="51">
        <f t="shared" si="1"/>
        <v>34507.787690911849</v>
      </c>
      <c r="G24" s="61">
        <v>91.28</v>
      </c>
      <c r="H24" s="61">
        <v>90.3</v>
      </c>
      <c r="I24" s="61">
        <v>91.6</v>
      </c>
      <c r="J24" s="61">
        <v>91.6</v>
      </c>
      <c r="K24" s="61">
        <v>91.9</v>
      </c>
      <c r="L24" s="61">
        <v>91</v>
      </c>
    </row>
    <row r="25" spans="1:12" x14ac:dyDescent="0.25">
      <c r="E25">
        <v>1999</v>
      </c>
      <c r="F25" s="51">
        <f t="shared" si="1"/>
        <v>34054.135793134745</v>
      </c>
      <c r="G25" s="61">
        <v>90.08</v>
      </c>
      <c r="H25" s="61">
        <v>89.3</v>
      </c>
      <c r="I25" s="61">
        <v>90.2</v>
      </c>
      <c r="J25" s="61">
        <v>90.3</v>
      </c>
      <c r="K25" s="61">
        <v>90.5</v>
      </c>
      <c r="L25" s="61">
        <v>90.1</v>
      </c>
    </row>
    <row r="26" spans="1:12" x14ac:dyDescent="0.25">
      <c r="E26">
        <v>1998</v>
      </c>
      <c r="F26" s="51">
        <f t="shared" si="1"/>
        <v>33638.288220172391</v>
      </c>
      <c r="G26" s="61">
        <v>88.97999999999999</v>
      </c>
      <c r="H26" s="64">
        <v>88.2</v>
      </c>
      <c r="I26" s="64">
        <v>89.1</v>
      </c>
      <c r="J26" s="64">
        <v>89.2</v>
      </c>
      <c r="K26" s="64">
        <v>89.4</v>
      </c>
      <c r="L26" s="64">
        <v>89</v>
      </c>
    </row>
    <row r="27" spans="1:12" x14ac:dyDescent="0.25">
      <c r="E27">
        <v>1997</v>
      </c>
      <c r="F27" s="51">
        <f t="shared" si="1"/>
        <v>31173.446242250116</v>
      </c>
      <c r="G27" s="61">
        <v>82.46</v>
      </c>
      <c r="H27" s="61">
        <v>81.8</v>
      </c>
      <c r="I27" s="61">
        <v>82.6</v>
      </c>
      <c r="J27" s="61">
        <v>82.6</v>
      </c>
      <c r="K27" s="61">
        <v>82.7</v>
      </c>
      <c r="L27" s="61">
        <v>82.6</v>
      </c>
    </row>
    <row r="28" spans="1:12" x14ac:dyDescent="0.25">
      <c r="E28">
        <v>1996</v>
      </c>
      <c r="F28" s="51">
        <f t="shared" si="1"/>
        <v>31173.446242250116</v>
      </c>
      <c r="G28" s="61">
        <v>82.46</v>
      </c>
      <c r="H28" s="61">
        <v>81.8</v>
      </c>
      <c r="I28" s="61">
        <v>82.6</v>
      </c>
      <c r="J28" s="61">
        <v>82.6</v>
      </c>
      <c r="K28" s="61">
        <v>82.7</v>
      </c>
      <c r="L28" s="61">
        <v>82.6</v>
      </c>
    </row>
    <row r="29" spans="1:12" x14ac:dyDescent="0.25">
      <c r="E29">
        <v>1995</v>
      </c>
      <c r="F29" s="51">
        <f t="shared" si="1"/>
        <v>31173.446242250116</v>
      </c>
      <c r="G29" s="61">
        <v>82.46</v>
      </c>
      <c r="H29" s="61">
        <v>81.8</v>
      </c>
      <c r="I29" s="61">
        <v>82.6</v>
      </c>
      <c r="J29" s="61">
        <v>82.6</v>
      </c>
      <c r="K29" s="61">
        <v>82.7</v>
      </c>
      <c r="L29" s="61">
        <v>82.6</v>
      </c>
    </row>
    <row r="30" spans="1:12" x14ac:dyDescent="0.25">
      <c r="E30">
        <v>1994</v>
      </c>
      <c r="F30" s="51">
        <f t="shared" si="1"/>
        <v>28466.656585513385</v>
      </c>
      <c r="G30" s="61">
        <v>75.3</v>
      </c>
      <c r="H30" s="61">
        <v>74.8</v>
      </c>
      <c r="I30" s="61">
        <v>75.400000000000006</v>
      </c>
      <c r="J30" s="61">
        <v>75.5</v>
      </c>
      <c r="K30" s="61">
        <v>75.5</v>
      </c>
      <c r="L30" s="61">
        <v>75.3</v>
      </c>
    </row>
    <row r="31" spans="1:12" x14ac:dyDescent="0.25">
      <c r="E31">
        <v>1993</v>
      </c>
      <c r="F31" s="51">
        <f t="shared" si="1"/>
        <v>28466.656585513385</v>
      </c>
      <c r="G31" s="61">
        <v>75.3</v>
      </c>
      <c r="H31" s="61">
        <v>74.8</v>
      </c>
      <c r="I31" s="61">
        <v>75.400000000000006</v>
      </c>
      <c r="J31" s="61">
        <v>75.5</v>
      </c>
      <c r="K31" s="61">
        <v>75.5</v>
      </c>
      <c r="L31" s="61">
        <v>75.3</v>
      </c>
    </row>
    <row r="32" spans="1:12" x14ac:dyDescent="0.25">
      <c r="E32">
        <v>1992</v>
      </c>
      <c r="F32" s="51">
        <f t="shared" si="1"/>
        <v>28466.656585513385</v>
      </c>
      <c r="G32" s="61">
        <v>75.3</v>
      </c>
      <c r="H32" s="61">
        <v>74.8</v>
      </c>
      <c r="I32" s="61">
        <v>75.400000000000006</v>
      </c>
      <c r="J32" s="61">
        <v>75.5</v>
      </c>
      <c r="K32" s="61">
        <v>75.5</v>
      </c>
      <c r="L32" s="61">
        <v>75.3</v>
      </c>
    </row>
    <row r="33" spans="5:12" x14ac:dyDescent="0.25">
      <c r="E33">
        <v>1991</v>
      </c>
      <c r="F33" s="51">
        <f t="shared" si="1"/>
        <v>28466.656585513385</v>
      </c>
      <c r="G33" s="61">
        <v>75.3</v>
      </c>
      <c r="H33" s="61">
        <v>74.8</v>
      </c>
      <c r="I33" s="61">
        <v>75.400000000000006</v>
      </c>
      <c r="J33" s="61">
        <v>75.5</v>
      </c>
      <c r="K33" s="61">
        <v>75.5</v>
      </c>
      <c r="L33" s="61">
        <v>75.3</v>
      </c>
    </row>
    <row r="34" spans="5:12" x14ac:dyDescent="0.25">
      <c r="E34">
        <v>1990</v>
      </c>
      <c r="F34" s="51">
        <f t="shared" si="1"/>
        <v>28466.656585513385</v>
      </c>
      <c r="G34" s="61">
        <v>75.3</v>
      </c>
      <c r="H34" s="61">
        <v>74.8</v>
      </c>
      <c r="I34" s="61">
        <v>75.400000000000006</v>
      </c>
      <c r="J34" s="61">
        <v>75.5</v>
      </c>
      <c r="K34" s="61">
        <v>75.5</v>
      </c>
      <c r="L34" s="61">
        <v>75.3</v>
      </c>
    </row>
    <row r="35" spans="5:12" x14ac:dyDescent="0.25">
      <c r="E35">
        <v>1989</v>
      </c>
      <c r="F35" s="51">
        <f t="shared" si="1"/>
        <v>25502.797520036293</v>
      </c>
      <c r="G35" s="61">
        <v>67.459999999999994</v>
      </c>
      <c r="H35" s="61">
        <v>66.900000000000006</v>
      </c>
      <c r="I35" s="61">
        <v>67.599999999999994</v>
      </c>
      <c r="J35" s="61">
        <v>67.7</v>
      </c>
      <c r="K35" s="61">
        <v>67.599999999999994</v>
      </c>
      <c r="L35" s="61">
        <v>67.5</v>
      </c>
    </row>
    <row r="36" spans="5:12" x14ac:dyDescent="0.25">
      <c r="E36">
        <v>1988</v>
      </c>
      <c r="F36" s="51">
        <f t="shared" si="1"/>
        <v>25502.797520036293</v>
      </c>
      <c r="G36" s="61">
        <v>67.459999999999994</v>
      </c>
      <c r="H36" s="61">
        <v>66.900000000000006</v>
      </c>
      <c r="I36" s="61">
        <v>67.599999999999994</v>
      </c>
      <c r="J36" s="61">
        <v>67.7</v>
      </c>
      <c r="K36" s="61">
        <v>67.599999999999994</v>
      </c>
      <c r="L36" s="61">
        <v>67.5</v>
      </c>
    </row>
    <row r="37" spans="5:12" x14ac:dyDescent="0.25">
      <c r="E37">
        <v>1987</v>
      </c>
      <c r="F37" s="51">
        <f t="shared" si="1"/>
        <v>25502.797520036293</v>
      </c>
      <c r="G37" s="61">
        <v>67.459999999999994</v>
      </c>
      <c r="H37" s="61">
        <v>66.900000000000006</v>
      </c>
      <c r="I37" s="61">
        <v>67.599999999999994</v>
      </c>
      <c r="J37" s="61">
        <v>67.7</v>
      </c>
      <c r="K37" s="61">
        <v>67.599999999999994</v>
      </c>
      <c r="L37" s="61">
        <v>67.5</v>
      </c>
    </row>
    <row r="38" spans="5:12" x14ac:dyDescent="0.25">
      <c r="E38">
        <v>1986</v>
      </c>
      <c r="F38" s="51">
        <f t="shared" si="1"/>
        <v>25502.797520036293</v>
      </c>
      <c r="G38" s="61">
        <v>67.459999999999994</v>
      </c>
      <c r="H38" s="61">
        <v>66.900000000000006</v>
      </c>
      <c r="I38" s="61">
        <v>67.599999999999994</v>
      </c>
      <c r="J38" s="61">
        <v>67.7</v>
      </c>
      <c r="K38" s="61">
        <v>67.599999999999994</v>
      </c>
      <c r="L38" s="61">
        <v>67.5</v>
      </c>
    </row>
    <row r="39" spans="5:12" x14ac:dyDescent="0.25">
      <c r="E39">
        <v>1985</v>
      </c>
      <c r="F39" s="51">
        <f t="shared" si="1"/>
        <v>25502.797520036293</v>
      </c>
      <c r="G39" s="61">
        <v>67.459999999999994</v>
      </c>
      <c r="H39" s="61">
        <v>66.900000000000006</v>
      </c>
      <c r="I39" s="61">
        <v>67.599999999999994</v>
      </c>
      <c r="J39" s="61">
        <v>67.7</v>
      </c>
      <c r="K39" s="61">
        <v>67.599999999999994</v>
      </c>
      <c r="L39" s="61">
        <v>67.5</v>
      </c>
    </row>
    <row r="40" spans="5:12" x14ac:dyDescent="0.25">
      <c r="E40">
        <v>1984</v>
      </c>
      <c r="F40" s="51">
        <f t="shared" si="1"/>
        <v>19529.714199304406</v>
      </c>
      <c r="G40" s="61">
        <v>51.660000000000004</v>
      </c>
      <c r="H40" s="61">
        <v>51.1</v>
      </c>
      <c r="I40" s="61">
        <v>52.2</v>
      </c>
      <c r="J40" s="61">
        <v>52.5</v>
      </c>
      <c r="K40" s="61">
        <v>51.7</v>
      </c>
      <c r="L40" s="61">
        <v>50.8</v>
      </c>
    </row>
    <row r="41" spans="5:12" x14ac:dyDescent="0.25">
      <c r="E41">
        <v>1983</v>
      </c>
      <c r="F41" s="51">
        <f t="shared" si="1"/>
        <v>19529.714199304406</v>
      </c>
      <c r="G41" s="61">
        <v>51.660000000000004</v>
      </c>
      <c r="H41" s="61">
        <v>51.1</v>
      </c>
      <c r="I41" s="61">
        <v>52.2</v>
      </c>
      <c r="J41" s="61">
        <v>52.5</v>
      </c>
      <c r="K41" s="61">
        <v>51.7</v>
      </c>
      <c r="L41" s="61">
        <v>50.8</v>
      </c>
    </row>
    <row r="42" spans="5:12" x14ac:dyDescent="0.25">
      <c r="E42">
        <v>1982</v>
      </c>
      <c r="F42" s="51">
        <f t="shared" si="1"/>
        <v>19529.714199304406</v>
      </c>
      <c r="G42" s="61">
        <v>51.660000000000004</v>
      </c>
      <c r="H42" s="61">
        <v>51.1</v>
      </c>
      <c r="I42" s="61">
        <v>52.2</v>
      </c>
      <c r="J42" s="61">
        <v>52.5</v>
      </c>
      <c r="K42" s="61">
        <v>51.7</v>
      </c>
      <c r="L42" s="61">
        <v>50.8</v>
      </c>
    </row>
    <row r="43" spans="5:12" x14ac:dyDescent="0.25">
      <c r="E43">
        <v>1981</v>
      </c>
      <c r="F43" s="51">
        <f t="shared" si="1"/>
        <v>19529.714199304406</v>
      </c>
      <c r="G43" s="61">
        <v>51.660000000000004</v>
      </c>
      <c r="H43" s="61">
        <v>51.1</v>
      </c>
      <c r="I43" s="61">
        <v>52.2</v>
      </c>
      <c r="J43" s="61">
        <v>52.5</v>
      </c>
      <c r="K43" s="61">
        <v>51.7</v>
      </c>
      <c r="L43" s="61">
        <v>50.8</v>
      </c>
    </row>
    <row r="44" spans="5:12" x14ac:dyDescent="0.25">
      <c r="E44">
        <v>1980</v>
      </c>
      <c r="F44" s="51">
        <f t="shared" si="1"/>
        <v>19529.714199304406</v>
      </c>
      <c r="G44" s="61">
        <v>51.660000000000004</v>
      </c>
      <c r="H44" s="61">
        <v>51.1</v>
      </c>
      <c r="I44" s="61">
        <v>52.2</v>
      </c>
      <c r="J44" s="61">
        <v>52.5</v>
      </c>
      <c r="K44" s="61">
        <v>51.7</v>
      </c>
      <c r="L44" s="61">
        <v>50.8</v>
      </c>
    </row>
    <row r="45" spans="5:12" x14ac:dyDescent="0.25">
      <c r="E45">
        <v>1979</v>
      </c>
      <c r="F45" s="51">
        <f t="shared" si="1"/>
        <v>13874.187207016483</v>
      </c>
      <c r="G45" s="61">
        <v>36.699999999999996</v>
      </c>
      <c r="H45" s="61">
        <v>36.1</v>
      </c>
      <c r="I45" s="61">
        <v>37</v>
      </c>
      <c r="J45" s="61">
        <v>37</v>
      </c>
      <c r="K45" s="61">
        <v>37.299999999999997</v>
      </c>
      <c r="L45" s="61">
        <v>36.1</v>
      </c>
    </row>
    <row r="46" spans="5:12" x14ac:dyDescent="0.25">
      <c r="E46">
        <v>1978</v>
      </c>
      <c r="F46" s="51">
        <f t="shared" si="1"/>
        <v>13874.187207016483</v>
      </c>
      <c r="G46" s="61">
        <v>36.699999999999996</v>
      </c>
      <c r="H46" s="61">
        <v>36.1</v>
      </c>
      <c r="I46" s="61">
        <v>37</v>
      </c>
      <c r="J46" s="61">
        <v>37</v>
      </c>
      <c r="K46" s="61">
        <v>37.299999999999997</v>
      </c>
      <c r="L46" s="61">
        <v>36.1</v>
      </c>
    </row>
    <row r="47" spans="5:12" x14ac:dyDescent="0.25">
      <c r="E47">
        <v>1977</v>
      </c>
      <c r="F47" s="51">
        <f t="shared" si="1"/>
        <v>13874.187207016483</v>
      </c>
      <c r="G47" s="61">
        <v>36.699999999999996</v>
      </c>
      <c r="H47" s="61">
        <v>36.1</v>
      </c>
      <c r="I47" s="61">
        <v>37</v>
      </c>
      <c r="J47" s="61">
        <v>37</v>
      </c>
      <c r="K47" s="61">
        <v>37.299999999999997</v>
      </c>
      <c r="L47" s="61">
        <v>36.1</v>
      </c>
    </row>
    <row r="48" spans="5:12" x14ac:dyDescent="0.25">
      <c r="E48">
        <v>1976</v>
      </c>
      <c r="F48" s="51">
        <f t="shared" si="1"/>
        <v>13874.187207016483</v>
      </c>
      <c r="G48" s="61">
        <v>36.699999999999996</v>
      </c>
      <c r="H48" s="61">
        <v>36.1</v>
      </c>
      <c r="I48" s="61">
        <v>37</v>
      </c>
      <c r="J48" s="61">
        <v>37</v>
      </c>
      <c r="K48" s="61">
        <v>37.299999999999997</v>
      </c>
      <c r="L48" s="61">
        <v>36.1</v>
      </c>
    </row>
    <row r="49" spans="5:12" x14ac:dyDescent="0.25">
      <c r="E49">
        <v>1975</v>
      </c>
      <c r="F49" s="51">
        <f t="shared" si="1"/>
        <v>13874.187207016483</v>
      </c>
      <c r="G49" s="61">
        <v>36.699999999999996</v>
      </c>
      <c r="H49" s="61">
        <v>36.1</v>
      </c>
      <c r="I49" s="61">
        <v>37</v>
      </c>
      <c r="J49" s="61">
        <v>37</v>
      </c>
      <c r="K49" s="61">
        <v>37.299999999999997</v>
      </c>
      <c r="L49" s="61">
        <v>36.1</v>
      </c>
    </row>
    <row r="50" spans="5:12" x14ac:dyDescent="0.25">
      <c r="E50">
        <v>1974</v>
      </c>
      <c r="F50" s="51">
        <f t="shared" ref="F50:F74" si="2">+F49/G49*G50</f>
        <v>8664.7512475427193</v>
      </c>
      <c r="G50" s="61">
        <v>22.919999999999998</v>
      </c>
      <c r="H50" s="61">
        <v>20.9</v>
      </c>
      <c r="I50" s="61">
        <v>23.7</v>
      </c>
      <c r="J50" s="61">
        <v>23.6</v>
      </c>
      <c r="K50" s="61">
        <v>23.4</v>
      </c>
      <c r="L50" s="61">
        <v>23</v>
      </c>
    </row>
    <row r="51" spans="5:12" x14ac:dyDescent="0.25">
      <c r="E51">
        <v>1973</v>
      </c>
      <c r="F51" s="51">
        <f t="shared" si="2"/>
        <v>8664.7512475427193</v>
      </c>
      <c r="G51" s="61">
        <v>22.919999999999998</v>
      </c>
      <c r="H51" s="61">
        <v>20.9</v>
      </c>
      <c r="I51" s="61">
        <v>23.7</v>
      </c>
      <c r="J51" s="61">
        <v>23.6</v>
      </c>
      <c r="K51" s="61">
        <v>23.4</v>
      </c>
      <c r="L51" s="61">
        <v>23</v>
      </c>
    </row>
    <row r="52" spans="5:12" x14ac:dyDescent="0.25">
      <c r="E52">
        <v>1972</v>
      </c>
      <c r="F52" s="51">
        <f t="shared" si="2"/>
        <v>8664.7512475427193</v>
      </c>
      <c r="G52" s="61">
        <v>22.919999999999998</v>
      </c>
      <c r="H52" s="61">
        <v>20.9</v>
      </c>
      <c r="I52" s="61">
        <v>23.7</v>
      </c>
      <c r="J52" s="61">
        <v>23.6</v>
      </c>
      <c r="K52" s="61">
        <v>23.4</v>
      </c>
      <c r="L52" s="61">
        <v>23</v>
      </c>
    </row>
    <row r="53" spans="5:12" x14ac:dyDescent="0.25">
      <c r="E53">
        <v>1971</v>
      </c>
      <c r="F53" s="51">
        <f t="shared" si="2"/>
        <v>8664.7512475427193</v>
      </c>
      <c r="G53" s="61">
        <v>22.919999999999998</v>
      </c>
      <c r="H53" s="61">
        <v>20.9</v>
      </c>
      <c r="I53" s="61">
        <v>23.7</v>
      </c>
      <c r="J53" s="61">
        <v>23.6</v>
      </c>
      <c r="K53" s="61">
        <v>23.4</v>
      </c>
      <c r="L53" s="61">
        <v>23</v>
      </c>
    </row>
    <row r="54" spans="5:12" x14ac:dyDescent="0.25">
      <c r="E54">
        <v>1970</v>
      </c>
      <c r="F54" s="51">
        <f t="shared" si="2"/>
        <v>8664.7512475427193</v>
      </c>
      <c r="G54" s="61">
        <v>22.919999999999998</v>
      </c>
      <c r="H54" s="61">
        <v>20.9</v>
      </c>
      <c r="I54" s="61">
        <v>23.7</v>
      </c>
      <c r="J54" s="61">
        <v>23.6</v>
      </c>
      <c r="K54" s="61">
        <v>23.4</v>
      </c>
      <c r="L54" s="61">
        <v>23</v>
      </c>
    </row>
    <row r="55" spans="5:12" x14ac:dyDescent="0.25">
      <c r="E55">
        <v>1969</v>
      </c>
      <c r="F55" s="51">
        <f t="shared" si="2"/>
        <v>6661.1220323605039</v>
      </c>
      <c r="G55" s="61">
        <v>17.62</v>
      </c>
      <c r="H55" s="61">
        <v>16</v>
      </c>
      <c r="I55" s="61">
        <v>18.2</v>
      </c>
      <c r="J55" s="61">
        <v>18.2</v>
      </c>
      <c r="K55" s="61">
        <v>18</v>
      </c>
      <c r="L55" s="61">
        <v>17.7</v>
      </c>
    </row>
    <row r="56" spans="5:12" x14ac:dyDescent="0.25">
      <c r="E56">
        <v>1968</v>
      </c>
      <c r="F56" s="51">
        <f t="shared" si="2"/>
        <v>6661.1220323605039</v>
      </c>
      <c r="G56" s="61">
        <v>17.62</v>
      </c>
      <c r="H56" s="61">
        <v>16</v>
      </c>
      <c r="I56" s="61">
        <v>18.2</v>
      </c>
      <c r="J56" s="61">
        <v>18.2</v>
      </c>
      <c r="K56" s="61">
        <v>18</v>
      </c>
      <c r="L56" s="61">
        <v>17.7</v>
      </c>
    </row>
    <row r="57" spans="5:12" x14ac:dyDescent="0.25">
      <c r="E57">
        <v>1967</v>
      </c>
      <c r="F57" s="51">
        <f t="shared" si="2"/>
        <v>6661.1220323605039</v>
      </c>
      <c r="G57" s="61">
        <v>17.62</v>
      </c>
      <c r="H57" s="61">
        <v>16</v>
      </c>
      <c r="I57" s="61">
        <v>18.2</v>
      </c>
      <c r="J57" s="61">
        <v>18.2</v>
      </c>
      <c r="K57" s="61">
        <v>18</v>
      </c>
      <c r="L57" s="61">
        <v>17.7</v>
      </c>
    </row>
    <row r="58" spans="5:12" x14ac:dyDescent="0.25">
      <c r="E58">
        <v>1966</v>
      </c>
      <c r="F58" s="51">
        <f t="shared" si="2"/>
        <v>6661.1220323605039</v>
      </c>
      <c r="G58" s="61">
        <v>17.62</v>
      </c>
      <c r="H58" s="61">
        <v>16</v>
      </c>
      <c r="I58" s="61">
        <v>18.2</v>
      </c>
      <c r="J58" s="61">
        <v>18.2</v>
      </c>
      <c r="K58" s="61">
        <v>18</v>
      </c>
      <c r="L58" s="61">
        <v>17.7</v>
      </c>
    </row>
    <row r="59" spans="5:12" x14ac:dyDescent="0.25">
      <c r="E59">
        <v>1965</v>
      </c>
      <c r="F59" s="51">
        <f t="shared" si="2"/>
        <v>6661.1220323605039</v>
      </c>
      <c r="G59" s="61">
        <v>17.62</v>
      </c>
      <c r="H59" s="61">
        <v>16</v>
      </c>
      <c r="I59" s="61">
        <v>18.2</v>
      </c>
      <c r="J59" s="61">
        <v>18.2</v>
      </c>
      <c r="K59" s="61">
        <v>18</v>
      </c>
      <c r="L59" s="61">
        <v>17.7</v>
      </c>
    </row>
    <row r="60" spans="5:12" x14ac:dyDescent="0.25">
      <c r="E60">
        <v>1964</v>
      </c>
      <c r="F60" s="51">
        <f t="shared" si="2"/>
        <v>6056.2528353243615</v>
      </c>
      <c r="G60" s="61">
        <v>16.02</v>
      </c>
      <c r="H60" s="61">
        <v>14.4</v>
      </c>
      <c r="I60" s="61">
        <v>16.600000000000001</v>
      </c>
      <c r="J60" s="61">
        <v>16.600000000000001</v>
      </c>
      <c r="K60" s="61">
        <v>16.399999999999999</v>
      </c>
      <c r="L60" s="61">
        <v>16.100000000000001</v>
      </c>
    </row>
    <row r="61" spans="5:12" x14ac:dyDescent="0.25">
      <c r="E61">
        <v>1963</v>
      </c>
      <c r="F61" s="51">
        <f t="shared" si="2"/>
        <v>6056.2528353243615</v>
      </c>
      <c r="G61" s="61">
        <v>16.02</v>
      </c>
      <c r="H61" s="61">
        <v>14.4</v>
      </c>
      <c r="I61" s="61">
        <v>16.600000000000001</v>
      </c>
      <c r="J61" s="61">
        <v>16.600000000000001</v>
      </c>
      <c r="K61" s="61">
        <v>16.399999999999999</v>
      </c>
      <c r="L61" s="61">
        <v>16.100000000000001</v>
      </c>
    </row>
    <row r="62" spans="5:12" x14ac:dyDescent="0.25">
      <c r="E62">
        <v>1962</v>
      </c>
      <c r="F62" s="51">
        <f t="shared" si="2"/>
        <v>6056.2528353243615</v>
      </c>
      <c r="G62" s="61">
        <v>16.02</v>
      </c>
      <c r="H62" s="61">
        <v>14.4</v>
      </c>
      <c r="I62" s="61">
        <v>16.600000000000001</v>
      </c>
      <c r="J62" s="61">
        <v>16.600000000000001</v>
      </c>
      <c r="K62" s="61">
        <v>16.399999999999999</v>
      </c>
      <c r="L62" s="61">
        <v>16.100000000000001</v>
      </c>
    </row>
    <row r="63" spans="5:12" x14ac:dyDescent="0.25">
      <c r="E63">
        <v>1961</v>
      </c>
      <c r="F63" s="51">
        <f t="shared" si="2"/>
        <v>6056.2528353243615</v>
      </c>
      <c r="G63" s="61">
        <v>16.02</v>
      </c>
      <c r="H63" s="61">
        <v>14.4</v>
      </c>
      <c r="I63" s="61">
        <v>16.600000000000001</v>
      </c>
      <c r="J63" s="61">
        <v>16.600000000000001</v>
      </c>
      <c r="K63" s="61">
        <v>16.399999999999999</v>
      </c>
      <c r="L63" s="61">
        <v>16.100000000000001</v>
      </c>
    </row>
    <row r="64" spans="5:12" x14ac:dyDescent="0.25">
      <c r="E64">
        <v>1960</v>
      </c>
      <c r="F64" s="51">
        <f t="shared" si="2"/>
        <v>6056.2528353243615</v>
      </c>
      <c r="G64" s="61">
        <v>16.02</v>
      </c>
      <c r="H64" s="61">
        <v>14.4</v>
      </c>
      <c r="I64" s="61">
        <v>16.600000000000001</v>
      </c>
      <c r="J64" s="61">
        <v>16.600000000000001</v>
      </c>
      <c r="K64" s="61">
        <v>16.399999999999999</v>
      </c>
      <c r="L64" s="61">
        <v>16.100000000000001</v>
      </c>
    </row>
    <row r="65" spans="5:12" x14ac:dyDescent="0.25">
      <c r="E65">
        <v>1959</v>
      </c>
      <c r="F65" s="51">
        <f t="shared" si="2"/>
        <v>5073.3403901406318</v>
      </c>
      <c r="G65" s="61">
        <v>13.419999999999998</v>
      </c>
      <c r="H65" s="61">
        <v>12.1</v>
      </c>
      <c r="I65" s="61">
        <v>13.9</v>
      </c>
      <c r="J65" s="61">
        <v>13.9</v>
      </c>
      <c r="K65" s="61">
        <v>13.7</v>
      </c>
      <c r="L65" s="61">
        <v>13.5</v>
      </c>
    </row>
    <row r="66" spans="5:12" x14ac:dyDescent="0.25">
      <c r="E66">
        <v>1958</v>
      </c>
      <c r="F66" s="51">
        <f t="shared" si="2"/>
        <v>5073.3403901406318</v>
      </c>
      <c r="G66" s="61">
        <v>13.419999999999998</v>
      </c>
      <c r="H66" s="61">
        <v>12.1</v>
      </c>
      <c r="I66" s="61">
        <v>13.9</v>
      </c>
      <c r="J66" s="61">
        <v>13.9</v>
      </c>
      <c r="K66" s="61">
        <v>13.7</v>
      </c>
      <c r="L66" s="61">
        <v>13.5</v>
      </c>
    </row>
    <row r="67" spans="5:12" x14ac:dyDescent="0.25">
      <c r="E67">
        <v>1957</v>
      </c>
      <c r="F67" s="51">
        <f t="shared" si="2"/>
        <v>5073.3403901406318</v>
      </c>
      <c r="G67" s="61">
        <v>13.419999999999998</v>
      </c>
      <c r="H67" s="61">
        <v>12.1</v>
      </c>
      <c r="I67" s="61">
        <v>13.9</v>
      </c>
      <c r="J67" s="61">
        <v>13.9</v>
      </c>
      <c r="K67" s="61">
        <v>13.7</v>
      </c>
      <c r="L67" s="61">
        <v>13.5</v>
      </c>
    </row>
    <row r="68" spans="5:12" x14ac:dyDescent="0.25">
      <c r="E68">
        <v>1956</v>
      </c>
      <c r="F68" s="51">
        <f t="shared" si="2"/>
        <v>5073.3403901406318</v>
      </c>
      <c r="G68" s="61">
        <v>13.419999999999998</v>
      </c>
      <c r="H68" s="61">
        <v>12.1</v>
      </c>
      <c r="I68" s="61">
        <v>13.9</v>
      </c>
      <c r="J68" s="61">
        <v>13.9</v>
      </c>
      <c r="K68" s="61">
        <v>13.7</v>
      </c>
      <c r="L68" s="61">
        <v>13.5</v>
      </c>
    </row>
    <row r="69" spans="5:12" x14ac:dyDescent="0.25">
      <c r="E69">
        <v>1955</v>
      </c>
      <c r="F69" s="51">
        <f t="shared" si="2"/>
        <v>5073.3403901406318</v>
      </c>
      <c r="G69" s="61">
        <v>13.419999999999998</v>
      </c>
      <c r="H69" s="61">
        <v>12.1</v>
      </c>
      <c r="I69" s="61">
        <v>13.9</v>
      </c>
      <c r="J69" s="61">
        <v>13.9</v>
      </c>
      <c r="K69" s="61">
        <v>13.7</v>
      </c>
      <c r="L69" s="61">
        <v>13.5</v>
      </c>
    </row>
    <row r="70" spans="5:12" x14ac:dyDescent="0.25">
      <c r="E70">
        <v>1954</v>
      </c>
      <c r="F70" s="51">
        <f t="shared" si="2"/>
        <v>4203.8409194011801</v>
      </c>
      <c r="G70" s="61">
        <v>11.12</v>
      </c>
      <c r="H70" s="61">
        <v>10</v>
      </c>
      <c r="I70" s="61">
        <v>11.5</v>
      </c>
      <c r="J70" s="61">
        <v>11.5</v>
      </c>
      <c r="K70" s="61">
        <v>11.4</v>
      </c>
      <c r="L70" s="61">
        <v>11.2</v>
      </c>
    </row>
    <row r="71" spans="5:12" x14ac:dyDescent="0.25">
      <c r="E71">
        <v>1953</v>
      </c>
      <c r="F71" s="51">
        <f t="shared" si="2"/>
        <v>4203.8409194011801</v>
      </c>
      <c r="G71" s="61">
        <v>11.12</v>
      </c>
      <c r="H71" s="61">
        <v>10</v>
      </c>
      <c r="I71" s="61">
        <v>11.5</v>
      </c>
      <c r="J71" s="61">
        <v>11.5</v>
      </c>
      <c r="K71" s="61">
        <v>11.4</v>
      </c>
      <c r="L71" s="61">
        <v>11.2</v>
      </c>
    </row>
    <row r="72" spans="5:12" x14ac:dyDescent="0.25">
      <c r="E72">
        <v>1952</v>
      </c>
      <c r="F72" s="51">
        <f t="shared" si="2"/>
        <v>4203.8409194011801</v>
      </c>
      <c r="G72" s="61">
        <v>11.12</v>
      </c>
      <c r="H72" s="61">
        <v>10</v>
      </c>
      <c r="I72" s="61">
        <v>11.5</v>
      </c>
      <c r="J72" s="61">
        <v>11.5</v>
      </c>
      <c r="K72" s="61">
        <v>11.4</v>
      </c>
      <c r="L72" s="61">
        <v>11.2</v>
      </c>
    </row>
    <row r="73" spans="5:12" x14ac:dyDescent="0.25">
      <c r="E73">
        <v>1951</v>
      </c>
      <c r="F73" s="51">
        <f t="shared" si="2"/>
        <v>4203.8409194011801</v>
      </c>
      <c r="G73" s="61">
        <v>11.12</v>
      </c>
      <c r="H73" s="61">
        <v>10</v>
      </c>
      <c r="I73" s="61">
        <v>11.5</v>
      </c>
      <c r="J73" s="61">
        <v>11.5</v>
      </c>
      <c r="K73" s="61">
        <v>11.4</v>
      </c>
      <c r="L73" s="61">
        <v>11.2</v>
      </c>
    </row>
    <row r="74" spans="5:12" x14ac:dyDescent="0.25">
      <c r="E74">
        <v>1950</v>
      </c>
      <c r="F74" s="51">
        <f t="shared" si="2"/>
        <v>4203.8409194011801</v>
      </c>
      <c r="G74" s="61">
        <v>11.12</v>
      </c>
      <c r="H74" s="61">
        <v>10</v>
      </c>
      <c r="I74" s="61">
        <v>11.5</v>
      </c>
      <c r="J74" s="61">
        <v>11.5</v>
      </c>
      <c r="K74" s="61">
        <v>11.4</v>
      </c>
      <c r="L74" s="61">
        <v>11.2</v>
      </c>
    </row>
    <row r="75" spans="5:12" x14ac:dyDescent="0.25">
      <c r="E75">
        <v>1949</v>
      </c>
      <c r="F75" s="51"/>
      <c r="G75" s="61">
        <v>11.12</v>
      </c>
      <c r="H75" s="61">
        <v>10</v>
      </c>
      <c r="I75" s="61">
        <v>11.5</v>
      </c>
      <c r="J75" s="61">
        <v>11.5</v>
      </c>
      <c r="K75" s="61">
        <v>11.4</v>
      </c>
      <c r="L75" s="61">
        <v>11.2</v>
      </c>
    </row>
    <row r="76" spans="5:12" x14ac:dyDescent="0.25">
      <c r="E76">
        <v>1948</v>
      </c>
      <c r="F76" s="51"/>
      <c r="G76" s="61">
        <v>11.12</v>
      </c>
      <c r="H76" s="61">
        <v>10</v>
      </c>
      <c r="I76" s="61">
        <v>11.5</v>
      </c>
      <c r="J76" s="61">
        <v>11.5</v>
      </c>
      <c r="K76" s="61">
        <v>11.4</v>
      </c>
      <c r="L76" s="61">
        <v>11.2</v>
      </c>
    </row>
    <row r="77" spans="5:12" x14ac:dyDescent="0.25">
      <c r="E77">
        <v>1947</v>
      </c>
      <c r="F77" s="51"/>
      <c r="G77" s="61">
        <v>11.12</v>
      </c>
      <c r="H77" s="61">
        <v>10</v>
      </c>
      <c r="I77" s="61">
        <v>11.5</v>
      </c>
      <c r="J77" s="61">
        <v>11.5</v>
      </c>
      <c r="K77" s="61">
        <v>11.4</v>
      </c>
      <c r="L77" s="61">
        <v>11.2</v>
      </c>
    </row>
    <row r="78" spans="5:12" x14ac:dyDescent="0.25">
      <c r="E78">
        <v>1946</v>
      </c>
      <c r="F78" s="51"/>
      <c r="G78" s="61">
        <v>11.12</v>
      </c>
      <c r="H78" s="61">
        <v>10</v>
      </c>
      <c r="I78" s="61">
        <v>11.5</v>
      </c>
      <c r="J78" s="61">
        <v>11.5</v>
      </c>
      <c r="K78" s="61">
        <v>11.4</v>
      </c>
      <c r="L78" s="61">
        <v>11.2</v>
      </c>
    </row>
    <row r="79" spans="5:12" x14ac:dyDescent="0.25">
      <c r="E79">
        <v>1945</v>
      </c>
      <c r="F79" s="51"/>
      <c r="G79" s="61">
        <v>11.12</v>
      </c>
      <c r="H79" s="61">
        <v>10</v>
      </c>
      <c r="I79" s="61">
        <v>11.5</v>
      </c>
      <c r="J79" s="61">
        <v>11.5</v>
      </c>
      <c r="K79" s="61">
        <v>11.4</v>
      </c>
      <c r="L79" s="61">
        <v>11.2</v>
      </c>
    </row>
    <row r="80" spans="5:12" x14ac:dyDescent="0.25">
      <c r="E80">
        <v>1944</v>
      </c>
      <c r="F80" s="51"/>
      <c r="G80" s="61">
        <v>11.12</v>
      </c>
      <c r="H80" s="61">
        <v>10</v>
      </c>
      <c r="I80" s="61">
        <v>11.5</v>
      </c>
      <c r="J80" s="61">
        <v>11.5</v>
      </c>
      <c r="K80" s="61">
        <v>11.4</v>
      </c>
      <c r="L80" s="61">
        <v>11.2</v>
      </c>
    </row>
    <row r="81" spans="5:12" x14ac:dyDescent="0.25">
      <c r="E81">
        <v>1943</v>
      </c>
      <c r="F81" s="51"/>
      <c r="G81" s="61">
        <v>11.12</v>
      </c>
      <c r="H81" s="61">
        <v>10</v>
      </c>
      <c r="I81" s="61">
        <v>11.5</v>
      </c>
      <c r="J81" s="61">
        <v>11.5</v>
      </c>
      <c r="K81" s="61">
        <v>11.4</v>
      </c>
      <c r="L81" s="61">
        <v>11.2</v>
      </c>
    </row>
    <row r="82" spans="5:12" x14ac:dyDescent="0.25">
      <c r="E82">
        <v>1942</v>
      </c>
      <c r="F82" s="51"/>
      <c r="G82" s="61">
        <v>11.12</v>
      </c>
      <c r="H82" s="61">
        <v>10</v>
      </c>
      <c r="I82" s="61">
        <v>11.5</v>
      </c>
      <c r="J82" s="61">
        <v>11.5</v>
      </c>
      <c r="K82" s="61">
        <v>11.4</v>
      </c>
      <c r="L82" s="61">
        <v>11.2</v>
      </c>
    </row>
    <row r="83" spans="5:12" x14ac:dyDescent="0.25">
      <c r="E83">
        <v>1941</v>
      </c>
      <c r="F83" s="51"/>
      <c r="G83" s="61">
        <v>11.12</v>
      </c>
      <c r="H83" s="61">
        <v>10</v>
      </c>
      <c r="I83" s="61">
        <v>11.5</v>
      </c>
      <c r="J83" s="61">
        <v>11.5</v>
      </c>
      <c r="K83" s="61">
        <v>11.4</v>
      </c>
      <c r="L83" s="61">
        <v>11.2</v>
      </c>
    </row>
    <row r="84" spans="5:12" x14ac:dyDescent="0.25">
      <c r="E84">
        <v>1940</v>
      </c>
      <c r="F84" s="51"/>
      <c r="G84" s="61">
        <v>11.12</v>
      </c>
      <c r="H84" s="61">
        <v>10</v>
      </c>
      <c r="I84" s="61">
        <v>11.5</v>
      </c>
      <c r="J84" s="61">
        <v>11.5</v>
      </c>
      <c r="K84" s="61">
        <v>11.4</v>
      </c>
      <c r="L84" s="61">
        <v>11.2</v>
      </c>
    </row>
  </sheetData>
  <phoneticPr fontId="4"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249977111117893"/>
  </sheetPr>
  <dimension ref="A1:AB399"/>
  <sheetViews>
    <sheetView topLeftCell="A387" zoomScaleNormal="100" workbookViewId="0">
      <selection activeCell="H404" sqref="H404"/>
    </sheetView>
  </sheetViews>
  <sheetFormatPr defaultRowHeight="13.2" x14ac:dyDescent="0.25"/>
  <cols>
    <col min="1" max="1" width="11" bestFit="1" customWidth="1"/>
    <col min="2" max="2" width="16.6640625" style="49" bestFit="1" customWidth="1"/>
    <col min="3" max="3" width="11.33203125" style="81" bestFit="1" customWidth="1"/>
    <col min="4" max="4" width="11" style="81" customWidth="1"/>
    <col min="5" max="5" width="6" style="37" bestFit="1" customWidth="1"/>
    <col min="6" max="6" width="8.6640625" style="37" customWidth="1"/>
    <col min="7" max="7" width="9.21875" style="77" bestFit="1" customWidth="1"/>
    <col min="8" max="8" width="12.21875" style="81" bestFit="1" customWidth="1"/>
    <col min="9" max="9" width="10.44140625" style="77" bestFit="1" customWidth="1"/>
    <col min="10" max="10" width="9.21875" style="49" bestFit="1" customWidth="1"/>
    <col min="11" max="11" width="9.21875" style="49" customWidth="1"/>
    <col min="12" max="12" width="11" style="37" bestFit="1" customWidth="1"/>
    <col min="13" max="17" width="8.88671875" style="37"/>
    <col min="18" max="18" width="8" style="37" bestFit="1" customWidth="1"/>
    <col min="19" max="19" width="8" style="37" customWidth="1"/>
    <col min="20" max="20" width="11" style="37" bestFit="1" customWidth="1"/>
    <col min="21" max="21" width="16.6640625" style="37" bestFit="1" customWidth="1"/>
    <col min="22" max="22" width="11.33203125" style="37" bestFit="1" customWidth="1"/>
    <col min="23" max="23" width="11" style="37" customWidth="1"/>
    <col min="24" max="24" width="6" style="37" bestFit="1" customWidth="1"/>
    <col min="25" max="25" width="8.6640625" style="37" customWidth="1"/>
    <col min="26" max="26" width="8.33203125" style="37" bestFit="1" customWidth="1"/>
    <col min="27" max="27" width="7.88671875" style="37" bestFit="1" customWidth="1"/>
    <col min="28" max="28" width="11.44140625" style="37" bestFit="1" customWidth="1"/>
    <col min="29" max="16384" width="8.88671875" style="37"/>
  </cols>
  <sheetData>
    <row r="1" spans="1:28" s="82" customFormat="1" ht="38.4" customHeight="1" x14ac:dyDescent="0.25">
      <c r="A1" s="82" t="s">
        <v>597</v>
      </c>
      <c r="B1" s="82" t="s">
        <v>592</v>
      </c>
      <c r="C1" s="113" t="s">
        <v>593</v>
      </c>
      <c r="D1" s="113" t="s">
        <v>68</v>
      </c>
      <c r="E1" s="82" t="s">
        <v>147</v>
      </c>
      <c r="F1" s="82" t="s">
        <v>20</v>
      </c>
      <c r="G1" s="112" t="s">
        <v>148</v>
      </c>
      <c r="H1" s="113" t="s">
        <v>596</v>
      </c>
      <c r="I1" s="112" t="s">
        <v>594</v>
      </c>
      <c r="J1" s="82" t="s">
        <v>807</v>
      </c>
      <c r="K1" s="82" t="s">
        <v>809</v>
      </c>
    </row>
    <row r="2" spans="1:28" x14ac:dyDescent="0.25">
      <c r="A2">
        <v>1003205337</v>
      </c>
      <c r="B2" s="49">
        <v>0.65</v>
      </c>
      <c r="C2" s="81">
        <v>32567</v>
      </c>
      <c r="D2" s="81">
        <v>32567</v>
      </c>
      <c r="E2" s="37">
        <v>27520</v>
      </c>
      <c r="F2" s="37">
        <v>100</v>
      </c>
      <c r="G2" s="77">
        <v>7</v>
      </c>
      <c r="H2" s="81">
        <v>66398</v>
      </c>
      <c r="I2" s="77">
        <v>663.98</v>
      </c>
      <c r="J2" s="168">
        <v>13.68</v>
      </c>
      <c r="K2" s="170">
        <f>_xlfn.XLOOKUP(A2,'[2]Rate Calculation'!$T:$T,'[2]Rate Calculation'!$BF:$BF)</f>
        <v>1.1976</v>
      </c>
      <c r="U2" s="49"/>
      <c r="V2" s="81"/>
      <c r="W2" s="81"/>
      <c r="Z2" s="77"/>
      <c r="AA2" s="81"/>
      <c r="AB2" s="81"/>
    </row>
    <row r="3" spans="1:28" x14ac:dyDescent="0.25">
      <c r="A3">
        <v>1003366311</v>
      </c>
      <c r="B3" s="49">
        <v>0.65459005566562878</v>
      </c>
      <c r="C3" s="81">
        <v>50759</v>
      </c>
      <c r="D3" s="81">
        <v>50759</v>
      </c>
      <c r="E3" s="37">
        <v>27886</v>
      </c>
      <c r="F3" s="37">
        <v>159</v>
      </c>
      <c r="G3" s="77">
        <v>16.839999999999918</v>
      </c>
      <c r="H3" s="81">
        <v>39931</v>
      </c>
      <c r="I3" s="77">
        <v>251.13836477987422</v>
      </c>
      <c r="J3" s="168">
        <v>7.18</v>
      </c>
      <c r="K3" s="170">
        <f>_xlfn.XLOOKUP(A3,'[2]Rate Calculation'!$T:$T,'[2]Rate Calculation'!$BF:$BF)</f>
        <v>1.1888000000000001</v>
      </c>
      <c r="U3" s="49"/>
      <c r="V3" s="81"/>
      <c r="W3" s="81"/>
      <c r="Z3" s="77"/>
      <c r="AA3" s="81"/>
      <c r="AB3" s="81"/>
    </row>
    <row r="4" spans="1:28" x14ac:dyDescent="0.25">
      <c r="A4">
        <v>1003869983</v>
      </c>
      <c r="B4" s="49">
        <v>0.64326757326182726</v>
      </c>
      <c r="C4" s="81">
        <v>45798</v>
      </c>
      <c r="D4" s="81">
        <v>45798</v>
      </c>
      <c r="E4" s="37">
        <v>27344</v>
      </c>
      <c r="F4" s="37">
        <v>150</v>
      </c>
      <c r="G4" s="77">
        <v>33.5</v>
      </c>
      <c r="H4" s="81">
        <v>44019.999999999993</v>
      </c>
      <c r="I4" s="77">
        <v>293.46666666666664</v>
      </c>
      <c r="J4" s="168">
        <v>13.68</v>
      </c>
      <c r="K4" s="170">
        <f>_xlfn.XLOOKUP(A4,'[2]Rate Calculation'!$T:$T,'[2]Rate Calculation'!$BF:$BF)</f>
        <v>0.97409999999999997</v>
      </c>
      <c r="U4" s="49"/>
      <c r="V4" s="81"/>
      <c r="W4" s="81"/>
      <c r="Z4" s="77"/>
      <c r="AA4" s="81"/>
      <c r="AB4" s="81"/>
    </row>
    <row r="5" spans="1:28" x14ac:dyDescent="0.25">
      <c r="A5">
        <v>1013951896</v>
      </c>
      <c r="B5" s="49">
        <v>0.52071125479894931</v>
      </c>
      <c r="C5" s="81">
        <v>20022</v>
      </c>
      <c r="D5" s="81">
        <v>20022</v>
      </c>
      <c r="E5" s="37">
        <v>27845</v>
      </c>
      <c r="F5" s="37">
        <v>80</v>
      </c>
      <c r="G5" s="77">
        <v>27.170000000000073</v>
      </c>
      <c r="H5" s="81">
        <v>31536</v>
      </c>
      <c r="I5" s="77">
        <v>394.2</v>
      </c>
      <c r="J5" s="168">
        <v>13.68</v>
      </c>
      <c r="K5" s="170">
        <f>_xlfn.XLOOKUP(A5,'[2]Rate Calculation'!$T:$T,'[2]Rate Calculation'!$BF:$BF)</f>
        <v>1.0799000000000001</v>
      </c>
      <c r="U5" s="49"/>
      <c r="V5" s="81"/>
      <c r="W5" s="81"/>
      <c r="Z5" s="77"/>
      <c r="AA5" s="81"/>
      <c r="AB5" s="81"/>
    </row>
    <row r="6" spans="1:28" x14ac:dyDescent="0.25">
      <c r="A6">
        <v>1023358991</v>
      </c>
      <c r="B6" s="49">
        <v>0.56673817740882382</v>
      </c>
      <c r="C6" s="81">
        <v>20577</v>
      </c>
      <c r="D6" s="81">
        <v>20577</v>
      </c>
      <c r="E6" s="37">
        <v>28577</v>
      </c>
      <c r="F6" s="37">
        <v>104</v>
      </c>
      <c r="G6" s="77">
        <v>30.880000000000109</v>
      </c>
      <c r="H6" s="81">
        <v>50521</v>
      </c>
      <c r="I6" s="77">
        <v>485.77884615384613</v>
      </c>
      <c r="J6" s="168">
        <v>13.68</v>
      </c>
      <c r="K6" s="170">
        <f>_xlfn.XLOOKUP(A6,'[2]Rate Calculation'!$T:$T,'[2]Rate Calculation'!$BF:$BF)</f>
        <v>0.99919999999999998</v>
      </c>
      <c r="U6" s="49"/>
      <c r="V6" s="81"/>
      <c r="W6" s="81"/>
      <c r="Z6" s="77"/>
      <c r="AA6" s="81"/>
      <c r="AB6" s="81"/>
    </row>
    <row r="7" spans="1:28" x14ac:dyDescent="0.25">
      <c r="A7">
        <v>1023386190</v>
      </c>
      <c r="B7" s="49">
        <v>0.62868469201057131</v>
      </c>
      <c r="C7" s="81">
        <v>9740</v>
      </c>
      <c r="D7" s="81">
        <v>9740</v>
      </c>
      <c r="E7" s="37">
        <v>28398</v>
      </c>
      <c r="F7" s="37">
        <v>100</v>
      </c>
      <c r="G7" s="77">
        <v>26.900000000000091</v>
      </c>
      <c r="H7" s="81">
        <v>0</v>
      </c>
      <c r="I7" s="77">
        <v>0</v>
      </c>
      <c r="J7" s="168">
        <v>13.68</v>
      </c>
      <c r="K7" s="170">
        <f>_xlfn.XLOOKUP(A7,'[2]Rate Calculation'!$T:$T,'[2]Rate Calculation'!$BF:$BF)</f>
        <v>1.0386</v>
      </c>
      <c r="U7" s="49"/>
      <c r="V7" s="81"/>
      <c r="W7" s="81"/>
      <c r="Z7" s="77"/>
      <c r="AA7" s="81"/>
      <c r="AB7" s="81"/>
    </row>
    <row r="8" spans="1:28" x14ac:dyDescent="0.25">
      <c r="A8">
        <v>1023481520</v>
      </c>
      <c r="B8" s="49">
        <v>0.62709311597412953</v>
      </c>
      <c r="C8" s="81">
        <v>23592</v>
      </c>
      <c r="D8" s="81">
        <v>23592</v>
      </c>
      <c r="E8" s="37">
        <v>28301</v>
      </c>
      <c r="F8" s="37">
        <v>80</v>
      </c>
      <c r="G8" s="77">
        <v>4.9100000000000819</v>
      </c>
      <c r="H8" s="81">
        <v>67197.431807300527</v>
      </c>
      <c r="I8" s="77">
        <v>839.96789759125659</v>
      </c>
      <c r="J8" s="168">
        <v>13.68</v>
      </c>
      <c r="K8" s="170">
        <f>_xlfn.XLOOKUP(A8,'[2]Rate Calculation'!$T:$T,'[2]Rate Calculation'!$BF:$BF)</f>
        <v>1.0936999999999999</v>
      </c>
      <c r="U8" s="49"/>
      <c r="V8" s="81"/>
      <c r="W8" s="81"/>
      <c r="Z8" s="77"/>
      <c r="AA8" s="81"/>
      <c r="AB8" s="81"/>
    </row>
    <row r="9" spans="1:28" x14ac:dyDescent="0.25">
      <c r="A9">
        <v>1023671765</v>
      </c>
      <c r="B9" s="49">
        <v>0.64816724477360077</v>
      </c>
      <c r="C9" s="81">
        <v>34221</v>
      </c>
      <c r="D9" s="81">
        <v>45753.351648351643</v>
      </c>
      <c r="E9" s="37">
        <v>27203</v>
      </c>
      <c r="F9" s="37">
        <v>238</v>
      </c>
      <c r="G9" s="77">
        <v>33.5</v>
      </c>
      <c r="H9" s="81">
        <v>66437</v>
      </c>
      <c r="I9" s="77">
        <v>279.14705882352939</v>
      </c>
      <c r="J9" s="168">
        <v>13.68</v>
      </c>
      <c r="K9" s="170">
        <f>_xlfn.XLOOKUP(A9,'[2]Rate Calculation'!$T:$T,'[2]Rate Calculation'!$BF:$BF)</f>
        <v>1.3152999999999999</v>
      </c>
      <c r="U9" s="49"/>
      <c r="V9" s="81"/>
      <c r="W9" s="81"/>
      <c r="Z9" s="77"/>
      <c r="AA9" s="81"/>
      <c r="AB9" s="81"/>
    </row>
    <row r="10" spans="1:28" x14ac:dyDescent="0.25">
      <c r="A10">
        <v>1033244090</v>
      </c>
      <c r="B10" s="49">
        <v>0.69843466228487427</v>
      </c>
      <c r="C10" s="81">
        <v>46709</v>
      </c>
      <c r="D10" s="81">
        <v>46709</v>
      </c>
      <c r="E10" s="37">
        <v>28086</v>
      </c>
      <c r="F10" s="37">
        <v>154</v>
      </c>
      <c r="G10" s="77">
        <v>21.75</v>
      </c>
      <c r="H10" s="81">
        <v>50475</v>
      </c>
      <c r="I10" s="77">
        <v>327.75974025974028</v>
      </c>
      <c r="J10" s="168">
        <v>13.68</v>
      </c>
      <c r="K10" s="170">
        <f>_xlfn.XLOOKUP(A10,'[2]Rate Calculation'!$T:$T,'[2]Rate Calculation'!$BF:$BF)</f>
        <v>1.1471</v>
      </c>
      <c r="U10" s="49"/>
      <c r="V10" s="81"/>
      <c r="W10" s="81"/>
      <c r="Z10" s="77"/>
      <c r="AA10" s="81"/>
      <c r="AB10" s="81"/>
    </row>
    <row r="11" spans="1:28" x14ac:dyDescent="0.25">
      <c r="A11">
        <v>1033513320</v>
      </c>
      <c r="B11" s="49">
        <v>0.5804614070065508</v>
      </c>
      <c r="C11" s="81">
        <v>31921</v>
      </c>
      <c r="D11" s="81">
        <v>31921</v>
      </c>
      <c r="E11" s="37">
        <v>28379</v>
      </c>
      <c r="F11" s="37">
        <v>120</v>
      </c>
      <c r="G11" s="77">
        <v>23.720000000000027</v>
      </c>
      <c r="H11" s="81">
        <v>34530</v>
      </c>
      <c r="I11" s="77">
        <v>287.75</v>
      </c>
      <c r="J11" s="168">
        <v>13.68</v>
      </c>
      <c r="K11" s="170">
        <f>_xlfn.XLOOKUP(A11,'[2]Rate Calculation'!$T:$T,'[2]Rate Calculation'!$BF:$BF)</f>
        <v>1.1691</v>
      </c>
      <c r="U11" s="49"/>
      <c r="V11" s="81"/>
      <c r="W11" s="81"/>
      <c r="Z11" s="77"/>
      <c r="AA11" s="81"/>
      <c r="AB11" s="81"/>
    </row>
    <row r="12" spans="1:28" x14ac:dyDescent="0.25">
      <c r="A12">
        <v>1033611959</v>
      </c>
      <c r="B12" s="49">
        <v>0.65</v>
      </c>
      <c r="C12" s="81">
        <v>16294</v>
      </c>
      <c r="D12" s="81">
        <v>16294</v>
      </c>
      <c r="E12" s="37">
        <v>27517</v>
      </c>
      <c r="F12" s="37">
        <v>133</v>
      </c>
      <c r="G12" s="77">
        <v>3.6700000000000728</v>
      </c>
      <c r="H12" s="81">
        <v>58275.060786229202</v>
      </c>
      <c r="I12" s="77">
        <v>438.15835177615941</v>
      </c>
      <c r="J12" s="168">
        <v>13.68</v>
      </c>
      <c r="K12" s="170">
        <f>_xlfn.XLOOKUP(A12,'[2]Rate Calculation'!$T:$T,'[2]Rate Calculation'!$BF:$BF)</f>
        <v>1.0425</v>
      </c>
      <c r="U12" s="49"/>
      <c r="V12" s="81"/>
      <c r="W12" s="81"/>
      <c r="Z12" s="77"/>
      <c r="AA12" s="81"/>
      <c r="AB12" s="81"/>
    </row>
    <row r="13" spans="1:28" x14ac:dyDescent="0.25">
      <c r="A13">
        <v>1033784970</v>
      </c>
      <c r="B13" s="49">
        <v>0.61824263243536426</v>
      </c>
      <c r="C13" s="81">
        <v>36825</v>
      </c>
      <c r="D13" s="81">
        <v>36825</v>
      </c>
      <c r="E13" s="37">
        <v>27406</v>
      </c>
      <c r="F13" s="37">
        <v>110</v>
      </c>
      <c r="G13" s="77">
        <v>8.2699999999999818</v>
      </c>
      <c r="H13" s="81">
        <v>36687</v>
      </c>
      <c r="I13" s="77">
        <v>333.5181818181818</v>
      </c>
      <c r="J13" s="168">
        <v>13.68</v>
      </c>
      <c r="K13" s="170">
        <f>_xlfn.XLOOKUP(A13,'[2]Rate Calculation'!$T:$T,'[2]Rate Calculation'!$BF:$BF)</f>
        <v>1.2093</v>
      </c>
      <c r="U13" s="49"/>
      <c r="V13" s="81"/>
      <c r="W13" s="81"/>
      <c r="Z13" s="77"/>
      <c r="AA13" s="81"/>
      <c r="AB13" s="81"/>
    </row>
    <row r="14" spans="1:28" x14ac:dyDescent="0.25">
      <c r="A14">
        <v>1043263981</v>
      </c>
      <c r="B14" s="49">
        <v>0.65331027193235325</v>
      </c>
      <c r="C14" s="81">
        <v>30055</v>
      </c>
      <c r="D14" s="81">
        <v>30055</v>
      </c>
      <c r="E14" s="37">
        <v>28329</v>
      </c>
      <c r="F14" s="37">
        <v>100</v>
      </c>
      <c r="G14" s="77">
        <v>23.059999999999945</v>
      </c>
      <c r="H14" s="81">
        <v>37473</v>
      </c>
      <c r="I14" s="77">
        <v>374.73</v>
      </c>
      <c r="J14" s="168">
        <v>13.68</v>
      </c>
      <c r="K14" s="170">
        <f>_xlfn.XLOOKUP(A14,'[2]Rate Calculation'!$T:$T,'[2]Rate Calculation'!$BF:$BF)</f>
        <v>1.1227</v>
      </c>
      <c r="U14" s="49"/>
      <c r="V14" s="81"/>
      <c r="W14" s="81"/>
      <c r="Z14" s="77"/>
      <c r="AA14" s="81"/>
      <c r="AB14" s="81"/>
    </row>
    <row r="15" spans="1:28" x14ac:dyDescent="0.25">
      <c r="A15">
        <v>1043314602</v>
      </c>
      <c r="B15" s="49">
        <v>0.68239492466296592</v>
      </c>
      <c r="C15" s="81">
        <v>42139</v>
      </c>
      <c r="D15" s="81">
        <v>42139</v>
      </c>
      <c r="E15" s="37">
        <v>27262</v>
      </c>
      <c r="F15" s="37">
        <v>129</v>
      </c>
      <c r="G15" s="77">
        <v>10.690000000000055</v>
      </c>
      <c r="H15" s="81">
        <v>66368</v>
      </c>
      <c r="I15" s="77">
        <v>514.48062015503876</v>
      </c>
      <c r="J15" s="168">
        <v>13.68</v>
      </c>
      <c r="K15" s="170">
        <f>_xlfn.XLOOKUP(A15,'[2]Rate Calculation'!$T:$T,'[2]Rate Calculation'!$BF:$BF)</f>
        <v>1.3629</v>
      </c>
      <c r="U15" s="49"/>
      <c r="V15" s="81"/>
      <c r="W15" s="81"/>
      <c r="Z15" s="77"/>
      <c r="AA15" s="81"/>
      <c r="AB15" s="81"/>
    </row>
    <row r="16" spans="1:28" x14ac:dyDescent="0.25">
      <c r="A16">
        <v>1043703945</v>
      </c>
      <c r="B16" s="49">
        <v>0.61681132937414351</v>
      </c>
      <c r="C16" s="81">
        <v>31224</v>
      </c>
      <c r="D16" s="81">
        <v>31224</v>
      </c>
      <c r="E16" s="37">
        <v>28052</v>
      </c>
      <c r="F16" s="37">
        <v>118</v>
      </c>
      <c r="G16" s="77">
        <v>2.3299999999999272</v>
      </c>
      <c r="H16" s="81">
        <v>35196</v>
      </c>
      <c r="I16" s="77">
        <v>298.27118644067798</v>
      </c>
      <c r="J16" s="168">
        <v>13.68</v>
      </c>
      <c r="K16" s="170">
        <f>_xlfn.XLOOKUP(A16,'[2]Rate Calculation'!$T:$T,'[2]Rate Calculation'!$BF:$BF)</f>
        <v>1.0218</v>
      </c>
      <c r="U16" s="49"/>
      <c r="V16" s="81"/>
      <c r="W16" s="81"/>
      <c r="Z16" s="77"/>
      <c r="AA16" s="81"/>
      <c r="AB16" s="81"/>
    </row>
    <row r="17" spans="1:28" x14ac:dyDescent="0.25">
      <c r="A17">
        <v>1043865538</v>
      </c>
      <c r="B17" s="49">
        <v>0.57352941176470584</v>
      </c>
      <c r="C17" s="81">
        <v>21563</v>
      </c>
      <c r="D17" s="81">
        <v>21563</v>
      </c>
      <c r="E17" s="37">
        <v>27549</v>
      </c>
      <c r="F17" s="37">
        <v>92</v>
      </c>
      <c r="G17" s="77">
        <v>27.220000000000027</v>
      </c>
      <c r="H17" s="81">
        <v>31113.959999999995</v>
      </c>
      <c r="I17" s="77">
        <v>338.19521739130431</v>
      </c>
      <c r="J17" s="168">
        <v>13.68</v>
      </c>
      <c r="K17" s="170">
        <f>_xlfn.XLOOKUP(A17,'[2]Rate Calculation'!$T:$T,'[2]Rate Calculation'!$BF:$BF)</f>
        <v>1.0896999999999999</v>
      </c>
      <c r="U17" s="49"/>
      <c r="V17" s="81"/>
      <c r="W17" s="81"/>
      <c r="Z17" s="77"/>
      <c r="AA17" s="81"/>
      <c r="AB17" s="81"/>
    </row>
    <row r="18" spans="1:28" x14ac:dyDescent="0.25">
      <c r="A18">
        <v>1053380626</v>
      </c>
      <c r="B18" s="49">
        <v>0.65861400105801449</v>
      </c>
      <c r="C18" s="81">
        <v>40232</v>
      </c>
      <c r="D18" s="81">
        <v>40232</v>
      </c>
      <c r="E18" s="37">
        <v>28262</v>
      </c>
      <c r="F18" s="37">
        <v>120</v>
      </c>
      <c r="G18" s="77">
        <v>21.150000000000091</v>
      </c>
      <c r="H18" s="81">
        <v>36154.28571428571</v>
      </c>
      <c r="I18" s="77">
        <v>301.28571428571428</v>
      </c>
      <c r="J18" s="168">
        <v>13.68</v>
      </c>
      <c r="K18" s="170">
        <f>_xlfn.XLOOKUP(A18,'[2]Rate Calculation'!$T:$T,'[2]Rate Calculation'!$BF:$BF)</f>
        <v>1.2909999999999999</v>
      </c>
      <c r="U18" s="49"/>
      <c r="V18" s="81"/>
      <c r="W18" s="81"/>
      <c r="Z18" s="77"/>
      <c r="AA18" s="81"/>
      <c r="AB18" s="81"/>
    </row>
    <row r="19" spans="1:28" x14ac:dyDescent="0.25">
      <c r="A19">
        <v>1053395210</v>
      </c>
      <c r="B19" s="49">
        <v>0.68589611989324573</v>
      </c>
      <c r="C19" s="81">
        <v>31920</v>
      </c>
      <c r="D19" s="81">
        <v>31920</v>
      </c>
      <c r="E19" s="37">
        <v>28714</v>
      </c>
      <c r="F19" s="37">
        <v>140</v>
      </c>
      <c r="G19" s="77">
        <v>33.5</v>
      </c>
      <c r="H19" s="81">
        <v>0</v>
      </c>
      <c r="I19" s="77">
        <v>0</v>
      </c>
      <c r="J19" s="168">
        <v>13.68</v>
      </c>
      <c r="K19" s="170">
        <f>_xlfn.XLOOKUP(A19,'[2]Rate Calculation'!$T:$T,'[2]Rate Calculation'!$BF:$BF)</f>
        <v>1.0379</v>
      </c>
      <c r="U19" s="49"/>
      <c r="V19" s="81"/>
      <c r="W19" s="81"/>
      <c r="Z19" s="77"/>
      <c r="AA19" s="81"/>
      <c r="AB19" s="81"/>
    </row>
    <row r="20" spans="1:28" x14ac:dyDescent="0.25">
      <c r="A20">
        <v>1053396788</v>
      </c>
      <c r="B20" s="49">
        <v>0.65972455492106152</v>
      </c>
      <c r="C20" s="81">
        <v>21022</v>
      </c>
      <c r="D20" s="81">
        <v>21022</v>
      </c>
      <c r="E20" s="37">
        <v>27856</v>
      </c>
      <c r="F20" s="37">
        <v>60</v>
      </c>
      <c r="G20" s="77">
        <v>8.3599999999999</v>
      </c>
      <c r="H20" s="81">
        <v>40703.644646924826</v>
      </c>
      <c r="I20" s="77">
        <v>678.39407744874711</v>
      </c>
      <c r="J20" s="168">
        <v>13.68</v>
      </c>
      <c r="K20" s="170">
        <f>_xlfn.XLOOKUP(A20,'[2]Rate Calculation'!$T:$T,'[2]Rate Calculation'!$BF:$BF)</f>
        <v>1.1332</v>
      </c>
      <c r="U20" s="49"/>
      <c r="V20" s="81"/>
      <c r="W20" s="81"/>
      <c r="Z20" s="77"/>
      <c r="AA20" s="81"/>
      <c r="AB20" s="81"/>
    </row>
    <row r="21" spans="1:28" x14ac:dyDescent="0.25">
      <c r="A21">
        <v>1053953844</v>
      </c>
      <c r="B21" s="49">
        <v>0.68800876643706954</v>
      </c>
      <c r="C21" s="81">
        <v>21273</v>
      </c>
      <c r="D21" s="81">
        <v>21273</v>
      </c>
      <c r="E21" s="37">
        <v>28112</v>
      </c>
      <c r="F21" s="37">
        <v>70</v>
      </c>
      <c r="G21" s="77">
        <v>14.299999999999955</v>
      </c>
      <c r="H21" s="81">
        <v>0</v>
      </c>
      <c r="I21" s="77">
        <v>0</v>
      </c>
      <c r="J21" s="168">
        <v>13.68</v>
      </c>
      <c r="K21" s="170">
        <f>_xlfn.XLOOKUP(A21,'[2]Rate Calculation'!$T:$T,'[2]Rate Calculation'!$BF:$BF)</f>
        <v>1.0730999999999999</v>
      </c>
      <c r="U21" s="49"/>
      <c r="V21" s="81"/>
      <c r="W21" s="81"/>
      <c r="Z21" s="77"/>
      <c r="AA21" s="81"/>
      <c r="AB21" s="81"/>
    </row>
    <row r="22" spans="1:28" x14ac:dyDescent="0.25">
      <c r="A22">
        <v>1063458958</v>
      </c>
      <c r="B22" s="49">
        <v>0.6216738385878634</v>
      </c>
      <c r="C22" s="81">
        <v>34130</v>
      </c>
      <c r="D22" s="81">
        <v>34130</v>
      </c>
      <c r="E22" s="37">
        <v>28580</v>
      </c>
      <c r="F22" s="37">
        <v>115</v>
      </c>
      <c r="G22" s="77">
        <v>24.579999999999927</v>
      </c>
      <c r="H22" s="81">
        <v>32119.893384146348</v>
      </c>
      <c r="I22" s="77">
        <v>279.30342073170738</v>
      </c>
      <c r="J22" s="168">
        <v>13.68</v>
      </c>
      <c r="K22" s="170">
        <f>_xlfn.XLOOKUP(A22,'[2]Rate Calculation'!$T:$T,'[2]Rate Calculation'!$BF:$BF)</f>
        <v>1.2047000000000001</v>
      </c>
      <c r="U22" s="49"/>
      <c r="V22" s="81"/>
      <c r="W22" s="81"/>
      <c r="Z22" s="77"/>
      <c r="AA22" s="81"/>
      <c r="AB22" s="81"/>
    </row>
    <row r="23" spans="1:28" x14ac:dyDescent="0.25">
      <c r="A23">
        <v>1063838381</v>
      </c>
      <c r="B23" s="49">
        <v>0.58047279792746109</v>
      </c>
      <c r="C23" s="81">
        <v>27951</v>
      </c>
      <c r="D23" s="81">
        <v>27951</v>
      </c>
      <c r="E23" s="37">
        <v>27103</v>
      </c>
      <c r="F23" s="37">
        <v>90</v>
      </c>
      <c r="G23" s="77">
        <v>14.039999999999964</v>
      </c>
      <c r="H23" s="81">
        <v>25826.000000000004</v>
      </c>
      <c r="I23" s="77">
        <v>286.95555555555558</v>
      </c>
      <c r="J23" s="168">
        <v>13.68</v>
      </c>
      <c r="K23" s="170">
        <f>_xlfn.XLOOKUP(A23,'[2]Rate Calculation'!$T:$T,'[2]Rate Calculation'!$BF:$BF)</f>
        <v>1.3185</v>
      </c>
      <c r="U23" s="49"/>
      <c r="V23" s="81"/>
      <c r="W23" s="81"/>
      <c r="Z23" s="77"/>
      <c r="AA23" s="81"/>
      <c r="AB23" s="81"/>
    </row>
    <row r="24" spans="1:28" x14ac:dyDescent="0.25">
      <c r="A24">
        <v>1063919652</v>
      </c>
      <c r="B24" s="49">
        <v>0.63773201588327633</v>
      </c>
      <c r="C24" s="81">
        <v>25507</v>
      </c>
      <c r="D24" s="81">
        <v>25507</v>
      </c>
      <c r="E24" s="37">
        <v>28712</v>
      </c>
      <c r="F24" s="37">
        <v>147</v>
      </c>
      <c r="G24" s="77">
        <v>15.130000000000109</v>
      </c>
      <c r="H24" s="81">
        <v>53397</v>
      </c>
      <c r="I24" s="77">
        <v>363.24489795918367</v>
      </c>
      <c r="J24" s="168">
        <v>13.68</v>
      </c>
      <c r="K24" s="170">
        <f>_xlfn.XLOOKUP(A24,'[2]Rate Calculation'!$T:$T,'[2]Rate Calculation'!$BF:$BF)</f>
        <v>1.1934</v>
      </c>
      <c r="U24" s="49"/>
      <c r="V24" s="81"/>
      <c r="W24" s="81"/>
      <c r="Z24" s="77"/>
      <c r="AA24" s="81"/>
      <c r="AB24" s="81"/>
    </row>
    <row r="25" spans="1:28" x14ac:dyDescent="0.25">
      <c r="A25">
        <v>1073034138</v>
      </c>
      <c r="B25" s="49">
        <v>0.62724401595744683</v>
      </c>
      <c r="C25" s="81">
        <v>39754</v>
      </c>
      <c r="D25" s="81">
        <v>39754</v>
      </c>
      <c r="E25" s="37">
        <v>28715</v>
      </c>
      <c r="F25" s="37">
        <v>118</v>
      </c>
      <c r="G25" s="77">
        <v>1</v>
      </c>
      <c r="H25" s="81">
        <v>65000</v>
      </c>
      <c r="I25" s="77">
        <v>550.84745762711862</v>
      </c>
      <c r="J25" s="168">
        <v>0</v>
      </c>
      <c r="K25" s="170">
        <f>_xlfn.XLOOKUP(A25,'[2]Rate Calculation'!$T:$T,'[2]Rate Calculation'!$BF:$BF)</f>
        <v>1.1326000000000001</v>
      </c>
    </row>
    <row r="26" spans="1:28" x14ac:dyDescent="0.25">
      <c r="A26">
        <v>1073599510</v>
      </c>
      <c r="B26" s="49">
        <v>0.80058631033542405</v>
      </c>
      <c r="C26" s="81">
        <v>26438</v>
      </c>
      <c r="D26" s="81">
        <v>26438</v>
      </c>
      <c r="E26" s="37">
        <v>28054</v>
      </c>
      <c r="F26" s="37">
        <v>76</v>
      </c>
      <c r="G26" s="77">
        <v>18.259999999999991</v>
      </c>
      <c r="H26" s="81">
        <v>0</v>
      </c>
      <c r="I26" s="77">
        <v>0</v>
      </c>
      <c r="J26" s="168">
        <v>13.68</v>
      </c>
      <c r="K26" s="170">
        <f>_xlfn.XLOOKUP(A26,'[2]Rate Calculation'!$T:$T,'[2]Rate Calculation'!$BF:$BF)</f>
        <v>1.0882000000000001</v>
      </c>
    </row>
    <row r="27" spans="1:28" x14ac:dyDescent="0.25">
      <c r="A27">
        <v>1073599635</v>
      </c>
      <c r="B27" s="49">
        <v>0.62474705838267253</v>
      </c>
      <c r="C27" s="81">
        <v>30658</v>
      </c>
      <c r="D27" s="81">
        <v>30658</v>
      </c>
      <c r="E27" s="37">
        <v>28408</v>
      </c>
      <c r="F27" s="37">
        <v>90</v>
      </c>
      <c r="G27" s="77">
        <v>13.779999999999973</v>
      </c>
      <c r="H27" s="81">
        <v>57297.989949748735</v>
      </c>
      <c r="I27" s="77">
        <v>636.64433277498597</v>
      </c>
      <c r="J27" s="168">
        <v>13.68</v>
      </c>
      <c r="K27" s="170">
        <f>_xlfn.XLOOKUP(A27,'[2]Rate Calculation'!$T:$T,'[2]Rate Calculation'!$BF:$BF)</f>
        <v>1.1211</v>
      </c>
    </row>
    <row r="28" spans="1:28" x14ac:dyDescent="0.25">
      <c r="A28">
        <v>1083298236</v>
      </c>
      <c r="B28" s="49">
        <v>0.69085833914863914</v>
      </c>
      <c r="C28" s="81">
        <v>29750</v>
      </c>
      <c r="D28" s="81">
        <v>29750</v>
      </c>
      <c r="E28" s="37">
        <v>27292</v>
      </c>
      <c r="F28" s="37">
        <v>90</v>
      </c>
      <c r="G28" s="77">
        <v>5.0599999999999454</v>
      </c>
      <c r="H28" s="81">
        <v>29716.2</v>
      </c>
      <c r="I28" s="77">
        <v>330.18</v>
      </c>
      <c r="J28" s="168">
        <v>13.68</v>
      </c>
      <c r="K28" s="170">
        <f>_xlfn.XLOOKUP(A28,'[2]Rate Calculation'!$T:$T,'[2]Rate Calculation'!$BF:$BF)</f>
        <v>1.0884</v>
      </c>
    </row>
    <row r="29" spans="1:28" x14ac:dyDescent="0.25">
      <c r="A29">
        <v>1083659692</v>
      </c>
      <c r="B29" s="49">
        <v>0.58259601361205648</v>
      </c>
      <c r="C29" s="81">
        <v>32407</v>
      </c>
      <c r="D29" s="81">
        <v>32407</v>
      </c>
      <c r="E29" s="37">
        <v>28932</v>
      </c>
      <c r="F29" s="37">
        <v>130</v>
      </c>
      <c r="G29" s="77">
        <v>33.5</v>
      </c>
      <c r="H29" s="81">
        <v>46910</v>
      </c>
      <c r="I29" s="77">
        <v>360.84615384615387</v>
      </c>
      <c r="J29" s="168">
        <v>13.68</v>
      </c>
      <c r="K29" s="170">
        <f>_xlfn.XLOOKUP(A29,'[2]Rate Calculation'!$T:$T,'[2]Rate Calculation'!$BF:$BF)</f>
        <v>1.1995</v>
      </c>
    </row>
    <row r="30" spans="1:28" x14ac:dyDescent="0.25">
      <c r="A30">
        <v>1083661193</v>
      </c>
      <c r="B30" s="49">
        <v>0.68693324121253996</v>
      </c>
      <c r="C30" s="81">
        <v>30829</v>
      </c>
      <c r="D30" s="81">
        <v>30829</v>
      </c>
      <c r="E30" s="37">
        <v>27511</v>
      </c>
      <c r="F30" s="37">
        <v>120</v>
      </c>
      <c r="G30" s="77">
        <v>19.6099999999999</v>
      </c>
      <c r="H30" s="81">
        <v>47592</v>
      </c>
      <c r="I30" s="77">
        <v>396.6</v>
      </c>
      <c r="J30" s="168">
        <v>13.68</v>
      </c>
      <c r="K30" s="170">
        <f>_xlfn.XLOOKUP(A30,'[2]Rate Calculation'!$T:$T,'[2]Rate Calculation'!$BF:$BF)</f>
        <v>1.1111</v>
      </c>
    </row>
    <row r="31" spans="1:28" x14ac:dyDescent="0.25">
      <c r="A31">
        <v>1083711626</v>
      </c>
      <c r="B31" s="49">
        <v>0.69032072899476205</v>
      </c>
      <c r="C31" s="81">
        <v>52647</v>
      </c>
      <c r="D31" s="81">
        <v>52647</v>
      </c>
      <c r="E31" s="37">
        <v>28105</v>
      </c>
      <c r="F31" s="37">
        <v>166</v>
      </c>
      <c r="G31" s="77">
        <v>23.970000000000027</v>
      </c>
      <c r="H31" s="81">
        <v>58418.818620241473</v>
      </c>
      <c r="I31" s="77">
        <v>351.92059409784019</v>
      </c>
      <c r="J31" s="168">
        <v>7.18</v>
      </c>
      <c r="K31" s="170">
        <f>_xlfn.XLOOKUP(A31,'[2]Rate Calculation'!$T:$T,'[2]Rate Calculation'!$BF:$BF)</f>
        <v>1.3204</v>
      </c>
    </row>
    <row r="32" spans="1:28" x14ac:dyDescent="0.25">
      <c r="A32">
        <v>1093131310</v>
      </c>
      <c r="B32" s="49">
        <v>0.48554186572793562</v>
      </c>
      <c r="C32" s="81">
        <v>30051</v>
      </c>
      <c r="D32" s="81">
        <v>30051</v>
      </c>
      <c r="E32" s="37">
        <v>28401</v>
      </c>
      <c r="F32" s="37">
        <v>90</v>
      </c>
      <c r="G32" s="77">
        <v>8.9600000000000364</v>
      </c>
      <c r="H32" s="81">
        <v>36000</v>
      </c>
      <c r="I32" s="77">
        <v>400</v>
      </c>
      <c r="J32" s="168">
        <v>13.68</v>
      </c>
      <c r="K32" s="170">
        <f>_xlfn.XLOOKUP(A32,'[2]Rate Calculation'!$T:$T,'[2]Rate Calculation'!$BF:$BF)</f>
        <v>1.2325999999999999</v>
      </c>
    </row>
    <row r="33" spans="1:11" x14ac:dyDescent="0.25">
      <c r="A33">
        <v>1093228397</v>
      </c>
      <c r="B33" s="49">
        <v>0.65</v>
      </c>
      <c r="C33" s="81">
        <v>27879</v>
      </c>
      <c r="D33" s="81">
        <v>27879</v>
      </c>
      <c r="E33" s="37">
        <v>27529</v>
      </c>
      <c r="F33" s="37">
        <v>100</v>
      </c>
      <c r="G33" s="77">
        <v>5</v>
      </c>
      <c r="H33" s="81">
        <v>0</v>
      </c>
      <c r="I33" s="77">
        <v>0</v>
      </c>
      <c r="J33" s="168">
        <v>13.68</v>
      </c>
      <c r="K33" s="170">
        <f>_xlfn.XLOOKUP(A33,'[2]Rate Calculation'!$T:$T,'[2]Rate Calculation'!$BF:$BF)</f>
        <v>1.1013999999999999</v>
      </c>
    </row>
    <row r="34" spans="1:11" x14ac:dyDescent="0.25">
      <c r="A34">
        <v>1093708497</v>
      </c>
      <c r="B34" s="49">
        <v>0.59232927970065474</v>
      </c>
      <c r="C34" s="81">
        <v>43614</v>
      </c>
      <c r="D34" s="81">
        <v>43614</v>
      </c>
      <c r="E34" s="37">
        <v>28716</v>
      </c>
      <c r="F34" s="37">
        <v>131</v>
      </c>
      <c r="G34" s="77">
        <v>21.690000000000055</v>
      </c>
      <c r="H34" s="81">
        <v>36189.659722222226</v>
      </c>
      <c r="I34" s="77">
        <v>276.25694444444446</v>
      </c>
      <c r="J34" s="168">
        <v>13.68</v>
      </c>
      <c r="K34" s="170">
        <f>_xlfn.XLOOKUP(A34,'[2]Rate Calculation'!$T:$T,'[2]Rate Calculation'!$BF:$BF)</f>
        <v>1.1548</v>
      </c>
    </row>
    <row r="35" spans="1:11" x14ac:dyDescent="0.25">
      <c r="A35">
        <v>1093754459</v>
      </c>
      <c r="B35" s="49">
        <v>0.62955981816165874</v>
      </c>
      <c r="C35" s="81">
        <v>20202</v>
      </c>
      <c r="D35" s="81">
        <v>20202</v>
      </c>
      <c r="E35" s="37">
        <v>28139</v>
      </c>
      <c r="F35" s="37">
        <v>60</v>
      </c>
      <c r="G35" s="77">
        <v>20.259999999999991</v>
      </c>
      <c r="H35" s="81">
        <v>22246.05224063342</v>
      </c>
      <c r="I35" s="77">
        <v>370.76753734389035</v>
      </c>
      <c r="J35" s="168">
        <v>13.68</v>
      </c>
      <c r="K35" s="170">
        <f>_xlfn.XLOOKUP(A35,'[2]Rate Calculation'!$T:$T,'[2]Rate Calculation'!$BF:$BF)</f>
        <v>1.2424999999999999</v>
      </c>
    </row>
    <row r="36" spans="1:11" x14ac:dyDescent="0.25">
      <c r="A36">
        <v>1093791337</v>
      </c>
      <c r="B36" s="49">
        <v>0.65257251244764081</v>
      </c>
      <c r="C36" s="81">
        <v>37158</v>
      </c>
      <c r="D36" s="81">
        <v>37158</v>
      </c>
      <c r="E36" s="37">
        <v>28103</v>
      </c>
      <c r="F36" s="37">
        <v>110</v>
      </c>
      <c r="G36" s="77">
        <v>8.5699999999999363</v>
      </c>
      <c r="H36" s="81">
        <v>50841.91082802548</v>
      </c>
      <c r="I36" s="77">
        <v>462.19918934568619</v>
      </c>
      <c r="J36" s="168">
        <v>13.68</v>
      </c>
      <c r="K36" s="170">
        <f>_xlfn.XLOOKUP(A36,'[2]Rate Calculation'!$T:$T,'[2]Rate Calculation'!$BF:$BF)</f>
        <v>1.0919000000000001</v>
      </c>
    </row>
    <row r="37" spans="1:11" x14ac:dyDescent="0.25">
      <c r="A37">
        <v>1104471531</v>
      </c>
      <c r="B37" s="49">
        <v>0.66881158254574702</v>
      </c>
      <c r="C37" s="81">
        <v>41076</v>
      </c>
      <c r="D37" s="81">
        <v>41076</v>
      </c>
      <c r="E37" s="37">
        <v>27573</v>
      </c>
      <c r="F37" s="37">
        <v>140</v>
      </c>
      <c r="G37" s="77">
        <v>33.5</v>
      </c>
      <c r="H37" s="81">
        <v>45816.226901763221</v>
      </c>
      <c r="I37" s="77">
        <v>327.25876358402303</v>
      </c>
      <c r="J37" s="168">
        <v>13.68</v>
      </c>
      <c r="K37" s="170">
        <f>_xlfn.XLOOKUP(A37,'[2]Rate Calculation'!$T:$T,'[2]Rate Calculation'!$BF:$BF)</f>
        <v>1.1252</v>
      </c>
    </row>
    <row r="38" spans="1:11" x14ac:dyDescent="0.25">
      <c r="A38">
        <v>1104800069</v>
      </c>
      <c r="B38" s="49">
        <v>0.68404768404768401</v>
      </c>
      <c r="C38" s="81">
        <v>32492</v>
      </c>
      <c r="D38" s="81">
        <v>32492</v>
      </c>
      <c r="E38" s="37">
        <v>28301</v>
      </c>
      <c r="F38" s="37">
        <v>98</v>
      </c>
      <c r="G38" s="77">
        <v>13.539999999999964</v>
      </c>
      <c r="H38" s="81">
        <v>54657.355660720787</v>
      </c>
      <c r="I38" s="77">
        <v>557.72811898694681</v>
      </c>
      <c r="J38" s="168">
        <v>13.68</v>
      </c>
      <c r="K38" s="170">
        <f>_xlfn.XLOOKUP(A38,'[2]Rate Calculation'!$T:$T,'[2]Rate Calculation'!$BF:$BF)</f>
        <v>1.3633999999999999</v>
      </c>
    </row>
    <row r="39" spans="1:11" x14ac:dyDescent="0.25">
      <c r="A39">
        <v>1104946060</v>
      </c>
      <c r="B39" s="49">
        <v>0.71948998178506374</v>
      </c>
      <c r="C39" s="81">
        <v>41818</v>
      </c>
      <c r="D39" s="81">
        <v>41818</v>
      </c>
      <c r="E39" s="37">
        <v>27534</v>
      </c>
      <c r="F39" s="37">
        <v>130</v>
      </c>
      <c r="G39" s="77">
        <v>10.259999999999991</v>
      </c>
      <c r="H39" s="81">
        <v>27837</v>
      </c>
      <c r="I39" s="77">
        <v>214.13076923076923</v>
      </c>
      <c r="J39" s="168">
        <v>13.68</v>
      </c>
      <c r="K39" s="170">
        <f>_xlfn.XLOOKUP(A39,'[2]Rate Calculation'!$T:$T,'[2]Rate Calculation'!$BF:$BF)</f>
        <v>1.2673000000000001</v>
      </c>
    </row>
    <row r="40" spans="1:11" x14ac:dyDescent="0.25">
      <c r="A40">
        <v>1104950765</v>
      </c>
      <c r="B40" s="49">
        <v>0.63621993127147758</v>
      </c>
      <c r="C40" s="81">
        <v>33263</v>
      </c>
      <c r="D40" s="81">
        <v>33263</v>
      </c>
      <c r="E40" s="37">
        <v>28621</v>
      </c>
      <c r="F40" s="37">
        <v>99</v>
      </c>
      <c r="G40" s="77">
        <v>15.950000000000045</v>
      </c>
      <c r="H40" s="81">
        <v>64170.765887379515</v>
      </c>
      <c r="I40" s="77">
        <v>648.18955441797493</v>
      </c>
      <c r="J40" s="168">
        <v>13.68</v>
      </c>
      <c r="K40" s="170">
        <f>_xlfn.XLOOKUP(A40,'[2]Rate Calculation'!$T:$T,'[2]Rate Calculation'!$BF:$BF)</f>
        <v>1.3105</v>
      </c>
    </row>
    <row r="41" spans="1:11" x14ac:dyDescent="0.25">
      <c r="A41">
        <v>1114463932</v>
      </c>
      <c r="B41" s="49">
        <v>0.65</v>
      </c>
      <c r="C41" s="81">
        <v>29713</v>
      </c>
      <c r="D41" s="81">
        <v>29713</v>
      </c>
      <c r="E41" s="37">
        <v>28314</v>
      </c>
      <c r="F41" s="37">
        <v>90</v>
      </c>
      <c r="G41" s="77">
        <v>9.7799999999999727</v>
      </c>
      <c r="H41" s="81">
        <v>62100</v>
      </c>
      <c r="I41" s="77">
        <v>690</v>
      </c>
      <c r="J41" s="168">
        <v>13.68</v>
      </c>
      <c r="K41" s="170">
        <f>_xlfn.XLOOKUP(A41,'[2]Rate Calculation'!$T:$T,'[2]Rate Calculation'!$BF:$BF)</f>
        <v>1.2332000000000001</v>
      </c>
    </row>
    <row r="42" spans="1:11" x14ac:dyDescent="0.25">
      <c r="A42">
        <v>1114480233</v>
      </c>
      <c r="B42" s="49">
        <v>0.63934426229508201</v>
      </c>
      <c r="C42" s="81">
        <v>39841</v>
      </c>
      <c r="D42" s="81">
        <v>39841</v>
      </c>
      <c r="E42" s="37">
        <v>28204</v>
      </c>
      <c r="F42" s="37">
        <v>120</v>
      </c>
      <c r="G42" s="77">
        <v>18.75</v>
      </c>
      <c r="H42" s="81">
        <v>39914</v>
      </c>
      <c r="I42" s="77">
        <v>332.61666666666667</v>
      </c>
      <c r="J42" s="168">
        <v>13.68</v>
      </c>
      <c r="K42" s="170">
        <f>_xlfn.XLOOKUP(A42,'[2]Rate Calculation'!$T:$T,'[2]Rate Calculation'!$BF:$BF)</f>
        <v>1.1901999999999999</v>
      </c>
    </row>
    <row r="43" spans="1:11" x14ac:dyDescent="0.25">
      <c r="A43">
        <v>1114501442</v>
      </c>
      <c r="B43" s="49">
        <v>0.68513894482480864</v>
      </c>
      <c r="C43" s="81">
        <v>61656</v>
      </c>
      <c r="D43" s="81">
        <v>61656</v>
      </c>
      <c r="E43" s="37">
        <v>27215</v>
      </c>
      <c r="F43" s="37">
        <v>180</v>
      </c>
      <c r="G43" s="77">
        <v>14.799999999999955</v>
      </c>
      <c r="H43" s="81">
        <v>51563.999999999993</v>
      </c>
      <c r="I43" s="77">
        <v>286.46666666666664</v>
      </c>
      <c r="J43" s="168">
        <v>7.18</v>
      </c>
      <c r="K43" s="170">
        <f>_xlfn.XLOOKUP(A43,'[2]Rate Calculation'!$T:$T,'[2]Rate Calculation'!$BF:$BF)</f>
        <v>1.1047</v>
      </c>
    </row>
    <row r="44" spans="1:11" x14ac:dyDescent="0.25">
      <c r="A44">
        <v>1114501459</v>
      </c>
      <c r="B44" s="49">
        <v>0.67661204858563628</v>
      </c>
      <c r="C44" s="81">
        <v>44986</v>
      </c>
      <c r="D44" s="81">
        <v>44986</v>
      </c>
      <c r="E44" s="37">
        <v>28306</v>
      </c>
      <c r="F44" s="37">
        <v>136</v>
      </c>
      <c r="G44" s="77">
        <v>3.1099999999999</v>
      </c>
      <c r="H44" s="81">
        <v>55408</v>
      </c>
      <c r="I44" s="77">
        <v>407.41176470588238</v>
      </c>
      <c r="J44" s="168">
        <v>13.68</v>
      </c>
      <c r="K44" s="170">
        <f>_xlfn.XLOOKUP(A44,'[2]Rate Calculation'!$T:$T,'[2]Rate Calculation'!$BF:$BF)</f>
        <v>1.1805000000000001</v>
      </c>
    </row>
    <row r="45" spans="1:11" x14ac:dyDescent="0.25">
      <c r="A45">
        <v>1114996758</v>
      </c>
      <c r="B45" s="49">
        <v>0.61921799131101452</v>
      </c>
      <c r="C45" s="81">
        <v>28726</v>
      </c>
      <c r="D45" s="81">
        <v>28726</v>
      </c>
      <c r="E45" s="37">
        <v>28732</v>
      </c>
      <c r="F45" s="37">
        <v>90</v>
      </c>
      <c r="G45" s="77">
        <v>17.279999999999973</v>
      </c>
      <c r="H45" s="81">
        <v>38268</v>
      </c>
      <c r="I45" s="77">
        <v>425.2</v>
      </c>
      <c r="J45" s="168">
        <v>13.68</v>
      </c>
      <c r="K45" s="170">
        <f>_xlfn.XLOOKUP(A45,'[2]Rate Calculation'!$T:$T,'[2]Rate Calculation'!$BF:$BF)</f>
        <v>1.3416999999999999</v>
      </c>
    </row>
    <row r="46" spans="1:11" x14ac:dyDescent="0.25">
      <c r="A46">
        <v>1124015458</v>
      </c>
      <c r="B46" s="49">
        <v>0.64412070759625395</v>
      </c>
      <c r="C46" s="81">
        <v>35344</v>
      </c>
      <c r="D46" s="81">
        <v>35344</v>
      </c>
      <c r="E46" s="37">
        <v>27360</v>
      </c>
      <c r="F46" s="37">
        <v>114</v>
      </c>
      <c r="G46" s="77">
        <v>11.519999999999982</v>
      </c>
      <c r="H46" s="81">
        <v>93025.95446546415</v>
      </c>
      <c r="I46" s="77">
        <v>816.01714443389608</v>
      </c>
      <c r="J46" s="168">
        <v>0</v>
      </c>
      <c r="K46" s="170">
        <f>_xlfn.XLOOKUP(A46,'[2]Rate Calculation'!$T:$T,'[2]Rate Calculation'!$BF:$BF)</f>
        <v>1.0728</v>
      </c>
    </row>
    <row r="47" spans="1:11" x14ac:dyDescent="0.25">
      <c r="A47">
        <v>1124342241</v>
      </c>
      <c r="B47" s="49">
        <v>0.65</v>
      </c>
      <c r="C47" s="81">
        <v>33442</v>
      </c>
      <c r="D47" s="81">
        <v>33442</v>
      </c>
      <c r="E47" s="37">
        <v>28173</v>
      </c>
      <c r="F47" s="37">
        <v>100</v>
      </c>
      <c r="G47" s="77">
        <v>5.5099999999999909</v>
      </c>
      <c r="H47" s="81">
        <v>60190</v>
      </c>
      <c r="I47" s="77">
        <v>601.9</v>
      </c>
      <c r="J47" s="168">
        <v>13.68</v>
      </c>
      <c r="K47" s="170">
        <f>_xlfn.XLOOKUP(A47,'[2]Rate Calculation'!$T:$T,'[2]Rate Calculation'!$BF:$BF)</f>
        <v>1.2750999999999999</v>
      </c>
    </row>
    <row r="48" spans="1:11" x14ac:dyDescent="0.25">
      <c r="A48">
        <v>1134175524</v>
      </c>
      <c r="B48" s="49">
        <v>0.55296836118023462</v>
      </c>
      <c r="C48" s="81">
        <v>18596</v>
      </c>
      <c r="D48" s="81">
        <v>18596</v>
      </c>
      <c r="E48" s="37">
        <v>27828</v>
      </c>
      <c r="F48" s="37">
        <v>56</v>
      </c>
      <c r="G48" s="77">
        <v>31.190000000000055</v>
      </c>
      <c r="H48" s="81">
        <v>10682</v>
      </c>
      <c r="I48" s="77">
        <v>190.75</v>
      </c>
      <c r="J48" s="168">
        <v>13.68</v>
      </c>
      <c r="K48" s="170">
        <f>_xlfn.XLOOKUP(A48,'[2]Rate Calculation'!$T:$T,'[2]Rate Calculation'!$BF:$BF)</f>
        <v>1.1493</v>
      </c>
    </row>
    <row r="49" spans="1:11" x14ac:dyDescent="0.25">
      <c r="A49">
        <v>1134249006</v>
      </c>
      <c r="B49" s="49">
        <v>0.64854196874496539</v>
      </c>
      <c r="C49" s="81">
        <v>30207</v>
      </c>
      <c r="D49" s="81">
        <v>30207</v>
      </c>
      <c r="E49" s="37">
        <v>27520</v>
      </c>
      <c r="F49" s="37">
        <v>90</v>
      </c>
      <c r="G49" s="77">
        <v>17.259999999999991</v>
      </c>
      <c r="H49" s="81">
        <v>33006</v>
      </c>
      <c r="I49" s="77">
        <v>366.73333333333335</v>
      </c>
      <c r="J49" s="168">
        <v>13.68</v>
      </c>
      <c r="K49" s="170">
        <f>_xlfn.XLOOKUP(A49,'[2]Rate Calculation'!$T:$T,'[2]Rate Calculation'!$BF:$BF)</f>
        <v>1.2263999999999999</v>
      </c>
    </row>
    <row r="50" spans="1:11" x14ac:dyDescent="0.25">
      <c r="A50">
        <v>1134298615</v>
      </c>
      <c r="B50" s="49">
        <v>0.4394358143524254</v>
      </c>
      <c r="C50" s="81">
        <v>1327</v>
      </c>
      <c r="D50" s="81">
        <v>1327</v>
      </c>
      <c r="E50" s="37">
        <v>27406</v>
      </c>
      <c r="F50" s="37">
        <v>23</v>
      </c>
      <c r="G50" s="77">
        <v>11</v>
      </c>
      <c r="H50" s="81">
        <v>0</v>
      </c>
      <c r="I50" s="77">
        <v>0</v>
      </c>
      <c r="J50" s="168">
        <v>13.68</v>
      </c>
      <c r="K50" s="170">
        <f>_xlfn.XLOOKUP(A50,'[2]Rate Calculation'!$T:$T,'[2]Rate Calculation'!$BF:$BF)</f>
        <v>1.7821</v>
      </c>
    </row>
    <row r="51" spans="1:11" x14ac:dyDescent="0.25">
      <c r="A51">
        <v>1134660103</v>
      </c>
      <c r="B51" s="49">
        <v>0.6824452901998096</v>
      </c>
      <c r="C51" s="81">
        <v>47013</v>
      </c>
      <c r="D51" s="81">
        <v>47013</v>
      </c>
      <c r="E51" s="37">
        <v>28304</v>
      </c>
      <c r="F51" s="37">
        <v>170</v>
      </c>
      <c r="G51" s="77">
        <v>8.7599999999999909</v>
      </c>
      <c r="H51" s="81">
        <v>67705</v>
      </c>
      <c r="I51" s="77">
        <v>398.26470588235293</v>
      </c>
      <c r="J51" s="168">
        <v>13.68</v>
      </c>
      <c r="K51" s="170">
        <f>_xlfn.XLOOKUP(A51,'[2]Rate Calculation'!$T:$T,'[2]Rate Calculation'!$BF:$BF)</f>
        <v>1.3895999999999999</v>
      </c>
    </row>
    <row r="52" spans="1:11" x14ac:dyDescent="0.25">
      <c r="A52">
        <v>1144277666</v>
      </c>
      <c r="B52" s="49">
        <v>0.58310816027175172</v>
      </c>
      <c r="C52" s="81">
        <v>31333</v>
      </c>
      <c r="D52" s="81">
        <v>31333</v>
      </c>
      <c r="E52" s="37">
        <v>27260</v>
      </c>
      <c r="F52" s="37">
        <v>100</v>
      </c>
      <c r="G52" s="77">
        <v>22.430000000000064</v>
      </c>
      <c r="H52" s="81">
        <v>20365</v>
      </c>
      <c r="I52" s="77">
        <v>203.65</v>
      </c>
      <c r="J52" s="168">
        <v>13.68</v>
      </c>
      <c r="K52" s="170">
        <f>_xlfn.XLOOKUP(A52,'[2]Rate Calculation'!$T:$T,'[2]Rate Calculation'!$BF:$BF)</f>
        <v>1.1688924274286907</v>
      </c>
    </row>
    <row r="53" spans="1:11" x14ac:dyDescent="0.25">
      <c r="A53">
        <v>1144299702</v>
      </c>
      <c r="B53" s="49">
        <v>0.68653683319221004</v>
      </c>
      <c r="C53" s="81">
        <v>43369</v>
      </c>
      <c r="D53" s="81">
        <v>43369</v>
      </c>
      <c r="E53" s="37">
        <v>27616</v>
      </c>
      <c r="F53" s="37">
        <v>132</v>
      </c>
      <c r="G53" s="77">
        <v>14.230000000000018</v>
      </c>
      <c r="H53" s="81">
        <v>56107</v>
      </c>
      <c r="I53" s="77">
        <v>425.05303030303031</v>
      </c>
      <c r="J53" s="168">
        <v>13.68</v>
      </c>
      <c r="K53" s="170">
        <f>_xlfn.XLOOKUP(A53,'[2]Rate Calculation'!$T:$T,'[2]Rate Calculation'!$BF:$BF)</f>
        <v>1.2454000000000001</v>
      </c>
    </row>
    <row r="54" spans="1:11" x14ac:dyDescent="0.25">
      <c r="A54">
        <v>1144646274</v>
      </c>
      <c r="B54" s="49">
        <v>0.55633009435290803</v>
      </c>
      <c r="C54" s="81">
        <v>29912</v>
      </c>
      <c r="D54" s="81">
        <v>29912</v>
      </c>
      <c r="E54" s="37">
        <v>27705</v>
      </c>
      <c r="F54" s="37">
        <v>96</v>
      </c>
      <c r="G54" s="77">
        <v>16.759999999999991</v>
      </c>
      <c r="H54" s="81">
        <v>28728</v>
      </c>
      <c r="I54" s="77">
        <v>299.25</v>
      </c>
      <c r="J54" s="168">
        <v>13.68</v>
      </c>
      <c r="K54" s="170">
        <f>_xlfn.XLOOKUP(A54,'[2]Rate Calculation'!$T:$T,'[2]Rate Calculation'!$BF:$BF)</f>
        <v>1.2033</v>
      </c>
    </row>
    <row r="55" spans="1:11" x14ac:dyDescent="0.25">
      <c r="A55">
        <v>1144804485</v>
      </c>
      <c r="B55" s="49">
        <v>0.63637732439960848</v>
      </c>
      <c r="C55" s="81">
        <v>30175</v>
      </c>
      <c r="D55" s="81">
        <v>30175</v>
      </c>
      <c r="E55" s="37">
        <v>28612</v>
      </c>
      <c r="F55" s="37">
        <v>90</v>
      </c>
      <c r="G55" s="77">
        <v>2</v>
      </c>
      <c r="H55" s="81">
        <v>36125</v>
      </c>
      <c r="I55" s="77">
        <v>401.38888888888891</v>
      </c>
      <c r="J55" s="168">
        <v>13.68</v>
      </c>
      <c r="K55" s="170">
        <f>_xlfn.XLOOKUP(A55,'[2]Rate Calculation'!$T:$T,'[2]Rate Calculation'!$BF:$BF)</f>
        <v>1.1153999999999999</v>
      </c>
    </row>
    <row r="56" spans="1:11" x14ac:dyDescent="0.25">
      <c r="A56">
        <v>1144868092</v>
      </c>
      <c r="B56" s="49">
        <v>0.69513735396274079</v>
      </c>
      <c r="C56" s="81">
        <v>45924</v>
      </c>
      <c r="D56" s="81">
        <v>45924</v>
      </c>
      <c r="E56" s="37">
        <v>28144</v>
      </c>
      <c r="F56" s="37">
        <v>160</v>
      </c>
      <c r="G56" s="77">
        <v>18.619999999999891</v>
      </c>
      <c r="H56" s="81">
        <v>26536.076591427845</v>
      </c>
      <c r="I56" s="77">
        <v>165.85047869642403</v>
      </c>
      <c r="J56" s="168">
        <v>13.68</v>
      </c>
      <c r="K56" s="170">
        <f>_xlfn.XLOOKUP(A56,'[2]Rate Calculation'!$T:$T,'[2]Rate Calculation'!$BF:$BF)</f>
        <v>1.1134999999999999</v>
      </c>
    </row>
    <row r="57" spans="1:11" x14ac:dyDescent="0.25">
      <c r="A57">
        <v>1154369841</v>
      </c>
      <c r="B57" s="49">
        <v>0.70594108836744884</v>
      </c>
      <c r="C57" s="81">
        <v>26253</v>
      </c>
      <c r="D57" s="81">
        <v>26253</v>
      </c>
      <c r="E57" s="37">
        <v>27545</v>
      </c>
      <c r="F57" s="37">
        <v>80</v>
      </c>
      <c r="G57" s="77">
        <v>20.569999999999936</v>
      </c>
      <c r="H57" s="81">
        <v>24770.03607614369</v>
      </c>
      <c r="I57" s="77">
        <v>309.6254509517961</v>
      </c>
      <c r="J57" s="168">
        <v>13.68</v>
      </c>
      <c r="K57" s="170">
        <f>_xlfn.XLOOKUP(A57,'[2]Rate Calculation'!$T:$T,'[2]Rate Calculation'!$BF:$BF)</f>
        <v>1.161</v>
      </c>
    </row>
    <row r="58" spans="1:11" x14ac:dyDescent="0.25">
      <c r="A58">
        <v>1154792000</v>
      </c>
      <c r="B58" s="49">
        <v>0.62700381679389305</v>
      </c>
      <c r="C58" s="81">
        <v>28660</v>
      </c>
      <c r="D58" s="81">
        <v>28660</v>
      </c>
      <c r="E58" s="37">
        <v>27834</v>
      </c>
      <c r="F58" s="37">
        <v>130</v>
      </c>
      <c r="G58" s="77">
        <v>31.039999999999964</v>
      </c>
      <c r="H58" s="81">
        <v>0</v>
      </c>
      <c r="I58" s="77">
        <v>0</v>
      </c>
      <c r="J58" s="168">
        <v>13.68</v>
      </c>
      <c r="K58" s="170">
        <f>_xlfn.XLOOKUP(A58,'[2]Rate Calculation'!$T:$T,'[2]Rate Calculation'!$BF:$BF)</f>
        <v>1.0145999999999999</v>
      </c>
    </row>
    <row r="59" spans="1:11" x14ac:dyDescent="0.25">
      <c r="A59">
        <v>1164476636</v>
      </c>
      <c r="B59" s="49">
        <v>0.53518550775126295</v>
      </c>
      <c r="C59" s="81">
        <v>16140</v>
      </c>
      <c r="D59" s="81">
        <v>16140</v>
      </c>
      <c r="E59" s="37">
        <v>27890</v>
      </c>
      <c r="F59" s="37">
        <v>50</v>
      </c>
      <c r="G59" s="77">
        <v>24.529999999999973</v>
      </c>
      <c r="H59" s="81">
        <v>28458.275494195168</v>
      </c>
      <c r="I59" s="77">
        <v>569.16550988390338</v>
      </c>
      <c r="J59" s="168">
        <v>13.68</v>
      </c>
      <c r="K59" s="170">
        <f>_xlfn.XLOOKUP(A59,'[2]Rate Calculation'!$T:$T,'[2]Rate Calculation'!$BF:$BF)</f>
        <v>1.1500999999999999</v>
      </c>
    </row>
    <row r="60" spans="1:11" x14ac:dyDescent="0.25">
      <c r="A60">
        <v>1164725198</v>
      </c>
      <c r="B60" s="49">
        <v>0.65049166310389062</v>
      </c>
      <c r="C60" s="81">
        <v>37242</v>
      </c>
      <c r="D60" s="81">
        <v>37242</v>
      </c>
      <c r="E60" s="37">
        <v>28801</v>
      </c>
      <c r="F60" s="37">
        <v>120</v>
      </c>
      <c r="G60" s="77">
        <v>21.589999999999918</v>
      </c>
      <c r="H60" s="81">
        <v>32560.999999999996</v>
      </c>
      <c r="I60" s="77">
        <v>271.34166666666664</v>
      </c>
      <c r="J60" s="168">
        <v>13.68</v>
      </c>
      <c r="K60" s="170">
        <f>_xlfn.XLOOKUP(A60,'[2]Rate Calculation'!$T:$T,'[2]Rate Calculation'!$BF:$BF)</f>
        <v>1.4363999999999999</v>
      </c>
    </row>
    <row r="61" spans="1:11" x14ac:dyDescent="0.25">
      <c r="A61">
        <v>1164848503</v>
      </c>
      <c r="B61" s="49">
        <v>0.52362124898621243</v>
      </c>
      <c r="C61" s="81">
        <v>20276</v>
      </c>
      <c r="D61" s="81">
        <v>20276</v>
      </c>
      <c r="E61" s="37">
        <v>27597</v>
      </c>
      <c r="F61" s="37">
        <v>60</v>
      </c>
      <c r="G61" s="77">
        <v>13.150000000000091</v>
      </c>
      <c r="H61" s="81">
        <v>21195</v>
      </c>
      <c r="I61" s="77">
        <v>353.25</v>
      </c>
      <c r="J61" s="168">
        <v>13.68</v>
      </c>
      <c r="K61" s="170">
        <f>_xlfn.XLOOKUP(A61,'[2]Rate Calculation'!$T:$T,'[2]Rate Calculation'!$BF:$BF)</f>
        <v>1.2999000000000001</v>
      </c>
    </row>
    <row r="62" spans="1:11" x14ac:dyDescent="0.25">
      <c r="A62">
        <v>1174149934</v>
      </c>
      <c r="B62" s="49">
        <v>0.58093890902661116</v>
      </c>
      <c r="C62" s="81">
        <v>499</v>
      </c>
      <c r="D62" s="81">
        <v>499</v>
      </c>
      <c r="E62" s="37">
        <v>28358</v>
      </c>
      <c r="F62" s="37">
        <v>90</v>
      </c>
      <c r="G62" s="77">
        <v>28.630000000000109</v>
      </c>
      <c r="H62" s="81">
        <v>37765.47369081217</v>
      </c>
      <c r="I62" s="77">
        <v>419.61637434235746</v>
      </c>
      <c r="J62" s="168">
        <v>13.68</v>
      </c>
      <c r="K62" s="170">
        <f>_xlfn.XLOOKUP(A62,'[2]Rate Calculation'!$T:$T,'[2]Rate Calculation'!$BF:$BF)</f>
        <v>1.1688924274286907</v>
      </c>
    </row>
    <row r="63" spans="1:11" x14ac:dyDescent="0.25">
      <c r="A63">
        <v>1174178313</v>
      </c>
      <c r="B63" s="49">
        <v>0.61678960309097297</v>
      </c>
      <c r="C63" s="81">
        <v>39495</v>
      </c>
      <c r="D63" s="81">
        <v>39495</v>
      </c>
      <c r="E63" s="37">
        <v>27055</v>
      </c>
      <c r="F63" s="37">
        <v>147</v>
      </c>
      <c r="G63" s="77">
        <v>33.5</v>
      </c>
      <c r="H63" s="81">
        <v>51036.141932869403</v>
      </c>
      <c r="I63" s="77">
        <v>347.1846389991116</v>
      </c>
      <c r="J63" s="168">
        <v>13.68</v>
      </c>
      <c r="K63" s="170">
        <f>_xlfn.XLOOKUP(A63,'[2]Rate Calculation'!$T:$T,'[2]Rate Calculation'!$BF:$BF)</f>
        <v>1.1469</v>
      </c>
    </row>
    <row r="64" spans="1:11" x14ac:dyDescent="0.25">
      <c r="A64">
        <v>1174524458</v>
      </c>
      <c r="B64" s="49">
        <v>0.67589377873698042</v>
      </c>
      <c r="C64" s="81">
        <v>24168</v>
      </c>
      <c r="D64" s="81">
        <v>24168</v>
      </c>
      <c r="E64" s="37">
        <v>27511</v>
      </c>
      <c r="F64" s="37">
        <v>71</v>
      </c>
      <c r="G64" s="77">
        <v>5</v>
      </c>
      <c r="H64" s="81">
        <v>0</v>
      </c>
      <c r="I64" s="77">
        <v>0</v>
      </c>
      <c r="J64" s="168">
        <v>0</v>
      </c>
      <c r="K64" s="170">
        <f>_xlfn.XLOOKUP(A64,'[2]Rate Calculation'!$T:$T,'[2]Rate Calculation'!$BF:$BF)</f>
        <v>1.1238999999999999</v>
      </c>
    </row>
    <row r="65" spans="1:11" x14ac:dyDescent="0.25">
      <c r="A65">
        <v>1174608350</v>
      </c>
      <c r="B65" s="49">
        <v>0.63035609058001518</v>
      </c>
      <c r="C65" s="81">
        <v>16072</v>
      </c>
      <c r="D65" s="81">
        <v>16072</v>
      </c>
      <c r="E65" s="37">
        <v>28081</v>
      </c>
      <c r="F65" s="37">
        <v>50</v>
      </c>
      <c r="G65" s="77">
        <v>24.970000000000027</v>
      </c>
      <c r="H65" s="81">
        <v>17434.456888265398</v>
      </c>
      <c r="I65" s="77">
        <v>348.68913776530798</v>
      </c>
      <c r="J65" s="168">
        <v>13.68</v>
      </c>
      <c r="K65" s="170">
        <f>_xlfn.XLOOKUP(A65,'[2]Rate Calculation'!$T:$T,'[2]Rate Calculation'!$BF:$BF)</f>
        <v>1.1788000000000001</v>
      </c>
    </row>
    <row r="66" spans="1:11" x14ac:dyDescent="0.25">
      <c r="A66">
        <v>1184174484</v>
      </c>
      <c r="B66" s="49">
        <v>0.59947095778684001</v>
      </c>
      <c r="C66" s="81">
        <v>51022</v>
      </c>
      <c r="D66" s="81">
        <v>51022</v>
      </c>
      <c r="E66" s="37">
        <v>27834</v>
      </c>
      <c r="F66" s="37">
        <v>152</v>
      </c>
      <c r="G66" s="77">
        <v>10.180000000000064</v>
      </c>
      <c r="H66" s="81">
        <v>77707</v>
      </c>
      <c r="I66" s="77">
        <v>511.23026315789474</v>
      </c>
      <c r="J66" s="168">
        <v>7.18</v>
      </c>
      <c r="K66" s="170">
        <f>_xlfn.XLOOKUP(A66,'[2]Rate Calculation'!$T:$T,'[2]Rate Calculation'!$BF:$BF)</f>
        <v>1.3163</v>
      </c>
    </row>
    <row r="67" spans="1:11" x14ac:dyDescent="0.25">
      <c r="A67">
        <v>1184196206</v>
      </c>
      <c r="B67" s="49">
        <v>0.69970699037254092</v>
      </c>
      <c r="C67" s="81">
        <v>17537</v>
      </c>
      <c r="D67" s="81">
        <v>21125.429042904292</v>
      </c>
      <c r="E67" s="37">
        <v>28741</v>
      </c>
      <c r="F67" s="37">
        <v>80</v>
      </c>
      <c r="G67" s="77">
        <v>18.599999999999909</v>
      </c>
      <c r="H67" s="81">
        <v>0</v>
      </c>
      <c r="I67" s="77">
        <v>0</v>
      </c>
      <c r="J67" s="168">
        <v>13.68</v>
      </c>
      <c r="K67" s="170">
        <f>_xlfn.XLOOKUP(A67,'[2]Rate Calculation'!$T:$T,'[2]Rate Calculation'!$BF:$BF)</f>
        <v>0.96340000000000003</v>
      </c>
    </row>
    <row r="68" spans="1:11" x14ac:dyDescent="0.25">
      <c r="A68">
        <v>1184650541</v>
      </c>
      <c r="B68" s="49">
        <v>0.59378378378378371</v>
      </c>
      <c r="C68" s="81">
        <v>48899</v>
      </c>
      <c r="D68" s="81">
        <v>48899</v>
      </c>
      <c r="E68" s="37">
        <v>28697</v>
      </c>
      <c r="F68" s="37">
        <v>176</v>
      </c>
      <c r="G68" s="77">
        <v>27.829999999999927</v>
      </c>
      <c r="H68" s="81">
        <v>54671.166349235842</v>
      </c>
      <c r="I68" s="77">
        <v>310.63162698429454</v>
      </c>
      <c r="J68" s="168">
        <v>7.18</v>
      </c>
      <c r="K68" s="170">
        <f>_xlfn.XLOOKUP(A68,'[2]Rate Calculation'!$T:$T,'[2]Rate Calculation'!$BF:$BF)</f>
        <v>1.329</v>
      </c>
    </row>
    <row r="69" spans="1:11" x14ac:dyDescent="0.25">
      <c r="A69">
        <v>1184705048</v>
      </c>
      <c r="B69" s="49">
        <v>0.64495203289173131</v>
      </c>
      <c r="C69" s="81">
        <v>19880</v>
      </c>
      <c r="D69" s="81">
        <v>19880</v>
      </c>
      <c r="E69" s="37">
        <v>28573</v>
      </c>
      <c r="F69" s="37">
        <v>80</v>
      </c>
      <c r="G69" s="77">
        <v>29.5</v>
      </c>
      <c r="H69" s="81">
        <v>0</v>
      </c>
      <c r="I69" s="77">
        <v>0</v>
      </c>
      <c r="J69" s="168">
        <v>13.68</v>
      </c>
      <c r="K69" s="170">
        <f>_xlfn.XLOOKUP(A69,'[2]Rate Calculation'!$T:$T,'[2]Rate Calculation'!$BF:$BF)</f>
        <v>0.96399999999999997</v>
      </c>
    </row>
    <row r="70" spans="1:11" x14ac:dyDescent="0.25">
      <c r="A70">
        <v>1184712580</v>
      </c>
      <c r="B70" s="49">
        <v>0.79772619611558504</v>
      </c>
      <c r="C70" s="81">
        <v>51428</v>
      </c>
      <c r="D70" s="81">
        <v>51428</v>
      </c>
      <c r="E70" s="37">
        <v>28387</v>
      </c>
      <c r="F70" s="37">
        <v>176</v>
      </c>
      <c r="G70" s="77">
        <v>14</v>
      </c>
      <c r="H70" s="81">
        <v>0</v>
      </c>
      <c r="I70" s="77">
        <v>0</v>
      </c>
      <c r="J70" s="168">
        <v>0</v>
      </c>
      <c r="K70" s="170">
        <f>_xlfn.XLOOKUP(A70,'[2]Rate Calculation'!$T:$T,'[2]Rate Calculation'!$BF:$BF)</f>
        <v>1.1011</v>
      </c>
    </row>
    <row r="71" spans="1:11" x14ac:dyDescent="0.25">
      <c r="A71">
        <v>1194028118</v>
      </c>
      <c r="B71" s="49">
        <v>0.65</v>
      </c>
      <c r="C71" s="81">
        <v>34901</v>
      </c>
      <c r="D71" s="81">
        <v>34901</v>
      </c>
      <c r="E71" s="37">
        <v>28412</v>
      </c>
      <c r="F71" s="37">
        <v>100</v>
      </c>
      <c r="G71" s="77">
        <v>7.1400000000001</v>
      </c>
      <c r="H71" s="81">
        <v>67869</v>
      </c>
      <c r="I71" s="77">
        <v>678.69</v>
      </c>
      <c r="J71" s="168">
        <v>13.68</v>
      </c>
      <c r="K71" s="170">
        <f>_xlfn.XLOOKUP(A71,'[2]Rate Calculation'!$T:$T,'[2]Rate Calculation'!$BF:$BF)</f>
        <v>1.1715</v>
      </c>
    </row>
    <row r="72" spans="1:11" x14ac:dyDescent="0.25">
      <c r="A72">
        <v>1194309336</v>
      </c>
      <c r="B72" s="49">
        <v>0.66845637583892614</v>
      </c>
      <c r="C72" s="81">
        <v>31005</v>
      </c>
      <c r="D72" s="81">
        <v>31005</v>
      </c>
      <c r="E72" s="37">
        <v>28214</v>
      </c>
      <c r="F72" s="37">
        <v>90</v>
      </c>
      <c r="G72" s="77">
        <v>2.8900000000001</v>
      </c>
      <c r="H72" s="81">
        <v>38758</v>
      </c>
      <c r="I72" s="77">
        <v>430.64444444444445</v>
      </c>
      <c r="J72" s="168">
        <v>13.68</v>
      </c>
      <c r="K72" s="170">
        <f>_xlfn.XLOOKUP(A72,'[2]Rate Calculation'!$T:$T,'[2]Rate Calculation'!$BF:$BF)</f>
        <v>1.1666000000000001</v>
      </c>
    </row>
    <row r="73" spans="1:11" x14ac:dyDescent="0.25">
      <c r="A73">
        <v>1194381681</v>
      </c>
      <c r="B73" s="49">
        <v>0.62090483619344772</v>
      </c>
      <c r="C73" s="81">
        <v>26234</v>
      </c>
      <c r="D73" s="81">
        <v>26234</v>
      </c>
      <c r="E73" s="37">
        <v>27909</v>
      </c>
      <c r="F73" s="37">
        <v>108</v>
      </c>
      <c r="G73" s="77">
        <v>17.940000000000055</v>
      </c>
      <c r="H73" s="81">
        <v>33425</v>
      </c>
      <c r="I73" s="77">
        <v>309.49074074074076</v>
      </c>
      <c r="J73" s="168">
        <v>13.68</v>
      </c>
      <c r="K73" s="170">
        <f>_xlfn.XLOOKUP(A73,'[2]Rate Calculation'!$T:$T,'[2]Rate Calculation'!$BF:$BF)</f>
        <v>1.1845000000000001</v>
      </c>
    </row>
    <row r="74" spans="1:11" x14ac:dyDescent="0.25">
      <c r="A74">
        <v>1194722629</v>
      </c>
      <c r="B74" s="49">
        <v>0.70953714622641506</v>
      </c>
      <c r="C74" s="81">
        <v>40190</v>
      </c>
      <c r="D74" s="81">
        <v>40190</v>
      </c>
      <c r="E74" s="37">
        <v>28806</v>
      </c>
      <c r="F74" s="37">
        <v>120</v>
      </c>
      <c r="G74" s="77">
        <v>3.5399999999999636</v>
      </c>
      <c r="H74" s="81">
        <v>72307.628347090795</v>
      </c>
      <c r="I74" s="77">
        <v>602.56356955908996</v>
      </c>
      <c r="J74" s="168">
        <v>13.68</v>
      </c>
      <c r="K74" s="170">
        <f>_xlfn.XLOOKUP(A74,'[2]Rate Calculation'!$T:$T,'[2]Rate Calculation'!$BF:$BF)</f>
        <v>1.2655000000000001</v>
      </c>
    </row>
    <row r="75" spans="1:11" x14ac:dyDescent="0.25">
      <c r="A75">
        <v>1194779504</v>
      </c>
      <c r="B75" s="49">
        <v>0.61640104902158566</v>
      </c>
      <c r="C75" s="81">
        <v>25638</v>
      </c>
      <c r="D75" s="81">
        <v>25638</v>
      </c>
      <c r="E75" s="37">
        <v>28372</v>
      </c>
      <c r="F75" s="37">
        <v>84</v>
      </c>
      <c r="G75" s="77">
        <v>26.829999999999927</v>
      </c>
      <c r="H75" s="81">
        <v>32361</v>
      </c>
      <c r="I75" s="77">
        <v>385.25</v>
      </c>
      <c r="J75" s="168">
        <v>13.68</v>
      </c>
      <c r="K75" s="170">
        <f>_xlfn.XLOOKUP(A75,'[2]Rate Calculation'!$T:$T,'[2]Rate Calculation'!$BF:$BF)</f>
        <v>1.2385999999999999</v>
      </c>
    </row>
    <row r="76" spans="1:11" x14ac:dyDescent="0.25">
      <c r="A76">
        <v>1194825448</v>
      </c>
      <c r="B76" s="49">
        <v>0.61027927321668907</v>
      </c>
      <c r="C76" s="81">
        <v>32573</v>
      </c>
      <c r="D76" s="81">
        <v>32573</v>
      </c>
      <c r="E76" s="37">
        <v>28150</v>
      </c>
      <c r="F76" s="37">
        <v>100</v>
      </c>
      <c r="G76" s="77">
        <v>33.5</v>
      </c>
      <c r="H76" s="81">
        <v>28983.999999999996</v>
      </c>
      <c r="I76" s="77">
        <v>289.83999999999997</v>
      </c>
      <c r="J76" s="168">
        <v>13.68</v>
      </c>
      <c r="K76" s="170">
        <f>_xlfn.XLOOKUP(A76,'[2]Rate Calculation'!$T:$T,'[2]Rate Calculation'!$BF:$BF)</f>
        <v>1.3620000000000001</v>
      </c>
    </row>
    <row r="77" spans="1:11" x14ac:dyDescent="0.25">
      <c r="A77">
        <v>1205252640</v>
      </c>
      <c r="B77" s="49">
        <v>0.66885182685818956</v>
      </c>
      <c r="C77" s="81">
        <v>39189</v>
      </c>
      <c r="D77" s="81">
        <v>39189</v>
      </c>
      <c r="E77" s="37">
        <v>27804</v>
      </c>
      <c r="F77" s="37">
        <v>117</v>
      </c>
      <c r="G77" s="77">
        <v>27.589999999999918</v>
      </c>
      <c r="H77" s="81">
        <v>42361</v>
      </c>
      <c r="I77" s="77">
        <v>362.05982905982904</v>
      </c>
      <c r="J77" s="168">
        <v>13.68</v>
      </c>
      <c r="K77" s="170">
        <f>_xlfn.XLOOKUP(A77,'[2]Rate Calculation'!$T:$T,'[2]Rate Calculation'!$BF:$BF)</f>
        <v>1.2234</v>
      </c>
    </row>
    <row r="78" spans="1:11" x14ac:dyDescent="0.25">
      <c r="A78">
        <v>1205357878</v>
      </c>
      <c r="B78" s="49">
        <v>0.52140582615874509</v>
      </c>
      <c r="C78" s="81">
        <v>13002</v>
      </c>
      <c r="D78" s="81">
        <v>13002</v>
      </c>
      <c r="E78" s="37">
        <v>27106</v>
      </c>
      <c r="F78" s="37">
        <v>40</v>
      </c>
      <c r="G78" s="77">
        <v>1</v>
      </c>
      <c r="H78" s="81">
        <v>15097.5</v>
      </c>
      <c r="I78" s="77">
        <v>377.4375</v>
      </c>
      <c r="J78" s="168">
        <v>13.68</v>
      </c>
      <c r="K78" s="170">
        <f>_xlfn.XLOOKUP(A78,'[2]Rate Calculation'!$T:$T,'[2]Rate Calculation'!$BF:$BF)</f>
        <v>1.3008999999999999</v>
      </c>
    </row>
    <row r="79" spans="1:11" x14ac:dyDescent="0.25">
      <c r="A79">
        <v>1215400668</v>
      </c>
      <c r="B79" s="49">
        <v>0.6376525484565686</v>
      </c>
      <c r="C79" s="81">
        <v>28181</v>
      </c>
      <c r="D79" s="81">
        <v>28181</v>
      </c>
      <c r="E79" s="37">
        <v>27407</v>
      </c>
      <c r="F79" s="37">
        <v>126</v>
      </c>
      <c r="G79" s="77">
        <v>22.599999999999909</v>
      </c>
      <c r="H79" s="81">
        <v>44783</v>
      </c>
      <c r="I79" s="77">
        <v>355.42063492063494</v>
      </c>
      <c r="J79" s="168">
        <v>13.68</v>
      </c>
      <c r="K79" s="170">
        <f>_xlfn.XLOOKUP(A79,'[2]Rate Calculation'!$T:$T,'[2]Rate Calculation'!$BF:$BF)</f>
        <v>1.1039000000000001</v>
      </c>
    </row>
    <row r="80" spans="1:11" x14ac:dyDescent="0.25">
      <c r="A80">
        <v>1215931977</v>
      </c>
      <c r="B80" s="49">
        <v>0.66643098436640746</v>
      </c>
      <c r="C80" s="81">
        <v>26357</v>
      </c>
      <c r="D80" s="81">
        <v>26357</v>
      </c>
      <c r="E80" s="37">
        <v>28002</v>
      </c>
      <c r="F80" s="37">
        <v>76</v>
      </c>
      <c r="G80" s="77">
        <v>1.6099999999999</v>
      </c>
      <c r="H80" s="81">
        <v>42196</v>
      </c>
      <c r="I80" s="77">
        <v>555.21052631578948</v>
      </c>
      <c r="J80" s="168">
        <v>13.68</v>
      </c>
      <c r="K80" s="170">
        <f>_xlfn.XLOOKUP(A80,'[2]Rate Calculation'!$T:$T,'[2]Rate Calculation'!$BF:$BF)</f>
        <v>1.1970000000000001</v>
      </c>
    </row>
    <row r="81" spans="1:11" x14ac:dyDescent="0.25">
      <c r="A81">
        <v>1215979059</v>
      </c>
      <c r="B81" s="49">
        <v>0.62341615928912297</v>
      </c>
      <c r="C81" s="81">
        <v>23509</v>
      </c>
      <c r="D81" s="81">
        <v>23509</v>
      </c>
      <c r="E81" s="37">
        <v>28212</v>
      </c>
      <c r="F81" s="37">
        <v>70</v>
      </c>
      <c r="G81" s="77">
        <v>12.869999999999891</v>
      </c>
      <c r="H81" s="81">
        <v>36914</v>
      </c>
      <c r="I81" s="77">
        <v>527.34285714285716</v>
      </c>
      <c r="J81" s="168">
        <v>13.68</v>
      </c>
      <c r="K81" s="170">
        <f>_xlfn.XLOOKUP(A81,'[2]Rate Calculation'!$T:$T,'[2]Rate Calculation'!$BF:$BF)</f>
        <v>1.0774999999999999</v>
      </c>
    </row>
    <row r="82" spans="1:11" x14ac:dyDescent="0.25">
      <c r="A82">
        <v>1215982525</v>
      </c>
      <c r="B82" s="49">
        <v>0.68716051326458316</v>
      </c>
      <c r="C82" s="81">
        <v>46143</v>
      </c>
      <c r="D82" s="81">
        <v>46143</v>
      </c>
      <c r="E82" s="37">
        <v>27312</v>
      </c>
      <c r="F82" s="37">
        <v>140</v>
      </c>
      <c r="G82" s="77">
        <v>10.400000000000091</v>
      </c>
      <c r="H82" s="81">
        <v>0</v>
      </c>
      <c r="I82" s="77">
        <v>0</v>
      </c>
      <c r="J82" s="168">
        <v>13.68</v>
      </c>
      <c r="K82" s="170">
        <f>_xlfn.XLOOKUP(A82,'[2]Rate Calculation'!$T:$T,'[2]Rate Calculation'!$BF:$BF)</f>
        <v>1.1776</v>
      </c>
    </row>
    <row r="83" spans="1:11" x14ac:dyDescent="0.25">
      <c r="A83">
        <v>1225000888</v>
      </c>
      <c r="B83" s="49">
        <v>0.65656634282220261</v>
      </c>
      <c r="C83" s="81">
        <v>39456</v>
      </c>
      <c r="D83" s="81">
        <v>39456</v>
      </c>
      <c r="E83" s="37">
        <v>27313</v>
      </c>
      <c r="F83" s="37">
        <v>118</v>
      </c>
      <c r="G83" s="77">
        <v>10.369999999999891</v>
      </c>
      <c r="H83" s="81">
        <v>58851</v>
      </c>
      <c r="I83" s="77">
        <v>498.73728813559325</v>
      </c>
      <c r="J83" s="168">
        <v>13.68</v>
      </c>
      <c r="K83" s="170">
        <f>_xlfn.XLOOKUP(A83,'[2]Rate Calculation'!$T:$T,'[2]Rate Calculation'!$BF:$BF)</f>
        <v>1.0461</v>
      </c>
    </row>
    <row r="84" spans="1:11" x14ac:dyDescent="0.25">
      <c r="A84">
        <v>1225064777</v>
      </c>
      <c r="B84" s="49">
        <v>0.6193058568329719</v>
      </c>
      <c r="C84" s="81">
        <v>49771</v>
      </c>
      <c r="D84" s="81">
        <v>49771</v>
      </c>
      <c r="E84" s="37">
        <v>27577</v>
      </c>
      <c r="F84" s="37">
        <v>165</v>
      </c>
      <c r="G84" s="77">
        <v>33.5</v>
      </c>
      <c r="H84" s="81">
        <v>65990</v>
      </c>
      <c r="I84" s="77">
        <v>399.93939393939394</v>
      </c>
      <c r="J84" s="168">
        <v>7.18</v>
      </c>
      <c r="K84" s="170">
        <f>_xlfn.XLOOKUP(A84,'[2]Rate Calculation'!$T:$T,'[2]Rate Calculation'!$BF:$BF)</f>
        <v>1.1815</v>
      </c>
    </row>
    <row r="85" spans="1:11" x14ac:dyDescent="0.25">
      <c r="A85">
        <v>1225279755</v>
      </c>
      <c r="B85" s="49">
        <v>0.6630390143737166</v>
      </c>
      <c r="C85" s="81">
        <v>38607</v>
      </c>
      <c r="D85" s="81">
        <v>38607</v>
      </c>
      <c r="E85" s="37">
        <v>27834</v>
      </c>
      <c r="F85" s="37">
        <v>120</v>
      </c>
      <c r="G85" s="77">
        <v>24.710000000000036</v>
      </c>
      <c r="H85" s="81">
        <v>39904</v>
      </c>
      <c r="I85" s="77">
        <v>332.53333333333336</v>
      </c>
      <c r="J85" s="168">
        <v>13.68</v>
      </c>
      <c r="K85" s="170">
        <f>_xlfn.XLOOKUP(A85,'[2]Rate Calculation'!$T:$T,'[2]Rate Calculation'!$BF:$BF)</f>
        <v>1.2763</v>
      </c>
    </row>
    <row r="86" spans="1:11" x14ac:dyDescent="0.25">
      <c r="A86">
        <v>1225524747</v>
      </c>
      <c r="B86" s="49">
        <v>0.59174780418056783</v>
      </c>
      <c r="C86" s="81">
        <v>32087</v>
      </c>
      <c r="D86" s="81">
        <v>32087</v>
      </c>
      <c r="E86" s="37">
        <v>28801</v>
      </c>
      <c r="F86" s="37">
        <v>120</v>
      </c>
      <c r="G86" s="77">
        <v>9.6500000000000909</v>
      </c>
      <c r="H86" s="81">
        <v>48818</v>
      </c>
      <c r="I86" s="77">
        <v>406.81666666666666</v>
      </c>
      <c r="J86" s="168">
        <v>13.68</v>
      </c>
      <c r="K86" s="170">
        <f>_xlfn.XLOOKUP(A86,'[2]Rate Calculation'!$T:$T,'[2]Rate Calculation'!$BF:$BF)</f>
        <v>1.1716</v>
      </c>
    </row>
    <row r="87" spans="1:11" x14ac:dyDescent="0.25">
      <c r="A87">
        <v>1225588536</v>
      </c>
      <c r="B87" s="49">
        <v>0.5773261352810416</v>
      </c>
      <c r="C87" s="81">
        <v>38476</v>
      </c>
      <c r="D87" s="81">
        <v>38476</v>
      </c>
      <c r="E87" s="37">
        <v>27030</v>
      </c>
      <c r="F87" s="37">
        <v>120</v>
      </c>
      <c r="G87" s="77">
        <v>9.5599999999999454</v>
      </c>
      <c r="H87" s="81">
        <v>40020</v>
      </c>
      <c r="I87" s="77">
        <v>333.5</v>
      </c>
      <c r="J87" s="168">
        <v>13.68</v>
      </c>
      <c r="K87" s="170">
        <f>_xlfn.XLOOKUP(A87,'[2]Rate Calculation'!$T:$T,'[2]Rate Calculation'!$BF:$BF)</f>
        <v>1.2423999999999999</v>
      </c>
    </row>
    <row r="88" spans="1:11" x14ac:dyDescent="0.25">
      <c r="A88">
        <v>1225654098</v>
      </c>
      <c r="B88" s="49">
        <v>0.58925310006728826</v>
      </c>
      <c r="C88" s="81">
        <v>650</v>
      </c>
      <c r="D88" s="81">
        <v>650</v>
      </c>
      <c r="E88" s="37">
        <v>28304</v>
      </c>
      <c r="F88" s="37">
        <v>120</v>
      </c>
      <c r="G88" s="77">
        <v>26.569999999999936</v>
      </c>
      <c r="H88" s="81">
        <v>41762</v>
      </c>
      <c r="I88" s="77">
        <v>348.01666666666665</v>
      </c>
      <c r="J88" s="168">
        <v>13.68</v>
      </c>
      <c r="K88" s="170">
        <f>_xlfn.XLOOKUP(A88,'[2]Rate Calculation'!$T:$T,'[2]Rate Calculation'!$BF:$BF)</f>
        <v>1.1688924274286907</v>
      </c>
    </row>
    <row r="89" spans="1:11" x14ac:dyDescent="0.25">
      <c r="A89">
        <v>1225688757</v>
      </c>
      <c r="B89" s="49">
        <v>0.59189086775293676</v>
      </c>
      <c r="C89" s="81">
        <v>35061</v>
      </c>
      <c r="D89" s="81">
        <v>35061</v>
      </c>
      <c r="E89" s="37">
        <v>27320</v>
      </c>
      <c r="F89" s="37">
        <v>110</v>
      </c>
      <c r="G89" s="77">
        <v>33.5</v>
      </c>
      <c r="H89" s="81">
        <v>28570.000000000004</v>
      </c>
      <c r="I89" s="77">
        <v>259.72727272727275</v>
      </c>
      <c r="J89" s="168">
        <v>13.68</v>
      </c>
      <c r="K89" s="170">
        <f>_xlfn.XLOOKUP(A89,'[2]Rate Calculation'!$T:$T,'[2]Rate Calculation'!$BF:$BF)</f>
        <v>1.2009000000000001</v>
      </c>
    </row>
    <row r="90" spans="1:11" x14ac:dyDescent="0.25">
      <c r="A90">
        <v>1235175175</v>
      </c>
      <c r="B90" s="49">
        <v>0.60118900173396084</v>
      </c>
      <c r="C90" s="81">
        <v>54997</v>
      </c>
      <c r="D90" s="81">
        <v>54997</v>
      </c>
      <c r="E90" s="37">
        <v>28002</v>
      </c>
      <c r="F90" s="37">
        <v>180</v>
      </c>
      <c r="G90" s="77">
        <v>33.5</v>
      </c>
      <c r="H90" s="81">
        <v>56370.925315227934</v>
      </c>
      <c r="I90" s="77">
        <v>313.17180730682185</v>
      </c>
      <c r="J90" s="168">
        <v>7.18</v>
      </c>
      <c r="K90" s="170">
        <f>_xlfn.XLOOKUP(A90,'[2]Rate Calculation'!$T:$T,'[2]Rate Calculation'!$BF:$BF)</f>
        <v>1.1359999999999999</v>
      </c>
    </row>
    <row r="91" spans="1:11" x14ac:dyDescent="0.25">
      <c r="A91">
        <v>1235236878</v>
      </c>
      <c r="B91" s="49">
        <v>0.65118780815777677</v>
      </c>
      <c r="C91" s="81">
        <v>11066</v>
      </c>
      <c r="D91" s="81">
        <v>11066</v>
      </c>
      <c r="E91" s="37">
        <v>28144</v>
      </c>
      <c r="F91" s="37">
        <v>58</v>
      </c>
      <c r="G91" s="77">
        <v>33.5</v>
      </c>
      <c r="H91" s="81">
        <v>23500</v>
      </c>
      <c r="I91" s="77">
        <v>405.17241379310343</v>
      </c>
      <c r="J91" s="168">
        <v>13.68</v>
      </c>
      <c r="K91" s="170">
        <f>_xlfn.XLOOKUP(A91,'[2]Rate Calculation'!$T:$T,'[2]Rate Calculation'!$BF:$BF)</f>
        <v>1.2318</v>
      </c>
    </row>
    <row r="92" spans="1:11" x14ac:dyDescent="0.25">
      <c r="A92">
        <v>1235239567</v>
      </c>
      <c r="B92" s="49">
        <v>0.62229514012061016</v>
      </c>
      <c r="C92" s="81">
        <v>34819</v>
      </c>
      <c r="D92" s="81">
        <v>34819</v>
      </c>
      <c r="E92" s="37">
        <v>28054</v>
      </c>
      <c r="F92" s="37">
        <v>120</v>
      </c>
      <c r="G92" s="77">
        <v>33.5</v>
      </c>
      <c r="H92" s="81">
        <v>37273.846153846156</v>
      </c>
      <c r="I92" s="77">
        <v>310.61538461538464</v>
      </c>
      <c r="J92" s="168">
        <v>13.68</v>
      </c>
      <c r="K92" s="170">
        <f>_xlfn.XLOOKUP(A92,'[2]Rate Calculation'!$T:$T,'[2]Rate Calculation'!$BF:$BF)</f>
        <v>1.3320000000000001</v>
      </c>
    </row>
    <row r="93" spans="1:11" x14ac:dyDescent="0.25">
      <c r="A93">
        <v>1235264219</v>
      </c>
      <c r="B93" s="49">
        <v>0.7289267111730614</v>
      </c>
      <c r="C93" s="81">
        <v>46255</v>
      </c>
      <c r="D93" s="81">
        <v>46255</v>
      </c>
      <c r="E93" s="37">
        <v>27217</v>
      </c>
      <c r="F93" s="37">
        <v>160</v>
      </c>
      <c r="G93" s="77">
        <v>18.910000000000082</v>
      </c>
      <c r="H93" s="81">
        <v>46970</v>
      </c>
      <c r="I93" s="77">
        <v>293.5625</v>
      </c>
      <c r="J93" s="168">
        <v>0</v>
      </c>
      <c r="K93" s="170">
        <f>_xlfn.XLOOKUP(A93,'[2]Rate Calculation'!$T:$T,'[2]Rate Calculation'!$BF:$BF)</f>
        <v>1.1259999999999999</v>
      </c>
    </row>
    <row r="94" spans="1:11" x14ac:dyDescent="0.25">
      <c r="A94">
        <v>1235370750</v>
      </c>
      <c r="B94" s="49">
        <v>0.59574074074074079</v>
      </c>
      <c r="C94" s="81">
        <v>42264</v>
      </c>
      <c r="D94" s="81">
        <v>42264</v>
      </c>
      <c r="E94" s="37">
        <v>27546</v>
      </c>
      <c r="F94" s="37">
        <v>129</v>
      </c>
      <c r="G94" s="77">
        <v>5.1900000000000546</v>
      </c>
      <c r="H94" s="81">
        <v>57019.258442928171</v>
      </c>
      <c r="I94" s="77">
        <v>442.00975537153619</v>
      </c>
      <c r="J94" s="168">
        <v>13.68</v>
      </c>
      <c r="K94" s="170">
        <f>_xlfn.XLOOKUP(A94,'[2]Rate Calculation'!$T:$T,'[2]Rate Calculation'!$BF:$BF)</f>
        <v>1.35</v>
      </c>
    </row>
    <row r="95" spans="1:11" x14ac:dyDescent="0.25">
      <c r="A95">
        <v>1235591918</v>
      </c>
      <c r="B95" s="49">
        <v>0.6873780997492337</v>
      </c>
      <c r="C95" s="81">
        <v>35867</v>
      </c>
      <c r="D95" s="81">
        <v>35867</v>
      </c>
      <c r="E95" s="37">
        <v>28716</v>
      </c>
      <c r="F95" s="37">
        <v>114</v>
      </c>
      <c r="G95" s="77">
        <v>10.579999999999927</v>
      </c>
      <c r="H95" s="81">
        <v>43995</v>
      </c>
      <c r="I95" s="77">
        <v>385.92105263157896</v>
      </c>
      <c r="J95" s="168">
        <v>13.68</v>
      </c>
      <c r="K95" s="170">
        <f>_xlfn.XLOOKUP(A95,'[2]Rate Calculation'!$T:$T,'[2]Rate Calculation'!$BF:$BF)</f>
        <v>1.3071999999999999</v>
      </c>
    </row>
    <row r="96" spans="1:11" x14ac:dyDescent="0.25">
      <c r="A96">
        <v>1245227578</v>
      </c>
      <c r="B96" s="49">
        <v>0.67747571458522604</v>
      </c>
      <c r="C96" s="81">
        <v>56871</v>
      </c>
      <c r="D96" s="81">
        <v>56871</v>
      </c>
      <c r="E96" s="37">
        <v>28658</v>
      </c>
      <c r="F96" s="37">
        <v>174</v>
      </c>
      <c r="G96" s="77">
        <v>3.6099999999999</v>
      </c>
      <c r="H96" s="81">
        <v>149627.36150378239</v>
      </c>
      <c r="I96" s="77">
        <v>859.92736496426664</v>
      </c>
      <c r="J96" s="168">
        <v>0</v>
      </c>
      <c r="K96" s="170">
        <f>_xlfn.XLOOKUP(A96,'[2]Rate Calculation'!$T:$T,'[2]Rate Calculation'!$BF:$BF)</f>
        <v>1.0627</v>
      </c>
    </row>
    <row r="97" spans="1:11" x14ac:dyDescent="0.25">
      <c r="A97">
        <v>1245285253</v>
      </c>
      <c r="B97" s="49">
        <v>0.55005021760964179</v>
      </c>
      <c r="C97" s="81">
        <v>35479</v>
      </c>
      <c r="D97" s="81">
        <v>35479</v>
      </c>
      <c r="E97" s="37">
        <v>28560</v>
      </c>
      <c r="F97" s="37">
        <v>110</v>
      </c>
      <c r="G97" s="77">
        <v>4.3199999999999363</v>
      </c>
      <c r="H97" s="81">
        <v>22000</v>
      </c>
      <c r="I97" s="77">
        <v>200</v>
      </c>
      <c r="J97" s="168">
        <v>13.68</v>
      </c>
      <c r="K97" s="170">
        <f>_xlfn.XLOOKUP(A97,'[2]Rate Calculation'!$T:$T,'[2]Rate Calculation'!$BF:$BF)</f>
        <v>1.0933999999999999</v>
      </c>
    </row>
    <row r="98" spans="1:11" x14ac:dyDescent="0.25">
      <c r="A98">
        <v>1245287762</v>
      </c>
      <c r="B98" s="49">
        <v>0.59147129407421073</v>
      </c>
      <c r="C98" s="81">
        <v>34670</v>
      </c>
      <c r="D98" s="81">
        <v>34670</v>
      </c>
      <c r="E98" s="37">
        <v>28621</v>
      </c>
      <c r="F98" s="37">
        <v>100</v>
      </c>
      <c r="G98" s="77">
        <v>4.4900000000000091</v>
      </c>
      <c r="H98" s="81">
        <v>24652</v>
      </c>
      <c r="I98" s="77">
        <v>246.52</v>
      </c>
      <c r="J98" s="168">
        <v>13.68</v>
      </c>
      <c r="K98" s="170">
        <f>_xlfn.XLOOKUP(A98,'[2]Rate Calculation'!$T:$T,'[2]Rate Calculation'!$BF:$BF)</f>
        <v>1.2519</v>
      </c>
    </row>
    <row r="99" spans="1:11" x14ac:dyDescent="0.25">
      <c r="A99">
        <v>1245337880</v>
      </c>
      <c r="B99" s="49">
        <v>0.65930463290483998</v>
      </c>
      <c r="C99" s="81">
        <v>19219</v>
      </c>
      <c r="D99" s="81">
        <v>19219</v>
      </c>
      <c r="E99" s="37">
        <v>28054</v>
      </c>
      <c r="F99" s="37">
        <v>60</v>
      </c>
      <c r="G99" s="77">
        <v>24.650000000000091</v>
      </c>
      <c r="H99" s="81">
        <v>17703.794984040127</v>
      </c>
      <c r="I99" s="77">
        <v>295.06324973400211</v>
      </c>
      <c r="J99" s="168">
        <v>13.68</v>
      </c>
      <c r="K99" s="170">
        <f>_xlfn.XLOOKUP(A99,'[2]Rate Calculation'!$T:$T,'[2]Rate Calculation'!$BF:$BF)</f>
        <v>1.3142</v>
      </c>
    </row>
    <row r="100" spans="1:11" x14ac:dyDescent="0.25">
      <c r="A100">
        <v>1245350289</v>
      </c>
      <c r="B100" s="49">
        <v>0.61114363778298209</v>
      </c>
      <c r="C100" s="81">
        <v>38158</v>
      </c>
      <c r="D100" s="81">
        <v>38158</v>
      </c>
      <c r="E100" s="37">
        <v>27288</v>
      </c>
      <c r="F100" s="37">
        <v>112</v>
      </c>
      <c r="G100" s="77">
        <v>17.869999999999891</v>
      </c>
      <c r="H100" s="81">
        <v>34900</v>
      </c>
      <c r="I100" s="77">
        <v>311.60714285714283</v>
      </c>
      <c r="J100" s="168">
        <v>13.68</v>
      </c>
      <c r="K100" s="170">
        <f>_xlfn.XLOOKUP(A100,'[2]Rate Calculation'!$T:$T,'[2]Rate Calculation'!$BF:$BF)</f>
        <v>1.1943999999999999</v>
      </c>
    </row>
    <row r="101" spans="1:11" x14ac:dyDescent="0.25">
      <c r="A101">
        <v>1245737840</v>
      </c>
      <c r="B101" s="49">
        <v>0.62003520318359218</v>
      </c>
      <c r="C101" s="81">
        <v>32710</v>
      </c>
      <c r="D101" s="81">
        <v>32710</v>
      </c>
      <c r="E101" s="37">
        <v>28401</v>
      </c>
      <c r="F101" s="37">
        <v>120</v>
      </c>
      <c r="G101" s="77">
        <v>1</v>
      </c>
      <c r="H101" s="81">
        <v>51465</v>
      </c>
      <c r="I101" s="77">
        <v>428.875</v>
      </c>
      <c r="J101" s="168">
        <v>13.68</v>
      </c>
      <c r="K101" s="170">
        <f>_xlfn.XLOOKUP(A101,'[2]Rate Calculation'!$T:$T,'[2]Rate Calculation'!$BF:$BF)</f>
        <v>1.2303999999999999</v>
      </c>
    </row>
    <row r="102" spans="1:11" x14ac:dyDescent="0.25">
      <c r="A102">
        <v>1255367447</v>
      </c>
      <c r="B102" s="49">
        <v>0.61557086980815789</v>
      </c>
      <c r="C102" s="81">
        <v>53955</v>
      </c>
      <c r="D102" s="81">
        <v>53955</v>
      </c>
      <c r="E102" s="37">
        <v>27025</v>
      </c>
      <c r="F102" s="37">
        <v>170</v>
      </c>
      <c r="G102" s="77">
        <v>28.069999999999936</v>
      </c>
      <c r="H102" s="81">
        <v>65935</v>
      </c>
      <c r="I102" s="77">
        <v>387.85294117647061</v>
      </c>
      <c r="J102" s="168">
        <v>7.18</v>
      </c>
      <c r="K102" s="170">
        <f>_xlfn.XLOOKUP(A102,'[2]Rate Calculation'!$T:$T,'[2]Rate Calculation'!$BF:$BF)</f>
        <v>1.2283999999999999</v>
      </c>
    </row>
    <row r="103" spans="1:11" x14ac:dyDescent="0.25">
      <c r="A103">
        <v>1255379293</v>
      </c>
      <c r="B103" s="49">
        <v>0.66233891132910172</v>
      </c>
      <c r="C103" s="81">
        <v>30684</v>
      </c>
      <c r="D103" s="81">
        <v>30684</v>
      </c>
      <c r="E103" s="37">
        <v>28704</v>
      </c>
      <c r="F103" s="37">
        <v>100</v>
      </c>
      <c r="G103" s="77">
        <v>22.829999999999927</v>
      </c>
      <c r="H103" s="81">
        <v>38658</v>
      </c>
      <c r="I103" s="77">
        <v>386.58</v>
      </c>
      <c r="J103" s="168">
        <v>13.68</v>
      </c>
      <c r="K103" s="170">
        <f>_xlfn.XLOOKUP(A103,'[2]Rate Calculation'!$T:$T,'[2]Rate Calculation'!$BF:$BF)</f>
        <v>1.1395</v>
      </c>
    </row>
    <row r="104" spans="1:11" x14ac:dyDescent="0.25">
      <c r="A104">
        <v>1255385720</v>
      </c>
      <c r="B104" s="49">
        <v>0.65681796998788333</v>
      </c>
      <c r="C104" s="81">
        <v>34395</v>
      </c>
      <c r="D104" s="81">
        <v>34395</v>
      </c>
      <c r="E104" s="37">
        <v>27610</v>
      </c>
      <c r="F104" s="37">
        <v>125</v>
      </c>
      <c r="G104" s="77">
        <v>17.369999999999891</v>
      </c>
      <c r="H104" s="81">
        <v>34321</v>
      </c>
      <c r="I104" s="77">
        <v>274.56799999999998</v>
      </c>
      <c r="J104" s="168">
        <v>13.68</v>
      </c>
      <c r="K104" s="170">
        <f>_xlfn.XLOOKUP(A104,'[2]Rate Calculation'!$T:$T,'[2]Rate Calculation'!$BF:$BF)</f>
        <v>1.1034999999999999</v>
      </c>
    </row>
    <row r="105" spans="1:11" x14ac:dyDescent="0.25">
      <c r="A105">
        <v>1255682522</v>
      </c>
      <c r="B105" s="49">
        <v>0.65</v>
      </c>
      <c r="C105" s="81">
        <v>27699</v>
      </c>
      <c r="D105" s="81">
        <v>27699</v>
      </c>
      <c r="E105" s="37">
        <v>28412</v>
      </c>
      <c r="F105" s="37">
        <v>80</v>
      </c>
      <c r="G105" s="77">
        <v>6.8699999999998909</v>
      </c>
      <c r="H105" s="81">
        <v>43500</v>
      </c>
      <c r="I105" s="77">
        <v>543.75</v>
      </c>
      <c r="J105" s="168">
        <v>13.68</v>
      </c>
      <c r="K105" s="170">
        <f>_xlfn.XLOOKUP(A105,'[2]Rate Calculation'!$T:$T,'[2]Rate Calculation'!$BF:$BF)</f>
        <v>1.1566000000000001</v>
      </c>
    </row>
    <row r="106" spans="1:11" x14ac:dyDescent="0.25">
      <c r="A106">
        <v>1255878245</v>
      </c>
      <c r="B106" s="49">
        <v>0.6420051453964295</v>
      </c>
      <c r="C106" s="81">
        <v>34000</v>
      </c>
      <c r="D106" s="81">
        <v>34000</v>
      </c>
      <c r="E106" s="37">
        <v>27209</v>
      </c>
      <c r="F106" s="37">
        <v>141</v>
      </c>
      <c r="G106" s="77">
        <v>27.789999999999964</v>
      </c>
      <c r="H106" s="81">
        <v>50014.306784660766</v>
      </c>
      <c r="I106" s="77">
        <v>354.71139563589196</v>
      </c>
      <c r="J106" s="168">
        <v>13.68</v>
      </c>
      <c r="K106" s="170">
        <f>_xlfn.XLOOKUP(A106,'[2]Rate Calculation'!$T:$T,'[2]Rate Calculation'!$BF:$BF)</f>
        <v>1.1605000000000001</v>
      </c>
    </row>
    <row r="107" spans="1:11" x14ac:dyDescent="0.25">
      <c r="A107">
        <v>1265441208</v>
      </c>
      <c r="B107" s="49">
        <v>0.60935164756956806</v>
      </c>
      <c r="C107" s="81">
        <v>24025</v>
      </c>
      <c r="D107" s="81">
        <v>24025</v>
      </c>
      <c r="E107" s="37">
        <v>27565</v>
      </c>
      <c r="F107" s="37">
        <v>80</v>
      </c>
      <c r="G107" s="77">
        <v>22.809999999999945</v>
      </c>
      <c r="H107" s="81">
        <v>24991</v>
      </c>
      <c r="I107" s="77">
        <v>312.38749999999999</v>
      </c>
      <c r="J107" s="168">
        <v>13.68</v>
      </c>
      <c r="K107" s="170">
        <f>_xlfn.XLOOKUP(A107,'[2]Rate Calculation'!$T:$T,'[2]Rate Calculation'!$BF:$BF)</f>
        <v>1.07</v>
      </c>
    </row>
    <row r="108" spans="1:11" x14ac:dyDescent="0.25">
      <c r="A108">
        <v>1265556294</v>
      </c>
      <c r="B108" s="49">
        <v>0.63341250989707054</v>
      </c>
      <c r="C108" s="81">
        <v>26781</v>
      </c>
      <c r="D108" s="81">
        <v>26781</v>
      </c>
      <c r="E108" s="37">
        <v>28753</v>
      </c>
      <c r="F108" s="37">
        <v>80</v>
      </c>
      <c r="G108" s="77">
        <v>28.920000000000073</v>
      </c>
      <c r="H108" s="81">
        <v>32019.040680024285</v>
      </c>
      <c r="I108" s="77">
        <v>400.23800850030358</v>
      </c>
      <c r="J108" s="168">
        <v>13.68</v>
      </c>
      <c r="K108" s="170">
        <f>_xlfn.XLOOKUP(A108,'[2]Rate Calculation'!$T:$T,'[2]Rate Calculation'!$BF:$BF)</f>
        <v>1.4494</v>
      </c>
    </row>
    <row r="109" spans="1:11" x14ac:dyDescent="0.25">
      <c r="A109">
        <v>1265816185</v>
      </c>
      <c r="B109" s="49">
        <v>0.66328439838802533</v>
      </c>
      <c r="C109" s="81">
        <v>32296</v>
      </c>
      <c r="D109" s="81">
        <v>32296</v>
      </c>
      <c r="E109" s="37">
        <v>27959</v>
      </c>
      <c r="F109" s="37">
        <v>126</v>
      </c>
      <c r="G109" s="77">
        <v>22.680000000000064</v>
      </c>
      <c r="H109" s="81">
        <v>42254</v>
      </c>
      <c r="I109" s="77">
        <v>335.34920634920633</v>
      </c>
      <c r="J109" s="168">
        <v>13.68</v>
      </c>
      <c r="K109" s="170">
        <f>_xlfn.XLOOKUP(A109,'[2]Rate Calculation'!$T:$T,'[2]Rate Calculation'!$BF:$BF)</f>
        <v>1.3290999999999999</v>
      </c>
    </row>
    <row r="110" spans="1:11" x14ac:dyDescent="0.25">
      <c r="A110">
        <v>1275508970</v>
      </c>
      <c r="B110" s="49">
        <v>0.58658593386120172</v>
      </c>
      <c r="C110" s="81">
        <v>9863</v>
      </c>
      <c r="D110" s="81">
        <v>9863</v>
      </c>
      <c r="E110" s="37">
        <v>28043</v>
      </c>
      <c r="F110" s="37">
        <v>30</v>
      </c>
      <c r="G110" s="77">
        <v>20.400000000000091</v>
      </c>
      <c r="H110" s="81">
        <v>13878.746071893922</v>
      </c>
      <c r="I110" s="77">
        <v>462.62486906313075</v>
      </c>
      <c r="J110" s="168">
        <v>13.68</v>
      </c>
      <c r="K110" s="170">
        <f>_xlfn.XLOOKUP(A110,'[2]Rate Calculation'!$T:$T,'[2]Rate Calculation'!$BF:$BF)</f>
        <v>0.92430000000000001</v>
      </c>
    </row>
    <row r="111" spans="1:11" x14ac:dyDescent="0.25">
      <c r="A111">
        <v>1275519506</v>
      </c>
      <c r="B111" s="49">
        <v>0.62169078715142956</v>
      </c>
      <c r="C111" s="81">
        <v>33242</v>
      </c>
      <c r="D111" s="81">
        <v>33242</v>
      </c>
      <c r="E111" s="37">
        <v>28619</v>
      </c>
      <c r="F111" s="37">
        <v>100</v>
      </c>
      <c r="G111" s="77">
        <v>30.3599999999999</v>
      </c>
      <c r="H111" s="81">
        <v>37684.210526315786</v>
      </c>
      <c r="I111" s="77">
        <v>376.84210526315786</v>
      </c>
      <c r="J111" s="168">
        <v>13.68</v>
      </c>
      <c r="K111" s="170">
        <f>_xlfn.XLOOKUP(A111,'[2]Rate Calculation'!$T:$T,'[2]Rate Calculation'!$BF:$BF)</f>
        <v>1.2549999999999999</v>
      </c>
    </row>
    <row r="112" spans="1:11" x14ac:dyDescent="0.25">
      <c r="A112">
        <v>1275823155</v>
      </c>
      <c r="B112" s="49">
        <v>0.61878130217028382</v>
      </c>
      <c r="C112" s="81">
        <v>41459</v>
      </c>
      <c r="D112" s="81">
        <v>41459</v>
      </c>
      <c r="E112" s="37">
        <v>27253</v>
      </c>
      <c r="F112" s="37">
        <v>120</v>
      </c>
      <c r="G112" s="77">
        <v>6</v>
      </c>
      <c r="H112" s="81">
        <v>60812.957746478874</v>
      </c>
      <c r="I112" s="77">
        <v>506.77464788732397</v>
      </c>
      <c r="J112" s="168">
        <v>13.68</v>
      </c>
      <c r="K112" s="170">
        <f>_xlfn.XLOOKUP(A112,'[2]Rate Calculation'!$T:$T,'[2]Rate Calculation'!$BF:$BF)</f>
        <v>1.3172999999999999</v>
      </c>
    </row>
    <row r="113" spans="1:11" x14ac:dyDescent="0.25">
      <c r="A113">
        <v>1285656272</v>
      </c>
      <c r="B113" s="49">
        <v>0.65</v>
      </c>
      <c r="C113" s="81" t="e">
        <v>#N/A</v>
      </c>
      <c r="D113" s="81" t="e">
        <v>#N/A</v>
      </c>
      <c r="E113" s="37" t="e">
        <v>#N/A</v>
      </c>
      <c r="F113" s="37" t="e">
        <v>#N/A</v>
      </c>
      <c r="G113" s="77" t="e">
        <v>#N/A</v>
      </c>
      <c r="H113" s="81" t="e">
        <v>#N/A</v>
      </c>
      <c r="I113" s="77" t="e">
        <v>#N/A</v>
      </c>
      <c r="J113" s="168">
        <v>0</v>
      </c>
      <c r="K113" s="170">
        <f>_xlfn.XLOOKUP(A113,'[2]Rate Calculation'!$T:$T,'[2]Rate Calculation'!$BF:$BF)</f>
        <v>0.92720000000000002</v>
      </c>
    </row>
    <row r="114" spans="1:11" x14ac:dyDescent="0.25">
      <c r="A114">
        <v>1285665539</v>
      </c>
      <c r="B114" s="49">
        <v>0.58740268931351736</v>
      </c>
      <c r="C114" s="81">
        <v>34346</v>
      </c>
      <c r="D114" s="81">
        <v>34346</v>
      </c>
      <c r="E114" s="37">
        <v>28334</v>
      </c>
      <c r="F114" s="37">
        <v>100</v>
      </c>
      <c r="G114" s="77">
        <v>19.740000000000009</v>
      </c>
      <c r="H114" s="81">
        <v>45636</v>
      </c>
      <c r="I114" s="77">
        <v>456.36</v>
      </c>
      <c r="J114" s="168">
        <v>13.68</v>
      </c>
      <c r="K114" s="170">
        <f>_xlfn.XLOOKUP(A114,'[2]Rate Calculation'!$T:$T,'[2]Rate Calculation'!$BF:$BF)</f>
        <v>1.2290000000000001</v>
      </c>
    </row>
    <row r="115" spans="1:11" x14ac:dyDescent="0.25">
      <c r="A115">
        <v>1285687962</v>
      </c>
      <c r="B115" s="49">
        <v>0.63812130308113357</v>
      </c>
      <c r="C115" s="81">
        <v>21971</v>
      </c>
      <c r="D115" s="81">
        <v>21971</v>
      </c>
      <c r="E115" s="37">
        <v>27292</v>
      </c>
      <c r="F115" s="37">
        <v>64</v>
      </c>
      <c r="G115" s="77">
        <v>23.150000000000091</v>
      </c>
      <c r="H115" s="81">
        <v>35147</v>
      </c>
      <c r="I115" s="77">
        <v>549.171875</v>
      </c>
      <c r="J115" s="168">
        <v>13.68</v>
      </c>
      <c r="K115" s="170">
        <f>_xlfn.XLOOKUP(A115,'[2]Rate Calculation'!$T:$T,'[2]Rate Calculation'!$BF:$BF)</f>
        <v>1.1191</v>
      </c>
    </row>
    <row r="116" spans="1:11" x14ac:dyDescent="0.25">
      <c r="A116">
        <v>1295101673</v>
      </c>
      <c r="B116" s="49">
        <v>0.55886243386243384</v>
      </c>
      <c r="C116" s="81">
        <v>28919</v>
      </c>
      <c r="D116" s="81">
        <v>28919</v>
      </c>
      <c r="E116" s="37">
        <v>28604</v>
      </c>
      <c r="F116" s="37">
        <v>118</v>
      </c>
      <c r="G116" s="77">
        <v>33.5</v>
      </c>
      <c r="H116" s="81">
        <v>37766</v>
      </c>
      <c r="I116" s="77">
        <v>320.05084745762713</v>
      </c>
      <c r="J116" s="168">
        <v>13.68</v>
      </c>
      <c r="K116" s="170">
        <f>_xlfn.XLOOKUP(A116,'[2]Rate Calculation'!$T:$T,'[2]Rate Calculation'!$BF:$BF)</f>
        <v>1.0158</v>
      </c>
    </row>
    <row r="117" spans="1:11" x14ac:dyDescent="0.25">
      <c r="A117">
        <v>1295279594</v>
      </c>
      <c r="B117" s="49">
        <v>0.69714154341328827</v>
      </c>
      <c r="C117" s="81">
        <v>34458</v>
      </c>
      <c r="D117" s="81">
        <v>34458</v>
      </c>
      <c r="E117" s="37">
        <v>28021</v>
      </c>
      <c r="F117" s="37">
        <v>107</v>
      </c>
      <c r="G117" s="77">
        <v>3.1099999999999</v>
      </c>
      <c r="H117" s="81">
        <v>53253.53564547206</v>
      </c>
      <c r="I117" s="77">
        <v>497.69659481749591</v>
      </c>
      <c r="J117" s="168">
        <v>13.68</v>
      </c>
      <c r="K117" s="170">
        <f>_xlfn.XLOOKUP(A117,'[2]Rate Calculation'!$T:$T,'[2]Rate Calculation'!$BF:$BF)</f>
        <v>1.5014000000000001</v>
      </c>
    </row>
    <row r="118" spans="1:11" x14ac:dyDescent="0.25">
      <c r="A118">
        <v>1295391795</v>
      </c>
      <c r="B118" s="49">
        <v>0.62782023289665212</v>
      </c>
      <c r="C118" s="81">
        <v>27291</v>
      </c>
      <c r="D118" s="81">
        <v>27291</v>
      </c>
      <c r="E118" s="37">
        <v>28791</v>
      </c>
      <c r="F118" s="37">
        <v>134</v>
      </c>
      <c r="G118" s="77">
        <v>32.309999999999945</v>
      </c>
      <c r="H118" s="81">
        <v>33703</v>
      </c>
      <c r="I118" s="77">
        <v>251.51492537313433</v>
      </c>
      <c r="J118" s="168">
        <v>13.68</v>
      </c>
      <c r="K118" s="170">
        <f>_xlfn.XLOOKUP(A118,'[2]Rate Calculation'!$T:$T,'[2]Rate Calculation'!$BF:$BF)</f>
        <v>1.0815999999999999</v>
      </c>
    </row>
    <row r="119" spans="1:11" x14ac:dyDescent="0.25">
      <c r="A119">
        <v>1295704849</v>
      </c>
      <c r="B119" s="49">
        <v>0.65240641711229941</v>
      </c>
      <c r="C119" s="81">
        <v>35086</v>
      </c>
      <c r="D119" s="81">
        <v>35086</v>
      </c>
      <c r="E119" s="37">
        <v>28645</v>
      </c>
      <c r="F119" s="37">
        <v>120</v>
      </c>
      <c r="G119" s="77">
        <v>33.5</v>
      </c>
      <c r="H119" s="81">
        <v>30509</v>
      </c>
      <c r="I119" s="77">
        <v>254.24166666666667</v>
      </c>
      <c r="J119" s="168">
        <v>13.68</v>
      </c>
      <c r="K119" s="170">
        <f>_xlfn.XLOOKUP(A119,'[2]Rate Calculation'!$T:$T,'[2]Rate Calculation'!$BF:$BF)</f>
        <v>1.3843000000000001</v>
      </c>
    </row>
    <row r="120" spans="1:11" x14ac:dyDescent="0.25">
      <c r="A120">
        <v>1295704997</v>
      </c>
      <c r="B120" s="49">
        <v>0.6490647095677079</v>
      </c>
      <c r="C120" s="81">
        <v>45216</v>
      </c>
      <c r="D120" s="81">
        <v>45216</v>
      </c>
      <c r="E120" s="37">
        <v>27407</v>
      </c>
      <c r="F120" s="37">
        <v>134</v>
      </c>
      <c r="G120" s="77">
        <v>11.339999999999918</v>
      </c>
      <c r="H120" s="81">
        <v>65763.756470807799</v>
      </c>
      <c r="I120" s="77">
        <v>490.77430202095371</v>
      </c>
      <c r="J120" s="168">
        <v>13.68</v>
      </c>
      <c r="K120" s="170">
        <f>_xlfn.XLOOKUP(A120,'[2]Rate Calculation'!$T:$T,'[2]Rate Calculation'!$BF:$BF)</f>
        <v>1.2194</v>
      </c>
    </row>
    <row r="121" spans="1:11" x14ac:dyDescent="0.25">
      <c r="A121">
        <v>1295723377</v>
      </c>
      <c r="B121" s="49">
        <v>0.52865678247399872</v>
      </c>
      <c r="C121" s="81">
        <v>21159</v>
      </c>
      <c r="D121" s="81">
        <v>21159</v>
      </c>
      <c r="E121" s="37">
        <v>27106</v>
      </c>
      <c r="F121" s="37">
        <v>85</v>
      </c>
      <c r="G121" s="77">
        <v>8</v>
      </c>
      <c r="H121" s="81">
        <v>0</v>
      </c>
      <c r="I121" s="77">
        <v>0</v>
      </c>
      <c r="J121" s="168">
        <v>0</v>
      </c>
      <c r="K121" s="170">
        <f>_xlfn.XLOOKUP(A121,'[2]Rate Calculation'!$T:$T,'[2]Rate Calculation'!$BF:$BF)</f>
        <v>1.3149999999999999</v>
      </c>
    </row>
    <row r="122" spans="1:11" x14ac:dyDescent="0.25">
      <c r="A122">
        <v>1295733517</v>
      </c>
      <c r="B122" s="49">
        <v>0.63535426152248586</v>
      </c>
      <c r="C122" s="81">
        <v>32801</v>
      </c>
      <c r="D122" s="81">
        <v>32801</v>
      </c>
      <c r="E122" s="37">
        <v>28779</v>
      </c>
      <c r="F122" s="37">
        <v>94</v>
      </c>
      <c r="G122" s="77">
        <v>13.6400000000001</v>
      </c>
      <c r="H122" s="81">
        <v>36249</v>
      </c>
      <c r="I122" s="77">
        <v>385.62765957446811</v>
      </c>
      <c r="J122" s="168">
        <v>13.68</v>
      </c>
      <c r="K122" s="170">
        <f>_xlfn.XLOOKUP(A122,'[2]Rate Calculation'!$T:$T,'[2]Rate Calculation'!$BF:$BF)</f>
        <v>1.2948</v>
      </c>
    </row>
    <row r="123" spans="1:11" x14ac:dyDescent="0.25">
      <c r="A123">
        <v>1306293170</v>
      </c>
      <c r="B123" s="49">
        <v>0.60847333820306793</v>
      </c>
      <c r="C123" s="81">
        <v>41876</v>
      </c>
      <c r="D123" s="81">
        <v>41876</v>
      </c>
      <c r="E123" s="37">
        <v>27889</v>
      </c>
      <c r="F123" s="37">
        <v>128</v>
      </c>
      <c r="G123" s="77">
        <v>33.5</v>
      </c>
      <c r="H123" s="81">
        <v>0</v>
      </c>
      <c r="I123" s="77">
        <v>0</v>
      </c>
      <c r="J123" s="168">
        <v>13.68</v>
      </c>
      <c r="K123" s="170">
        <f>_xlfn.XLOOKUP(A123,'[2]Rate Calculation'!$T:$T,'[2]Rate Calculation'!$BF:$BF)</f>
        <v>1.1993</v>
      </c>
    </row>
    <row r="124" spans="1:11" x14ac:dyDescent="0.25">
      <c r="A124">
        <v>1306372230</v>
      </c>
      <c r="B124" s="49">
        <v>0.65</v>
      </c>
      <c r="C124" s="81">
        <v>46848</v>
      </c>
      <c r="D124" s="81">
        <v>46848</v>
      </c>
      <c r="E124" s="37">
        <v>27407</v>
      </c>
      <c r="F124" s="37">
        <v>135</v>
      </c>
      <c r="G124" s="77">
        <v>13</v>
      </c>
      <c r="H124" s="81">
        <v>66888</v>
      </c>
      <c r="I124" s="77">
        <v>495.46666666666664</v>
      </c>
      <c r="J124" s="168">
        <v>13.68</v>
      </c>
      <c r="K124" s="170">
        <f>_xlfn.XLOOKUP(A124,'[2]Rate Calculation'!$T:$T,'[2]Rate Calculation'!$BF:$BF)</f>
        <v>1.2763</v>
      </c>
    </row>
    <row r="125" spans="1:11" x14ac:dyDescent="0.25">
      <c r="A125">
        <v>1316351034</v>
      </c>
      <c r="B125" s="49">
        <v>0.5037046926106401</v>
      </c>
      <c r="C125" s="81">
        <v>29799</v>
      </c>
      <c r="D125" s="81">
        <v>29799</v>
      </c>
      <c r="E125" s="37">
        <v>27514</v>
      </c>
      <c r="F125" s="37">
        <v>108</v>
      </c>
      <c r="G125" s="77">
        <v>7.1099999999999</v>
      </c>
      <c r="H125" s="81">
        <v>40046</v>
      </c>
      <c r="I125" s="77">
        <v>370.7962962962963</v>
      </c>
      <c r="J125" s="168">
        <v>13.68</v>
      </c>
      <c r="K125" s="170">
        <f>_xlfn.XLOOKUP(A125,'[2]Rate Calculation'!$T:$T,'[2]Rate Calculation'!$BF:$BF)</f>
        <v>1.1149</v>
      </c>
    </row>
    <row r="126" spans="1:11" x14ac:dyDescent="0.25">
      <c r="A126">
        <v>1316512346</v>
      </c>
      <c r="B126" s="49">
        <v>0.62573456460352583</v>
      </c>
      <c r="C126" s="81">
        <v>26809</v>
      </c>
      <c r="D126" s="81">
        <v>26809</v>
      </c>
      <c r="E126" s="37">
        <v>28052</v>
      </c>
      <c r="F126" s="37">
        <v>80</v>
      </c>
      <c r="G126" s="77">
        <v>9.4700000000000273</v>
      </c>
      <c r="H126" s="81">
        <v>36368</v>
      </c>
      <c r="I126" s="77">
        <v>454.6</v>
      </c>
      <c r="J126" s="168">
        <v>13.68</v>
      </c>
      <c r="K126" s="170">
        <f>_xlfn.XLOOKUP(A126,'[2]Rate Calculation'!$T:$T,'[2]Rate Calculation'!$BF:$BF)</f>
        <v>1.1509</v>
      </c>
    </row>
    <row r="127" spans="1:11" x14ac:dyDescent="0.25">
      <c r="A127">
        <v>1316921190</v>
      </c>
      <c r="B127" s="49">
        <v>0.59327047513403586</v>
      </c>
      <c r="C127" s="81">
        <v>45844</v>
      </c>
      <c r="D127" s="81">
        <v>45844</v>
      </c>
      <c r="E127" s="37">
        <v>28352</v>
      </c>
      <c r="F127" s="37">
        <v>149</v>
      </c>
      <c r="G127" s="77">
        <v>8.6600000000000819</v>
      </c>
      <c r="H127" s="81">
        <v>80005</v>
      </c>
      <c r="I127" s="77">
        <v>536.94630872483219</v>
      </c>
      <c r="J127" s="168">
        <v>13.68</v>
      </c>
      <c r="K127" s="170">
        <f>_xlfn.XLOOKUP(A127,'[2]Rate Calculation'!$T:$T,'[2]Rate Calculation'!$BF:$BF)</f>
        <v>1.3568</v>
      </c>
    </row>
    <row r="128" spans="1:11" x14ac:dyDescent="0.25">
      <c r="A128">
        <v>1326074048</v>
      </c>
      <c r="B128" s="49">
        <v>0.61675049535131843</v>
      </c>
      <c r="C128" s="81">
        <v>42767</v>
      </c>
      <c r="D128" s="81">
        <v>42767</v>
      </c>
      <c r="E128" s="37">
        <v>27406</v>
      </c>
      <c r="F128" s="37">
        <v>210</v>
      </c>
      <c r="G128" s="77">
        <v>18.950000000000045</v>
      </c>
      <c r="H128" s="81">
        <v>64956.805985689876</v>
      </c>
      <c r="I128" s="77">
        <v>309.31812374138036</v>
      </c>
      <c r="J128" s="168">
        <v>13.68</v>
      </c>
      <c r="K128" s="170">
        <f>_xlfn.XLOOKUP(A128,'[2]Rate Calculation'!$T:$T,'[2]Rate Calculation'!$BF:$BF)</f>
        <v>1.1665000000000001</v>
      </c>
    </row>
    <row r="129" spans="1:11" x14ac:dyDescent="0.25">
      <c r="A129">
        <v>1326089616</v>
      </c>
      <c r="B129" s="49">
        <v>0.72350115932427961</v>
      </c>
      <c r="C129" s="81">
        <v>28754</v>
      </c>
      <c r="D129" s="81">
        <v>28754</v>
      </c>
      <c r="E129" s="37">
        <v>27215</v>
      </c>
      <c r="F129" s="37">
        <v>90</v>
      </c>
      <c r="G129" s="77">
        <v>10.990000000000009</v>
      </c>
      <c r="H129" s="81">
        <v>30653.852459016391</v>
      </c>
      <c r="I129" s="77">
        <v>340.59836065573768</v>
      </c>
      <c r="J129" s="168">
        <v>13.68</v>
      </c>
      <c r="K129" s="170">
        <f>_xlfn.XLOOKUP(A129,'[2]Rate Calculation'!$T:$T,'[2]Rate Calculation'!$BF:$BF)</f>
        <v>1.1023000000000001</v>
      </c>
    </row>
    <row r="130" spans="1:11" x14ac:dyDescent="0.25">
      <c r="A130">
        <v>1326143504</v>
      </c>
      <c r="B130" s="49">
        <v>0.62720128491940585</v>
      </c>
      <c r="C130" s="81">
        <v>33410</v>
      </c>
      <c r="D130" s="81">
        <v>33410</v>
      </c>
      <c r="E130" s="37">
        <v>27401</v>
      </c>
      <c r="F130" s="37">
        <v>107</v>
      </c>
      <c r="G130" s="77">
        <v>29.269999999999982</v>
      </c>
      <c r="H130" s="81">
        <v>40869.231125857914</v>
      </c>
      <c r="I130" s="77">
        <v>381.95543108278423</v>
      </c>
      <c r="J130" s="168">
        <v>13.68</v>
      </c>
      <c r="K130" s="170">
        <f>_xlfn.XLOOKUP(A130,'[2]Rate Calculation'!$T:$T,'[2]Rate Calculation'!$BF:$BF)</f>
        <v>1.2232000000000001</v>
      </c>
    </row>
    <row r="131" spans="1:11" x14ac:dyDescent="0.25">
      <c r="A131">
        <v>1326169285</v>
      </c>
      <c r="B131" s="49">
        <v>0.69537676867390585</v>
      </c>
      <c r="C131" s="81">
        <v>33632</v>
      </c>
      <c r="D131" s="81">
        <v>33632</v>
      </c>
      <c r="E131" s="37">
        <v>28791</v>
      </c>
      <c r="F131" s="37">
        <v>120</v>
      </c>
      <c r="G131" s="77">
        <v>24.75</v>
      </c>
      <c r="H131" s="81">
        <v>39222</v>
      </c>
      <c r="I131" s="77">
        <v>326.85000000000002</v>
      </c>
      <c r="J131" s="168">
        <v>13.68</v>
      </c>
      <c r="K131" s="170">
        <f>_xlfn.XLOOKUP(A131,'[2]Rate Calculation'!$T:$T,'[2]Rate Calculation'!$BF:$BF)</f>
        <v>1.2251000000000001</v>
      </c>
    </row>
    <row r="132" spans="1:11" x14ac:dyDescent="0.25">
      <c r="A132">
        <v>1326519844</v>
      </c>
      <c r="B132" s="49">
        <v>0.65</v>
      </c>
      <c r="C132" s="81">
        <v>21900</v>
      </c>
      <c r="D132" s="81">
        <v>29280.219780219777</v>
      </c>
      <c r="E132" s="37">
        <v>28401</v>
      </c>
      <c r="F132" s="37">
        <v>110</v>
      </c>
      <c r="G132" s="77">
        <v>14.069999999999936</v>
      </c>
      <c r="H132" s="81">
        <v>60860</v>
      </c>
      <c r="I132" s="77">
        <v>553.27272727272725</v>
      </c>
      <c r="J132" s="168">
        <v>13.68</v>
      </c>
      <c r="K132" s="170">
        <f>_xlfn.XLOOKUP(A132,'[2]Rate Calculation'!$T:$T,'[2]Rate Calculation'!$BF:$BF)</f>
        <v>1.3263</v>
      </c>
    </row>
    <row r="133" spans="1:11" x14ac:dyDescent="0.25">
      <c r="A133">
        <v>1336118298</v>
      </c>
      <c r="B133" s="49">
        <v>0.642018779342723</v>
      </c>
      <c r="C133" s="81">
        <v>36666</v>
      </c>
      <c r="D133" s="81">
        <v>36666</v>
      </c>
      <c r="E133" s="37">
        <v>27030</v>
      </c>
      <c r="F133" s="37">
        <v>120</v>
      </c>
      <c r="G133" s="77">
        <v>26.869999999999891</v>
      </c>
      <c r="H133" s="81">
        <v>39357</v>
      </c>
      <c r="I133" s="77">
        <v>327.97500000000002</v>
      </c>
      <c r="J133" s="168">
        <v>13.68</v>
      </c>
      <c r="K133" s="170">
        <f>_xlfn.XLOOKUP(A133,'[2]Rate Calculation'!$T:$T,'[2]Rate Calculation'!$BF:$BF)</f>
        <v>1.4369000000000001</v>
      </c>
    </row>
    <row r="134" spans="1:11" x14ac:dyDescent="0.25">
      <c r="A134">
        <v>1336142470</v>
      </c>
      <c r="B134" s="49">
        <v>0.60082219938335046</v>
      </c>
      <c r="C134" s="81">
        <v>42456</v>
      </c>
      <c r="D134" s="81">
        <v>42456</v>
      </c>
      <c r="E134" s="37">
        <v>27705</v>
      </c>
      <c r="F134" s="37">
        <v>120</v>
      </c>
      <c r="G134" s="77">
        <v>21.960000000000036</v>
      </c>
      <c r="H134" s="81">
        <v>67647.803936588723</v>
      </c>
      <c r="I134" s="77">
        <v>563.73169947157271</v>
      </c>
      <c r="J134" s="168">
        <v>13.68</v>
      </c>
      <c r="K134" s="170">
        <f>_xlfn.XLOOKUP(A134,'[2]Rate Calculation'!$T:$T,'[2]Rate Calculation'!$BF:$BF)</f>
        <v>0.9536</v>
      </c>
    </row>
    <row r="135" spans="1:11" x14ac:dyDescent="0.25">
      <c r="A135">
        <v>1336193754</v>
      </c>
      <c r="B135" s="49">
        <v>0.67210440456769982</v>
      </c>
      <c r="C135" s="81">
        <v>53766</v>
      </c>
      <c r="D135" s="81">
        <v>53766</v>
      </c>
      <c r="E135" s="37">
        <v>28105</v>
      </c>
      <c r="F135" s="37">
        <v>169</v>
      </c>
      <c r="G135" s="77">
        <v>7.2799999999999727</v>
      </c>
      <c r="H135" s="81">
        <v>98608.842767295588</v>
      </c>
      <c r="I135" s="77">
        <v>583.48427672955972</v>
      </c>
      <c r="J135" s="168">
        <v>7.18</v>
      </c>
      <c r="K135" s="170">
        <f>_xlfn.XLOOKUP(A135,'[2]Rate Calculation'!$T:$T,'[2]Rate Calculation'!$BF:$BF)</f>
        <v>1.1847000000000001</v>
      </c>
    </row>
    <row r="136" spans="1:11" x14ac:dyDescent="0.25">
      <c r="A136">
        <v>1336196526</v>
      </c>
      <c r="B136" s="49">
        <v>0.60702596552476551</v>
      </c>
      <c r="C136" s="81">
        <v>21015</v>
      </c>
      <c r="D136" s="81">
        <v>21015</v>
      </c>
      <c r="E136" s="37">
        <v>28092</v>
      </c>
      <c r="F136" s="37">
        <v>63</v>
      </c>
      <c r="G136" s="77">
        <v>23.180000000000064</v>
      </c>
      <c r="H136" s="81">
        <v>25530</v>
      </c>
      <c r="I136" s="77">
        <v>405.23809523809524</v>
      </c>
      <c r="J136" s="168">
        <v>13.68</v>
      </c>
      <c r="K136" s="170">
        <f>_xlfn.XLOOKUP(A136,'[2]Rate Calculation'!$T:$T,'[2]Rate Calculation'!$BF:$BF)</f>
        <v>1.2281</v>
      </c>
    </row>
    <row r="137" spans="1:11" x14ac:dyDescent="0.25">
      <c r="A137">
        <v>1336565779</v>
      </c>
      <c r="B137" s="49">
        <v>0.63261856037013975</v>
      </c>
      <c r="C137" s="81">
        <v>44227</v>
      </c>
      <c r="D137" s="81">
        <v>44227</v>
      </c>
      <c r="E137" s="37">
        <v>28112</v>
      </c>
      <c r="F137" s="37">
        <v>147</v>
      </c>
      <c r="G137" s="77">
        <v>22.470000000000027</v>
      </c>
      <c r="H137" s="81">
        <v>53160.000000000007</v>
      </c>
      <c r="I137" s="77">
        <v>361.63265306122452</v>
      </c>
      <c r="J137" s="168">
        <v>13.68</v>
      </c>
      <c r="K137" s="170">
        <f>_xlfn.XLOOKUP(A137,'[2]Rate Calculation'!$T:$T,'[2]Rate Calculation'!$BF:$BF)</f>
        <v>1.0761000000000001</v>
      </c>
    </row>
    <row r="138" spans="1:11" x14ac:dyDescent="0.25">
      <c r="A138">
        <v>1336602358</v>
      </c>
      <c r="B138" s="49">
        <v>0.66978309648466716</v>
      </c>
      <c r="C138" s="81">
        <v>34442</v>
      </c>
      <c r="D138" s="81">
        <v>34442</v>
      </c>
      <c r="E138" s="37">
        <v>28207</v>
      </c>
      <c r="F138" s="37">
        <v>133</v>
      </c>
      <c r="G138" s="77">
        <v>13.650000000000091</v>
      </c>
      <c r="H138" s="81">
        <v>45018</v>
      </c>
      <c r="I138" s="77">
        <v>338.48120300751879</v>
      </c>
      <c r="J138" s="168">
        <v>13.68</v>
      </c>
      <c r="K138" s="170">
        <f>_xlfn.XLOOKUP(A138,'[2]Rate Calculation'!$T:$T,'[2]Rate Calculation'!$BF:$BF)</f>
        <v>1.1299999999999999</v>
      </c>
    </row>
    <row r="139" spans="1:11" x14ac:dyDescent="0.25">
      <c r="A139">
        <v>1336612530</v>
      </c>
      <c r="B139" s="49">
        <v>0.58854805725971371</v>
      </c>
      <c r="C139" s="81">
        <v>24577</v>
      </c>
      <c r="D139" s="81">
        <v>24577</v>
      </c>
      <c r="E139" s="37">
        <v>27278</v>
      </c>
      <c r="F139" s="37">
        <v>80</v>
      </c>
      <c r="G139" s="77">
        <v>9.2000000000000455</v>
      </c>
      <c r="H139" s="81">
        <v>46711.386554621851</v>
      </c>
      <c r="I139" s="77">
        <v>583.89233193277312</v>
      </c>
      <c r="J139" s="168">
        <v>13.68</v>
      </c>
      <c r="K139" s="170">
        <f>_xlfn.XLOOKUP(A139,'[2]Rate Calculation'!$T:$T,'[2]Rate Calculation'!$BF:$BF)</f>
        <v>1.3476999999999999</v>
      </c>
    </row>
    <row r="140" spans="1:11" x14ac:dyDescent="0.25">
      <c r="A140">
        <v>1346226040</v>
      </c>
      <c r="B140" s="49">
        <v>0.65179461615154544</v>
      </c>
      <c r="C140" s="81">
        <v>32931</v>
      </c>
      <c r="D140" s="81">
        <v>32931</v>
      </c>
      <c r="E140" s="37">
        <v>28459</v>
      </c>
      <c r="F140" s="37">
        <v>100</v>
      </c>
      <c r="G140" s="77">
        <v>27.930000000000064</v>
      </c>
      <c r="H140" s="81">
        <v>42059.752066115703</v>
      </c>
      <c r="I140" s="77">
        <v>420.59752066115703</v>
      </c>
      <c r="J140" s="168">
        <v>13.68</v>
      </c>
      <c r="K140" s="170">
        <f>_xlfn.XLOOKUP(A140,'[2]Rate Calculation'!$T:$T,'[2]Rate Calculation'!$BF:$BF)</f>
        <v>1.1616</v>
      </c>
    </row>
    <row r="141" spans="1:11" x14ac:dyDescent="0.25">
      <c r="A141">
        <v>1346241627</v>
      </c>
      <c r="B141" s="49">
        <v>0.73717297434594864</v>
      </c>
      <c r="C141" s="81">
        <v>19248</v>
      </c>
      <c r="D141" s="81">
        <v>19248</v>
      </c>
      <c r="E141" s="37">
        <v>28352</v>
      </c>
      <c r="F141" s="37">
        <v>58</v>
      </c>
      <c r="G141" s="77">
        <v>5</v>
      </c>
      <c r="H141" s="81">
        <v>0</v>
      </c>
      <c r="I141" s="77">
        <v>0</v>
      </c>
      <c r="J141" s="168">
        <v>0</v>
      </c>
      <c r="K141" s="170">
        <f>_xlfn.XLOOKUP(A141,'[2]Rate Calculation'!$T:$T,'[2]Rate Calculation'!$BF:$BF)</f>
        <v>1.2488999999999999</v>
      </c>
    </row>
    <row r="142" spans="1:11" x14ac:dyDescent="0.25">
      <c r="A142">
        <v>1346360328</v>
      </c>
      <c r="B142" s="49">
        <v>0.6799069601001968</v>
      </c>
      <c r="C142" s="81">
        <v>48512</v>
      </c>
      <c r="D142" s="81">
        <v>48512</v>
      </c>
      <c r="E142" s="37">
        <v>28054</v>
      </c>
      <c r="F142" s="37">
        <v>162</v>
      </c>
      <c r="G142" s="77">
        <v>24.670000000000073</v>
      </c>
      <c r="H142" s="81">
        <v>47756</v>
      </c>
      <c r="I142" s="77">
        <v>294.79012345679013</v>
      </c>
      <c r="J142" s="168">
        <v>7.18</v>
      </c>
      <c r="K142" s="170">
        <f>_xlfn.XLOOKUP(A142,'[2]Rate Calculation'!$T:$T,'[2]Rate Calculation'!$BF:$BF)</f>
        <v>1.2591000000000001</v>
      </c>
    </row>
    <row r="143" spans="1:11" x14ac:dyDescent="0.25">
      <c r="A143">
        <v>1346806015</v>
      </c>
      <c r="B143" s="49">
        <v>0.58321802727811822</v>
      </c>
      <c r="C143" s="81">
        <v>20023</v>
      </c>
      <c r="D143" s="81">
        <v>20023</v>
      </c>
      <c r="E143" s="37">
        <v>27357</v>
      </c>
      <c r="F143" s="37">
        <v>60</v>
      </c>
      <c r="G143" s="77">
        <v>10.549999999999955</v>
      </c>
      <c r="H143" s="81">
        <v>36992.657505653158</v>
      </c>
      <c r="I143" s="77">
        <v>616.54429176088593</v>
      </c>
      <c r="J143" s="168">
        <v>13.68</v>
      </c>
      <c r="K143" s="170">
        <f>_xlfn.XLOOKUP(A143,'[2]Rate Calculation'!$T:$T,'[2]Rate Calculation'!$BF:$BF)</f>
        <v>1.1962999999999999</v>
      </c>
    </row>
    <row r="144" spans="1:11" x14ac:dyDescent="0.25">
      <c r="A144">
        <v>1346851052</v>
      </c>
      <c r="B144" s="49">
        <v>0.64148806412266945</v>
      </c>
      <c r="C144" s="81">
        <v>33701</v>
      </c>
      <c r="D144" s="81">
        <v>33701</v>
      </c>
      <c r="E144" s="37">
        <v>28334</v>
      </c>
      <c r="F144" s="37">
        <v>100</v>
      </c>
      <c r="G144" s="77">
        <v>24.6400000000001</v>
      </c>
      <c r="H144" s="81">
        <v>37670.231480628012</v>
      </c>
      <c r="I144" s="77">
        <v>376.70231480628013</v>
      </c>
      <c r="J144" s="168">
        <v>13.68</v>
      </c>
      <c r="K144" s="170">
        <f>_xlfn.XLOOKUP(A144,'[2]Rate Calculation'!$T:$T,'[2]Rate Calculation'!$BF:$BF)</f>
        <v>1.2375</v>
      </c>
    </row>
    <row r="145" spans="1:11" x14ac:dyDescent="0.25">
      <c r="A145">
        <v>1356346191</v>
      </c>
      <c r="B145" s="49">
        <v>0.71888813965685172</v>
      </c>
      <c r="C145" s="81">
        <v>59551</v>
      </c>
      <c r="D145" s="81">
        <v>59551</v>
      </c>
      <c r="E145" s="37">
        <v>28411</v>
      </c>
      <c r="F145" s="37">
        <v>179</v>
      </c>
      <c r="G145" s="77">
        <v>1.8699999999998909</v>
      </c>
      <c r="H145" s="81">
        <v>0</v>
      </c>
      <c r="I145" s="77">
        <v>0</v>
      </c>
      <c r="J145" s="168">
        <v>7.18</v>
      </c>
      <c r="K145" s="170">
        <f>_xlfn.XLOOKUP(A145,'[2]Rate Calculation'!$T:$T,'[2]Rate Calculation'!$BF:$BF)</f>
        <v>0.89770000000000005</v>
      </c>
    </row>
    <row r="146" spans="1:11" x14ac:dyDescent="0.25">
      <c r="A146">
        <v>1356372650</v>
      </c>
      <c r="B146" s="49">
        <v>0.56004585841215249</v>
      </c>
      <c r="C146" s="81">
        <v>27564</v>
      </c>
      <c r="D146" s="81">
        <v>27564</v>
      </c>
      <c r="E146" s="37">
        <v>28513</v>
      </c>
      <c r="F146" s="37">
        <v>82</v>
      </c>
      <c r="G146" s="77">
        <v>16.619999999999891</v>
      </c>
      <c r="H146" s="81">
        <v>38291</v>
      </c>
      <c r="I146" s="77">
        <v>466.96341463414632</v>
      </c>
      <c r="J146" s="168">
        <v>13.68</v>
      </c>
      <c r="K146" s="170">
        <f>_xlfn.XLOOKUP(A146,'[2]Rate Calculation'!$T:$T,'[2]Rate Calculation'!$BF:$BF)</f>
        <v>1.3168</v>
      </c>
    </row>
    <row r="147" spans="1:11" x14ac:dyDescent="0.25">
      <c r="A147">
        <v>1356387153</v>
      </c>
      <c r="B147" s="49">
        <v>0.63346503084494354</v>
      </c>
      <c r="C147" s="81">
        <v>36020</v>
      </c>
      <c r="D147" s="81">
        <v>36020</v>
      </c>
      <c r="E147" s="37">
        <v>27604</v>
      </c>
      <c r="F147" s="37">
        <v>180</v>
      </c>
      <c r="G147" s="77">
        <v>23.490000000000009</v>
      </c>
      <c r="H147" s="81">
        <v>62140.645161290326</v>
      </c>
      <c r="I147" s="77">
        <v>345.22580645161293</v>
      </c>
      <c r="J147" s="168">
        <v>13.68</v>
      </c>
      <c r="K147" s="170">
        <f>_xlfn.XLOOKUP(A147,'[2]Rate Calculation'!$T:$T,'[2]Rate Calculation'!$BF:$BF)</f>
        <v>1.2532000000000001</v>
      </c>
    </row>
    <row r="148" spans="1:11" x14ac:dyDescent="0.25">
      <c r="A148">
        <v>1356476311</v>
      </c>
      <c r="B148" s="49">
        <v>0.63713784754112046</v>
      </c>
      <c r="C148" s="81">
        <v>22860</v>
      </c>
      <c r="D148" s="81">
        <v>22860</v>
      </c>
      <c r="E148" s="37">
        <v>28782</v>
      </c>
      <c r="F148" s="37">
        <v>70</v>
      </c>
      <c r="G148" s="77">
        <v>1</v>
      </c>
      <c r="H148" s="81">
        <v>30189.811260396673</v>
      </c>
      <c r="I148" s="77">
        <v>431.28301800566675</v>
      </c>
      <c r="J148" s="168">
        <v>0</v>
      </c>
      <c r="K148" s="170">
        <f>_xlfn.XLOOKUP(A148,'[2]Rate Calculation'!$T:$T,'[2]Rate Calculation'!$BF:$BF)</f>
        <v>1.1218999999999999</v>
      </c>
    </row>
    <row r="149" spans="1:11" x14ac:dyDescent="0.25">
      <c r="A149">
        <v>1366487464</v>
      </c>
      <c r="B149" s="49">
        <v>0.65354909893343149</v>
      </c>
      <c r="C149" s="81">
        <v>24201</v>
      </c>
      <c r="D149" s="81">
        <v>24201</v>
      </c>
      <c r="E149" s="37">
        <v>28771</v>
      </c>
      <c r="F149" s="37">
        <v>80</v>
      </c>
      <c r="G149" s="77">
        <v>26.730000000000018</v>
      </c>
      <c r="H149" s="81">
        <v>27885.988148376171</v>
      </c>
      <c r="I149" s="77">
        <v>348.57485185470216</v>
      </c>
      <c r="J149" s="168">
        <v>13.68</v>
      </c>
      <c r="K149" s="170">
        <f>_xlfn.XLOOKUP(A149,'[2]Rate Calculation'!$T:$T,'[2]Rate Calculation'!$BF:$BF)</f>
        <v>1.2407999999999999</v>
      </c>
    </row>
    <row r="150" spans="1:11" x14ac:dyDescent="0.25">
      <c r="A150">
        <v>1366529406</v>
      </c>
      <c r="B150" s="49">
        <v>0.62904389323566945</v>
      </c>
      <c r="C150" s="81">
        <v>22871</v>
      </c>
      <c r="D150" s="81">
        <v>22871</v>
      </c>
      <c r="E150" s="37">
        <v>27608</v>
      </c>
      <c r="F150" s="37">
        <v>71</v>
      </c>
      <c r="G150" s="77">
        <v>30.779999999999973</v>
      </c>
      <c r="H150" s="81">
        <v>49014.517985611506</v>
      </c>
      <c r="I150" s="77">
        <v>690.34532374100718</v>
      </c>
      <c r="J150" s="168">
        <v>0</v>
      </c>
      <c r="K150" s="170">
        <f>_xlfn.XLOOKUP(A150,'[2]Rate Calculation'!$T:$T,'[2]Rate Calculation'!$BF:$BF)</f>
        <v>1.0546</v>
      </c>
    </row>
    <row r="151" spans="1:11" x14ac:dyDescent="0.25">
      <c r="A151">
        <v>1366552739</v>
      </c>
      <c r="B151" s="49">
        <v>0.65</v>
      </c>
      <c r="C151" s="81">
        <v>39386</v>
      </c>
      <c r="D151" s="81">
        <v>39386</v>
      </c>
      <c r="E151" s="37">
        <v>27282</v>
      </c>
      <c r="F151" s="37">
        <v>120</v>
      </c>
      <c r="G151" s="77">
        <v>20.559999999999945</v>
      </c>
      <c r="H151" s="81">
        <v>43375</v>
      </c>
      <c r="I151" s="77">
        <v>361.45833333333331</v>
      </c>
      <c r="J151" s="168">
        <v>13.68</v>
      </c>
      <c r="K151" s="170">
        <f>_xlfn.XLOOKUP(A151,'[2]Rate Calculation'!$T:$T,'[2]Rate Calculation'!$BF:$BF)</f>
        <v>1.2574000000000001</v>
      </c>
    </row>
    <row r="152" spans="1:11" x14ac:dyDescent="0.25">
      <c r="A152">
        <v>1366577355</v>
      </c>
      <c r="B152" s="49">
        <v>0.70073198198198194</v>
      </c>
      <c r="C152" s="81">
        <v>50890</v>
      </c>
      <c r="D152" s="81">
        <v>50890</v>
      </c>
      <c r="E152" s="37">
        <v>28211</v>
      </c>
      <c r="F152" s="37">
        <v>180</v>
      </c>
      <c r="G152" s="77">
        <v>16.690000000000055</v>
      </c>
      <c r="H152" s="81">
        <v>53460</v>
      </c>
      <c r="I152" s="77">
        <v>297</v>
      </c>
      <c r="J152" s="168">
        <v>0</v>
      </c>
      <c r="K152" s="170">
        <f>_xlfn.XLOOKUP(A152,'[2]Rate Calculation'!$T:$T,'[2]Rate Calculation'!$BF:$BF)</f>
        <v>1.0595000000000001</v>
      </c>
    </row>
    <row r="153" spans="1:11" x14ac:dyDescent="0.25">
      <c r="A153">
        <v>1376542878</v>
      </c>
      <c r="B153" s="49">
        <v>0.80817799158147929</v>
      </c>
      <c r="C153" s="81">
        <v>37193</v>
      </c>
      <c r="D153" s="81">
        <v>37193</v>
      </c>
      <c r="E153" s="37">
        <v>27607</v>
      </c>
      <c r="F153" s="37">
        <v>120</v>
      </c>
      <c r="G153" s="77">
        <v>9.2400000000000091</v>
      </c>
      <c r="H153" s="81">
        <v>0</v>
      </c>
      <c r="I153" s="77">
        <v>0</v>
      </c>
      <c r="J153" s="168">
        <v>13.68</v>
      </c>
      <c r="K153" s="170">
        <f>_xlfn.XLOOKUP(A153,'[2]Rate Calculation'!$T:$T,'[2]Rate Calculation'!$BF:$BF)</f>
        <v>0.99019999999999997</v>
      </c>
    </row>
    <row r="154" spans="1:11" x14ac:dyDescent="0.25">
      <c r="A154">
        <v>1376570275</v>
      </c>
      <c r="B154" s="49">
        <v>0.61457364341085274</v>
      </c>
      <c r="C154" s="81">
        <v>46484</v>
      </c>
      <c r="D154" s="81">
        <v>46484</v>
      </c>
      <c r="E154" s="37">
        <v>27549</v>
      </c>
      <c r="F154" s="37">
        <v>166</v>
      </c>
      <c r="G154" s="77">
        <v>25.539999999999964</v>
      </c>
      <c r="H154" s="81">
        <v>51797.04055390702</v>
      </c>
      <c r="I154" s="77">
        <v>312.03036478257241</v>
      </c>
      <c r="J154" s="168">
        <v>13.68</v>
      </c>
      <c r="K154" s="170">
        <f>_xlfn.XLOOKUP(A154,'[2]Rate Calculation'!$T:$T,'[2]Rate Calculation'!$BF:$BF)</f>
        <v>1.1853</v>
      </c>
    </row>
    <row r="155" spans="1:11" x14ac:dyDescent="0.25">
      <c r="A155">
        <v>1376926519</v>
      </c>
      <c r="B155" s="49">
        <v>0.67276107840099153</v>
      </c>
      <c r="C155" s="81">
        <v>41583</v>
      </c>
      <c r="D155" s="81">
        <v>41583</v>
      </c>
      <c r="E155" s="37">
        <v>28630</v>
      </c>
      <c r="F155" s="37">
        <v>120</v>
      </c>
      <c r="G155" s="77">
        <v>15.6099999999999</v>
      </c>
      <c r="H155" s="81">
        <v>49800</v>
      </c>
      <c r="I155" s="77">
        <v>415</v>
      </c>
      <c r="J155" s="168">
        <v>13.68</v>
      </c>
      <c r="K155" s="170">
        <f>_xlfn.XLOOKUP(A155,'[2]Rate Calculation'!$T:$T,'[2]Rate Calculation'!$BF:$BF)</f>
        <v>1.4353</v>
      </c>
    </row>
    <row r="156" spans="1:11" x14ac:dyDescent="0.25">
      <c r="A156">
        <v>1376932889</v>
      </c>
      <c r="B156" s="49">
        <v>0.65</v>
      </c>
      <c r="C156" s="81">
        <v>33824</v>
      </c>
      <c r="D156" s="81">
        <v>33824</v>
      </c>
      <c r="E156" s="37">
        <v>28031</v>
      </c>
      <c r="F156" s="37">
        <v>102</v>
      </c>
      <c r="G156" s="77">
        <v>5.3599999999999</v>
      </c>
      <c r="H156" s="81">
        <v>71500</v>
      </c>
      <c r="I156" s="77">
        <v>700.98039215686276</v>
      </c>
      <c r="J156" s="168">
        <v>13.68</v>
      </c>
      <c r="K156" s="170">
        <f>_xlfn.XLOOKUP(A156,'[2]Rate Calculation'!$T:$T,'[2]Rate Calculation'!$BF:$BF)</f>
        <v>1.0964</v>
      </c>
    </row>
    <row r="157" spans="1:11" x14ac:dyDescent="0.25">
      <c r="A157">
        <v>1386187813</v>
      </c>
      <c r="B157" s="49">
        <v>0.62678711704634715</v>
      </c>
      <c r="C157" s="81">
        <v>40075</v>
      </c>
      <c r="D157" s="81">
        <v>40075</v>
      </c>
      <c r="E157" s="37">
        <v>27712</v>
      </c>
      <c r="F157" s="37">
        <v>132</v>
      </c>
      <c r="G157" s="77">
        <v>27.400000000000091</v>
      </c>
      <c r="H157" s="81">
        <v>50962</v>
      </c>
      <c r="I157" s="77">
        <v>386.07575757575756</v>
      </c>
      <c r="J157" s="168">
        <v>13.68</v>
      </c>
      <c r="K157" s="170">
        <f>_xlfn.XLOOKUP(A157,'[2]Rate Calculation'!$T:$T,'[2]Rate Calculation'!$BF:$BF)</f>
        <v>1.0526</v>
      </c>
    </row>
    <row r="158" spans="1:11" x14ac:dyDescent="0.25">
      <c r="A158">
        <v>1396161527</v>
      </c>
      <c r="B158" s="49">
        <v>0.57507141364174741</v>
      </c>
      <c r="C158" s="81">
        <v>40904</v>
      </c>
      <c r="D158" s="81">
        <v>40904</v>
      </c>
      <c r="E158" s="37">
        <v>27605</v>
      </c>
      <c r="F158" s="37">
        <v>157</v>
      </c>
      <c r="G158" s="77">
        <v>16.170000000000073</v>
      </c>
      <c r="H158" s="81">
        <v>68791</v>
      </c>
      <c r="I158" s="77">
        <v>438.15923566878979</v>
      </c>
      <c r="J158" s="168">
        <v>13.68</v>
      </c>
      <c r="K158" s="170">
        <f>_xlfn.XLOOKUP(A158,'[2]Rate Calculation'!$T:$T,'[2]Rate Calculation'!$BF:$BF)</f>
        <v>1.2024999999999999</v>
      </c>
    </row>
    <row r="159" spans="1:11" x14ac:dyDescent="0.25">
      <c r="A159">
        <v>1396202024</v>
      </c>
      <c r="B159" s="49">
        <v>0.6081793017233682</v>
      </c>
      <c r="C159" s="81">
        <v>32681</v>
      </c>
      <c r="D159" s="81">
        <v>32681</v>
      </c>
      <c r="E159" s="37">
        <v>28778</v>
      </c>
      <c r="F159" s="37">
        <v>106</v>
      </c>
      <c r="G159" s="77">
        <v>13.3900000000001</v>
      </c>
      <c r="H159" s="81">
        <v>34353</v>
      </c>
      <c r="I159" s="77">
        <v>324.08490566037733</v>
      </c>
      <c r="J159" s="168">
        <v>13.68</v>
      </c>
      <c r="K159" s="170">
        <f>_xlfn.XLOOKUP(A159,'[2]Rate Calculation'!$T:$T,'[2]Rate Calculation'!$BF:$BF)</f>
        <v>1.1792</v>
      </c>
    </row>
    <row r="160" spans="1:11" x14ac:dyDescent="0.25">
      <c r="A160">
        <v>1396747689</v>
      </c>
      <c r="B160" s="49">
        <v>0.56940323112429936</v>
      </c>
      <c r="C160" s="81">
        <v>35666</v>
      </c>
      <c r="D160" s="81">
        <v>35666</v>
      </c>
      <c r="E160" s="37">
        <v>28730</v>
      </c>
      <c r="F160" s="37">
        <v>106</v>
      </c>
      <c r="G160" s="77">
        <v>24.960000000000036</v>
      </c>
      <c r="H160" s="81">
        <v>34115.899843369116</v>
      </c>
      <c r="I160" s="77">
        <v>321.84811172989731</v>
      </c>
      <c r="J160" s="168">
        <v>13.68</v>
      </c>
      <c r="K160" s="170">
        <f>_xlfn.XLOOKUP(A160,'[2]Rate Calculation'!$T:$T,'[2]Rate Calculation'!$BF:$BF)</f>
        <v>1.1233</v>
      </c>
    </row>
    <row r="161" spans="1:11" x14ac:dyDescent="0.25">
      <c r="A161">
        <v>1396754875</v>
      </c>
      <c r="B161" s="49">
        <v>0.73723974347711507</v>
      </c>
      <c r="C161" s="81">
        <v>20331</v>
      </c>
      <c r="D161" s="81">
        <v>20331</v>
      </c>
      <c r="E161" s="37">
        <v>27239</v>
      </c>
      <c r="F161" s="37">
        <v>60</v>
      </c>
      <c r="G161" s="77">
        <v>2.0299999999999727</v>
      </c>
      <c r="H161" s="81">
        <v>26461.653468674376</v>
      </c>
      <c r="I161" s="77">
        <v>441.0275578112396</v>
      </c>
      <c r="J161" s="168">
        <v>13.68</v>
      </c>
      <c r="K161" s="170">
        <f>_xlfn.XLOOKUP(A161,'[2]Rate Calculation'!$T:$T,'[2]Rate Calculation'!$BF:$BF)</f>
        <v>1.1775</v>
      </c>
    </row>
    <row r="162" spans="1:11" x14ac:dyDescent="0.25">
      <c r="A162">
        <v>1396771515</v>
      </c>
      <c r="B162" s="49">
        <v>0.60596818069408953</v>
      </c>
      <c r="C162" s="81">
        <v>46272</v>
      </c>
      <c r="D162" s="81">
        <v>46272</v>
      </c>
      <c r="E162" s="37">
        <v>28405</v>
      </c>
      <c r="F162" s="37">
        <v>140</v>
      </c>
      <c r="G162" s="77">
        <v>6.3099999999999454</v>
      </c>
      <c r="H162" s="81">
        <v>93346</v>
      </c>
      <c r="I162" s="77">
        <v>666.75714285714287</v>
      </c>
      <c r="J162" s="168">
        <v>13.68</v>
      </c>
      <c r="K162" s="170">
        <f>_xlfn.XLOOKUP(A162,'[2]Rate Calculation'!$T:$T,'[2]Rate Calculation'!$BF:$BF)</f>
        <v>1.1580999999999999</v>
      </c>
    </row>
    <row r="163" spans="1:11" x14ac:dyDescent="0.25">
      <c r="A163">
        <v>1396802260</v>
      </c>
      <c r="B163" s="49">
        <v>0.6299876955528213</v>
      </c>
      <c r="C163" s="81">
        <v>16518</v>
      </c>
      <c r="D163" s="81">
        <v>16518</v>
      </c>
      <c r="E163" s="37">
        <v>28360</v>
      </c>
      <c r="F163" s="37">
        <v>52</v>
      </c>
      <c r="G163" s="77">
        <v>6.3800000000001091</v>
      </c>
      <c r="H163" s="81">
        <v>35369.85482706043</v>
      </c>
      <c r="I163" s="77">
        <v>680.18951590500831</v>
      </c>
      <c r="J163" s="168">
        <v>13.68</v>
      </c>
      <c r="K163" s="170">
        <f>_xlfn.XLOOKUP(A163,'[2]Rate Calculation'!$T:$T,'[2]Rate Calculation'!$BF:$BF)</f>
        <v>1.2615000000000001</v>
      </c>
    </row>
    <row r="164" spans="1:11" x14ac:dyDescent="0.25">
      <c r="A164">
        <v>1407325103</v>
      </c>
      <c r="B164" s="49">
        <v>0.67236414305620062</v>
      </c>
      <c r="C164" s="81">
        <v>17811</v>
      </c>
      <c r="D164" s="81">
        <v>17811</v>
      </c>
      <c r="E164" s="37">
        <v>28159</v>
      </c>
      <c r="F164" s="37">
        <v>70</v>
      </c>
      <c r="G164" s="77">
        <v>33.289999999999964</v>
      </c>
      <c r="H164" s="81">
        <v>36301</v>
      </c>
      <c r="I164" s="77">
        <v>518.58571428571429</v>
      </c>
      <c r="J164" s="168">
        <v>13.68</v>
      </c>
      <c r="K164" s="170">
        <f>_xlfn.XLOOKUP(A164,'[2]Rate Calculation'!$T:$T,'[2]Rate Calculation'!$BF:$BF)</f>
        <v>1.2670999999999999</v>
      </c>
    </row>
    <row r="165" spans="1:11" x14ac:dyDescent="0.25">
      <c r="A165">
        <v>1407800972</v>
      </c>
      <c r="B165" s="49">
        <v>0.68195335733291595</v>
      </c>
      <c r="C165" s="81">
        <v>30311</v>
      </c>
      <c r="D165" s="81">
        <v>30311</v>
      </c>
      <c r="E165" s="37">
        <v>28147</v>
      </c>
      <c r="F165" s="37">
        <v>90</v>
      </c>
      <c r="G165" s="77">
        <v>18.220000000000027</v>
      </c>
      <c r="H165" s="81">
        <v>41711</v>
      </c>
      <c r="I165" s="77">
        <v>463.45555555555558</v>
      </c>
      <c r="J165" s="168">
        <v>13.68</v>
      </c>
      <c r="K165" s="170">
        <f>_xlfn.XLOOKUP(A165,'[2]Rate Calculation'!$T:$T,'[2]Rate Calculation'!$BF:$BF)</f>
        <v>1.1216999999999999</v>
      </c>
    </row>
    <row r="166" spans="1:11" x14ac:dyDescent="0.25">
      <c r="A166">
        <v>1407803679</v>
      </c>
      <c r="B166" s="49">
        <v>0.64128059440559437</v>
      </c>
      <c r="C166" s="81">
        <v>29204</v>
      </c>
      <c r="D166" s="81">
        <v>29204</v>
      </c>
      <c r="E166" s="37">
        <v>28904</v>
      </c>
      <c r="F166" s="37">
        <v>90</v>
      </c>
      <c r="G166" s="77">
        <v>20.680000000000064</v>
      </c>
      <c r="H166" s="81">
        <v>29135</v>
      </c>
      <c r="I166" s="77">
        <v>323.72222222222223</v>
      </c>
      <c r="J166" s="168">
        <v>13.68</v>
      </c>
      <c r="K166" s="170">
        <f>_xlfn.XLOOKUP(A166,'[2]Rate Calculation'!$T:$T,'[2]Rate Calculation'!$BF:$BF)</f>
        <v>1.1082000000000001</v>
      </c>
    </row>
    <row r="167" spans="1:11" x14ac:dyDescent="0.25">
      <c r="A167">
        <v>1407803828</v>
      </c>
      <c r="B167" s="49">
        <v>0.69585987261146498</v>
      </c>
      <c r="C167" s="81">
        <v>34177</v>
      </c>
      <c r="D167" s="81">
        <v>34177</v>
      </c>
      <c r="E167" s="37">
        <v>28804</v>
      </c>
      <c r="F167" s="37">
        <v>100</v>
      </c>
      <c r="G167" s="77">
        <v>23.950000000000045</v>
      </c>
      <c r="H167" s="81">
        <v>33368</v>
      </c>
      <c r="I167" s="77">
        <v>333.68</v>
      </c>
      <c r="J167" s="168">
        <v>13.68</v>
      </c>
      <c r="K167" s="170">
        <f>_xlfn.XLOOKUP(A167,'[2]Rate Calculation'!$T:$T,'[2]Rate Calculation'!$BF:$BF)</f>
        <v>1.1614</v>
      </c>
    </row>
    <row r="168" spans="1:11" x14ac:dyDescent="0.25">
      <c r="A168">
        <v>1407843097</v>
      </c>
      <c r="B168" s="49">
        <v>0.69188731527093605</v>
      </c>
      <c r="C168" s="81">
        <v>35987</v>
      </c>
      <c r="D168" s="81">
        <v>35987</v>
      </c>
      <c r="E168" s="37">
        <v>28164</v>
      </c>
      <c r="F168" s="37">
        <v>106</v>
      </c>
      <c r="G168" s="77">
        <v>2</v>
      </c>
      <c r="H168" s="81">
        <v>43170.902288046222</v>
      </c>
      <c r="I168" s="77">
        <v>407.27266309477568</v>
      </c>
      <c r="J168" s="168">
        <v>0</v>
      </c>
      <c r="K168" s="170">
        <f>_xlfn.XLOOKUP(A168,'[2]Rate Calculation'!$T:$T,'[2]Rate Calculation'!$BF:$BF)</f>
        <v>1.2513000000000001</v>
      </c>
    </row>
    <row r="169" spans="1:11" x14ac:dyDescent="0.25">
      <c r="A169">
        <v>1407882830</v>
      </c>
      <c r="B169" s="49">
        <v>0.55438282647584969</v>
      </c>
      <c r="C169" s="81">
        <v>27430</v>
      </c>
      <c r="D169" s="81">
        <v>27430</v>
      </c>
      <c r="E169" s="37">
        <v>28529</v>
      </c>
      <c r="F169" s="37">
        <v>96</v>
      </c>
      <c r="G169" s="77">
        <v>27.579999999999927</v>
      </c>
      <c r="H169" s="81">
        <v>32027.053872053868</v>
      </c>
      <c r="I169" s="77">
        <v>333.61514450056114</v>
      </c>
      <c r="J169" s="168">
        <v>13.68</v>
      </c>
      <c r="K169" s="170">
        <f>_xlfn.XLOOKUP(A169,'[2]Rate Calculation'!$T:$T,'[2]Rate Calculation'!$BF:$BF)</f>
        <v>1.1474</v>
      </c>
    </row>
    <row r="170" spans="1:11" x14ac:dyDescent="0.25">
      <c r="A170">
        <v>1407966864</v>
      </c>
      <c r="B170" s="49">
        <v>0.73593898951382264</v>
      </c>
      <c r="C170" s="81">
        <v>28490</v>
      </c>
      <c r="D170" s="81">
        <v>28490</v>
      </c>
      <c r="E170" s="37">
        <v>27320</v>
      </c>
      <c r="F170" s="37">
        <v>82</v>
      </c>
      <c r="G170" s="77">
        <v>15.809999999999945</v>
      </c>
      <c r="H170" s="81">
        <v>0</v>
      </c>
      <c r="I170" s="77">
        <v>0</v>
      </c>
      <c r="J170" s="168">
        <v>13.68</v>
      </c>
      <c r="K170" s="170">
        <f>_xlfn.XLOOKUP(A170,'[2]Rate Calculation'!$T:$T,'[2]Rate Calculation'!$BF:$BF)</f>
        <v>0.93940000000000001</v>
      </c>
    </row>
    <row r="171" spans="1:11" x14ac:dyDescent="0.25">
      <c r="A171">
        <v>1417368143</v>
      </c>
      <c r="B171" s="49">
        <v>0.61006406090428</v>
      </c>
      <c r="C171" s="81">
        <v>28775</v>
      </c>
      <c r="D171" s="81">
        <v>28775</v>
      </c>
      <c r="E171" s="37">
        <v>27803</v>
      </c>
      <c r="F171" s="37">
        <v>100</v>
      </c>
      <c r="G171" s="77">
        <v>2</v>
      </c>
      <c r="H171" s="81">
        <v>48753.034912619041</v>
      </c>
      <c r="I171" s="77">
        <v>487.5303491261904</v>
      </c>
      <c r="J171" s="168">
        <v>13.68</v>
      </c>
      <c r="K171" s="170">
        <f>_xlfn.XLOOKUP(A171,'[2]Rate Calculation'!$T:$T,'[2]Rate Calculation'!$BF:$BF)</f>
        <v>1.3317000000000001</v>
      </c>
    </row>
    <row r="172" spans="1:11" x14ac:dyDescent="0.25">
      <c r="A172">
        <v>1417944752</v>
      </c>
      <c r="B172" s="49">
        <v>0.66008754476721043</v>
      </c>
      <c r="C172" s="81">
        <v>49314</v>
      </c>
      <c r="D172" s="81">
        <v>49314</v>
      </c>
      <c r="E172" s="37">
        <v>28027</v>
      </c>
      <c r="F172" s="37">
        <v>160</v>
      </c>
      <c r="G172" s="77">
        <v>33.5</v>
      </c>
      <c r="H172" s="81">
        <v>0</v>
      </c>
      <c r="I172" s="77">
        <v>0</v>
      </c>
      <c r="J172" s="168">
        <v>7.18</v>
      </c>
      <c r="K172" s="170">
        <f>_xlfn.XLOOKUP(A172,'[2]Rate Calculation'!$T:$T,'[2]Rate Calculation'!$BF:$BF)</f>
        <v>1.2184999999999999</v>
      </c>
    </row>
    <row r="173" spans="1:11" x14ac:dyDescent="0.25">
      <c r="A173">
        <v>1417951492</v>
      </c>
      <c r="B173" s="49">
        <v>0.61056903155206999</v>
      </c>
      <c r="C173" s="81">
        <v>24301</v>
      </c>
      <c r="D173" s="81">
        <v>24301</v>
      </c>
      <c r="E173" s="37">
        <v>27410</v>
      </c>
      <c r="F173" s="37">
        <v>69</v>
      </c>
      <c r="G173" s="77">
        <v>16</v>
      </c>
      <c r="H173" s="81">
        <v>0</v>
      </c>
      <c r="I173" s="77">
        <v>0</v>
      </c>
      <c r="J173" s="168">
        <v>0</v>
      </c>
      <c r="K173" s="170">
        <f>_xlfn.XLOOKUP(A173,'[2]Rate Calculation'!$T:$T,'[2]Rate Calculation'!$BF:$BF)</f>
        <v>0.9748</v>
      </c>
    </row>
    <row r="174" spans="1:11" x14ac:dyDescent="0.25">
      <c r="A174">
        <v>1427003110</v>
      </c>
      <c r="B174" s="49">
        <v>0.65184210526315789</v>
      </c>
      <c r="C174" s="81">
        <v>40606</v>
      </c>
      <c r="D174" s="81">
        <v>40606</v>
      </c>
      <c r="E174" s="37">
        <v>27529</v>
      </c>
      <c r="F174" s="37">
        <v>120</v>
      </c>
      <c r="G174" s="77">
        <v>13.809999999999945</v>
      </c>
      <c r="H174" s="81">
        <v>0</v>
      </c>
      <c r="I174" s="77">
        <v>0</v>
      </c>
      <c r="J174" s="168">
        <v>13.68</v>
      </c>
      <c r="K174" s="170">
        <f>_xlfn.XLOOKUP(A174,'[2]Rate Calculation'!$T:$T,'[2]Rate Calculation'!$BF:$BF)</f>
        <v>1.0713999999999999</v>
      </c>
    </row>
    <row r="175" spans="1:11" x14ac:dyDescent="0.25">
      <c r="A175">
        <v>1427052067</v>
      </c>
      <c r="B175" s="49">
        <v>0.73794257039308619</v>
      </c>
      <c r="C175" s="81">
        <v>35478</v>
      </c>
      <c r="D175" s="81">
        <v>35478</v>
      </c>
      <c r="E175" s="37">
        <v>28601</v>
      </c>
      <c r="F175" s="37">
        <v>104</v>
      </c>
      <c r="G175" s="77">
        <v>1.9700000000000273</v>
      </c>
      <c r="H175" s="81">
        <v>48981.286775235152</v>
      </c>
      <c r="I175" s="77">
        <v>470.97391130033799</v>
      </c>
      <c r="J175" s="168">
        <v>13.68</v>
      </c>
      <c r="K175" s="170">
        <f>_xlfn.XLOOKUP(A175,'[2]Rate Calculation'!$T:$T,'[2]Rate Calculation'!$BF:$BF)</f>
        <v>1.2404999999999999</v>
      </c>
    </row>
    <row r="176" spans="1:11" x14ac:dyDescent="0.25">
      <c r="A176">
        <v>1427248905</v>
      </c>
      <c r="B176" s="49">
        <v>0.64463017133305467</v>
      </c>
      <c r="C176" s="81">
        <v>47066</v>
      </c>
      <c r="D176" s="81">
        <v>47066</v>
      </c>
      <c r="E176" s="37">
        <v>28204</v>
      </c>
      <c r="F176" s="37">
        <v>142</v>
      </c>
      <c r="G176" s="77">
        <v>11</v>
      </c>
      <c r="H176" s="81">
        <v>70849</v>
      </c>
      <c r="I176" s="77">
        <v>498.93661971830988</v>
      </c>
      <c r="J176" s="168">
        <v>13.68</v>
      </c>
      <c r="K176" s="170">
        <f>_xlfn.XLOOKUP(A176,'[2]Rate Calculation'!$T:$T,'[2]Rate Calculation'!$BF:$BF)</f>
        <v>1.2958000000000001</v>
      </c>
    </row>
    <row r="177" spans="1:11" x14ac:dyDescent="0.25">
      <c r="A177">
        <v>1427608959</v>
      </c>
      <c r="B177" s="49">
        <v>0.71265938069216761</v>
      </c>
      <c r="C177" s="81">
        <v>7633</v>
      </c>
      <c r="D177" s="81">
        <v>7633</v>
      </c>
      <c r="E177" s="37">
        <v>28315</v>
      </c>
      <c r="F177" s="37">
        <v>100</v>
      </c>
      <c r="G177" s="77">
        <v>19.029999999999973</v>
      </c>
      <c r="H177" s="81">
        <v>36251.873494053521</v>
      </c>
      <c r="I177" s="77">
        <v>362.51873494053524</v>
      </c>
      <c r="J177" s="168">
        <v>13.68</v>
      </c>
      <c r="K177" s="170">
        <f>_xlfn.XLOOKUP(A177,'[2]Rate Calculation'!$T:$T,'[2]Rate Calculation'!$BF:$BF)</f>
        <v>1.2278</v>
      </c>
    </row>
    <row r="178" spans="1:11" x14ac:dyDescent="0.25">
      <c r="A178">
        <v>1437103850</v>
      </c>
      <c r="B178" s="49">
        <v>0.62910975035327366</v>
      </c>
      <c r="C178" s="81">
        <v>14557</v>
      </c>
      <c r="D178" s="81">
        <v>14557</v>
      </c>
      <c r="E178" s="37">
        <v>27885</v>
      </c>
      <c r="F178" s="37">
        <v>80</v>
      </c>
      <c r="G178" s="77">
        <v>28.5</v>
      </c>
      <c r="H178" s="81">
        <v>0</v>
      </c>
      <c r="I178" s="77">
        <v>0</v>
      </c>
      <c r="J178" s="168">
        <v>13.68</v>
      </c>
      <c r="K178" s="170">
        <f>_xlfn.XLOOKUP(A178,'[2]Rate Calculation'!$T:$T,'[2]Rate Calculation'!$BF:$BF)</f>
        <v>1.1688924274286907</v>
      </c>
    </row>
    <row r="179" spans="1:11" x14ac:dyDescent="0.25">
      <c r="A179">
        <v>1437484672</v>
      </c>
      <c r="B179" s="49">
        <v>0.65</v>
      </c>
      <c r="C179" s="81">
        <v>30153</v>
      </c>
      <c r="D179" s="81">
        <v>30153</v>
      </c>
      <c r="E179" s="37">
        <v>28422</v>
      </c>
      <c r="F179" s="37">
        <v>90</v>
      </c>
      <c r="G179" s="77">
        <v>7.5399999999999636</v>
      </c>
      <c r="H179" s="81">
        <v>39346</v>
      </c>
      <c r="I179" s="77">
        <v>437.17777777777781</v>
      </c>
      <c r="J179" s="168">
        <v>13.68</v>
      </c>
      <c r="K179" s="170">
        <f>_xlfn.XLOOKUP(A179,'[2]Rate Calculation'!$T:$T,'[2]Rate Calculation'!$BF:$BF)</f>
        <v>1.2782</v>
      </c>
    </row>
    <row r="180" spans="1:11" x14ac:dyDescent="0.25">
      <c r="A180">
        <v>1437564739</v>
      </c>
      <c r="B180" s="49">
        <v>0.60172413793103441</v>
      </c>
      <c r="C180" s="81">
        <v>33549</v>
      </c>
      <c r="D180" s="81">
        <v>33549</v>
      </c>
      <c r="E180" s="37">
        <v>28501</v>
      </c>
      <c r="F180" s="37">
        <v>106</v>
      </c>
      <c r="G180" s="77">
        <v>3.9200000000000728</v>
      </c>
      <c r="H180" s="81">
        <v>37434</v>
      </c>
      <c r="I180" s="77">
        <v>353.15094339622641</v>
      </c>
      <c r="J180" s="168">
        <v>13.68</v>
      </c>
      <c r="K180" s="170">
        <f>_xlfn.XLOOKUP(A180,'[2]Rate Calculation'!$T:$T,'[2]Rate Calculation'!$BF:$BF)</f>
        <v>1.2762</v>
      </c>
    </row>
    <row r="181" spans="1:11" x14ac:dyDescent="0.25">
      <c r="A181">
        <v>1437609732</v>
      </c>
      <c r="B181" s="49">
        <v>0.60806009542178463</v>
      </c>
      <c r="C181" s="81">
        <v>41689</v>
      </c>
      <c r="D181" s="81">
        <v>41689</v>
      </c>
      <c r="E181" s="37">
        <v>28358</v>
      </c>
      <c r="F181" s="37">
        <v>122</v>
      </c>
      <c r="G181" s="77">
        <v>19.599999999999909</v>
      </c>
      <c r="H181" s="81">
        <v>38471</v>
      </c>
      <c r="I181" s="77">
        <v>315.3360655737705</v>
      </c>
      <c r="J181" s="168">
        <v>13.68</v>
      </c>
      <c r="K181" s="170">
        <f>_xlfn.XLOOKUP(A181,'[2]Rate Calculation'!$T:$T,'[2]Rate Calculation'!$BF:$BF)</f>
        <v>1.1702999999999999</v>
      </c>
    </row>
    <row r="182" spans="1:11" x14ac:dyDescent="0.25">
      <c r="A182">
        <v>1437627593</v>
      </c>
      <c r="B182" s="49">
        <v>0.6580758898589657</v>
      </c>
      <c r="C182" s="81">
        <v>21663</v>
      </c>
      <c r="D182" s="81">
        <v>23673.637724550896</v>
      </c>
      <c r="E182" s="37">
        <v>28205</v>
      </c>
      <c r="F182" s="37">
        <v>100</v>
      </c>
      <c r="G182" s="77">
        <v>15.6099999999999</v>
      </c>
      <c r="H182" s="81">
        <v>28976</v>
      </c>
      <c r="I182" s="77">
        <v>289.76</v>
      </c>
      <c r="J182" s="168">
        <v>13.68</v>
      </c>
      <c r="K182" s="170">
        <f>_xlfn.XLOOKUP(A182,'[2]Rate Calculation'!$T:$T,'[2]Rate Calculation'!$BF:$BF)</f>
        <v>1.1189</v>
      </c>
    </row>
    <row r="183" spans="1:11" x14ac:dyDescent="0.25">
      <c r="A183">
        <v>1447254149</v>
      </c>
      <c r="B183" s="49">
        <v>0.67654867256637163</v>
      </c>
      <c r="C183" s="81">
        <v>38663</v>
      </c>
      <c r="D183" s="81">
        <v>38663</v>
      </c>
      <c r="E183" s="37">
        <v>28145</v>
      </c>
      <c r="F183" s="37">
        <v>115</v>
      </c>
      <c r="G183" s="77">
        <v>1</v>
      </c>
      <c r="H183" s="81">
        <v>58613.329361741897</v>
      </c>
      <c r="I183" s="77">
        <v>509.68112488471212</v>
      </c>
      <c r="J183" s="168">
        <v>0</v>
      </c>
      <c r="K183" s="170">
        <f>_xlfn.XLOOKUP(A183,'[2]Rate Calculation'!$T:$T,'[2]Rate Calculation'!$BF:$BF)</f>
        <v>1.2464</v>
      </c>
    </row>
    <row r="184" spans="1:11" x14ac:dyDescent="0.25">
      <c r="A184">
        <v>1447435722</v>
      </c>
      <c r="B184" s="49">
        <v>0.69361046959199391</v>
      </c>
      <c r="C184" s="81">
        <v>41726</v>
      </c>
      <c r="D184" s="81">
        <v>41726</v>
      </c>
      <c r="E184" s="37">
        <v>27705</v>
      </c>
      <c r="F184" s="37">
        <v>125</v>
      </c>
      <c r="G184" s="77">
        <v>3.1600000000000819</v>
      </c>
      <c r="H184" s="81">
        <v>55784</v>
      </c>
      <c r="I184" s="77">
        <v>446.27199999999999</v>
      </c>
      <c r="J184" s="168">
        <v>13.68</v>
      </c>
      <c r="K184" s="170">
        <f>_xlfn.XLOOKUP(A184,'[2]Rate Calculation'!$T:$T,'[2]Rate Calculation'!$BF:$BF)</f>
        <v>1.1964999999999999</v>
      </c>
    </row>
    <row r="185" spans="1:11" x14ac:dyDescent="0.25">
      <c r="A185">
        <v>1447736087</v>
      </c>
      <c r="B185" s="49">
        <v>0.5379587263049771</v>
      </c>
      <c r="C185" s="81">
        <v>21829</v>
      </c>
      <c r="D185" s="81">
        <v>21829</v>
      </c>
      <c r="E185" s="37">
        <v>28170</v>
      </c>
      <c r="F185" s="37">
        <v>66</v>
      </c>
      <c r="G185" s="77">
        <v>33.5</v>
      </c>
      <c r="H185" s="81">
        <v>24000</v>
      </c>
      <c r="I185" s="77">
        <v>363.63636363636363</v>
      </c>
      <c r="J185" s="168">
        <v>13.68</v>
      </c>
      <c r="K185" s="170">
        <f>_xlfn.XLOOKUP(A185,'[2]Rate Calculation'!$T:$T,'[2]Rate Calculation'!$BF:$BF)</f>
        <v>1.2101</v>
      </c>
    </row>
    <row r="186" spans="1:11" x14ac:dyDescent="0.25">
      <c r="A186">
        <v>1457397952</v>
      </c>
      <c r="B186" s="49">
        <v>0.59755983980627725</v>
      </c>
      <c r="C186" s="81">
        <v>30030</v>
      </c>
      <c r="D186" s="81">
        <v>30030</v>
      </c>
      <c r="E186" s="37">
        <v>28734</v>
      </c>
      <c r="F186" s="37">
        <v>200</v>
      </c>
      <c r="G186" s="77">
        <v>27.509999999999991</v>
      </c>
      <c r="H186" s="81">
        <v>65952</v>
      </c>
      <c r="I186" s="77">
        <v>329.76</v>
      </c>
      <c r="J186" s="168">
        <v>13.68</v>
      </c>
      <c r="K186" s="170">
        <f>_xlfn.XLOOKUP(A186,'[2]Rate Calculation'!$T:$T,'[2]Rate Calculation'!$BF:$BF)</f>
        <v>1.2050000000000001</v>
      </c>
    </row>
    <row r="187" spans="1:11" x14ac:dyDescent="0.25">
      <c r="A187">
        <v>1467007856</v>
      </c>
      <c r="B187" s="49">
        <v>0.60212590488408313</v>
      </c>
      <c r="C187" s="81">
        <v>29670</v>
      </c>
      <c r="D187" s="81">
        <v>29670</v>
      </c>
      <c r="E187" s="37">
        <v>28374</v>
      </c>
      <c r="F187" s="37">
        <v>144</v>
      </c>
      <c r="G187" s="77">
        <v>27.740000000000009</v>
      </c>
      <c r="H187" s="81">
        <v>47984</v>
      </c>
      <c r="I187" s="77">
        <v>333.22222222222223</v>
      </c>
      <c r="J187" s="168">
        <v>13.68</v>
      </c>
      <c r="K187" s="170">
        <f>_xlfn.XLOOKUP(A187,'[2]Rate Calculation'!$T:$T,'[2]Rate Calculation'!$BF:$BF)</f>
        <v>0.99670000000000003</v>
      </c>
    </row>
    <row r="188" spans="1:11" x14ac:dyDescent="0.25">
      <c r="A188">
        <v>1467016105</v>
      </c>
      <c r="B188" s="49">
        <v>0.62767475035663334</v>
      </c>
      <c r="C188" s="81">
        <v>31609</v>
      </c>
      <c r="D188" s="81">
        <v>31609</v>
      </c>
      <c r="E188" s="37">
        <v>27203</v>
      </c>
      <c r="F188" s="37">
        <v>100</v>
      </c>
      <c r="G188" s="77">
        <v>18.369999999999891</v>
      </c>
      <c r="H188" s="81">
        <v>35814</v>
      </c>
      <c r="I188" s="77">
        <v>358.14</v>
      </c>
      <c r="J188" s="168">
        <v>13.68</v>
      </c>
      <c r="K188" s="170">
        <f>_xlfn.XLOOKUP(A188,'[2]Rate Calculation'!$T:$T,'[2]Rate Calculation'!$BF:$BF)</f>
        <v>1.1664000000000001</v>
      </c>
    </row>
    <row r="189" spans="1:11" x14ac:dyDescent="0.25">
      <c r="A189">
        <v>1467407775</v>
      </c>
      <c r="B189" s="49">
        <v>0.64462276993623269</v>
      </c>
      <c r="C189" s="81">
        <v>20374</v>
      </c>
      <c r="D189" s="81">
        <v>20374</v>
      </c>
      <c r="E189" s="37">
        <v>28805</v>
      </c>
      <c r="F189" s="37">
        <v>60</v>
      </c>
      <c r="G189" s="77">
        <v>2.3900000000001</v>
      </c>
      <c r="H189" s="81">
        <v>0</v>
      </c>
      <c r="I189" s="77">
        <v>0</v>
      </c>
      <c r="J189" s="168">
        <v>13.68</v>
      </c>
      <c r="K189" s="170">
        <f>_xlfn.XLOOKUP(A189,'[2]Rate Calculation'!$T:$T,'[2]Rate Calculation'!$BF:$BF)</f>
        <v>1.1006</v>
      </c>
    </row>
    <row r="190" spans="1:11" x14ac:dyDescent="0.25">
      <c r="A190">
        <v>1467421024</v>
      </c>
      <c r="B190" s="49">
        <v>0.57740740740740737</v>
      </c>
      <c r="C190" s="81">
        <v>30304</v>
      </c>
      <c r="D190" s="81">
        <v>30304</v>
      </c>
      <c r="E190" s="37">
        <v>27615</v>
      </c>
      <c r="F190" s="37">
        <v>90</v>
      </c>
      <c r="G190" s="77">
        <v>15.8900000000001</v>
      </c>
      <c r="H190" s="81">
        <v>33560</v>
      </c>
      <c r="I190" s="77">
        <v>372.88888888888891</v>
      </c>
      <c r="J190" s="168">
        <v>13.68</v>
      </c>
      <c r="K190" s="170">
        <f>_xlfn.XLOOKUP(A190,'[2]Rate Calculation'!$T:$T,'[2]Rate Calculation'!$BF:$BF)</f>
        <v>1.3625</v>
      </c>
    </row>
    <row r="191" spans="1:11" x14ac:dyDescent="0.25">
      <c r="A191">
        <v>1477137628</v>
      </c>
      <c r="B191" s="49">
        <v>0.65</v>
      </c>
      <c r="C191" s="81">
        <v>31703</v>
      </c>
      <c r="D191" s="81">
        <v>31703</v>
      </c>
      <c r="E191" s="37">
        <v>28078</v>
      </c>
      <c r="F191" s="37">
        <v>90</v>
      </c>
      <c r="G191" s="77">
        <v>3.1400000000001</v>
      </c>
      <c r="H191" s="81">
        <v>55597</v>
      </c>
      <c r="I191" s="77">
        <v>617.74444444444441</v>
      </c>
      <c r="J191" s="168">
        <v>13.68</v>
      </c>
      <c r="K191" s="170">
        <f>_xlfn.XLOOKUP(A191,'[2]Rate Calculation'!$T:$T,'[2]Rate Calculation'!$BF:$BF)</f>
        <v>1.2234</v>
      </c>
    </row>
    <row r="192" spans="1:11" x14ac:dyDescent="0.25">
      <c r="A192">
        <v>1477146959</v>
      </c>
      <c r="B192" s="49">
        <v>0.62017223382045927</v>
      </c>
      <c r="C192" s="81">
        <v>27061</v>
      </c>
      <c r="D192" s="81">
        <v>53680.788043478264</v>
      </c>
      <c r="E192" s="37">
        <v>27105</v>
      </c>
      <c r="F192" s="37">
        <v>152</v>
      </c>
      <c r="G192" s="77">
        <v>20.099999999999909</v>
      </c>
      <c r="H192" s="81">
        <v>56072.799999999996</v>
      </c>
      <c r="I192" s="77">
        <v>368.9</v>
      </c>
      <c r="J192" s="168">
        <v>13.68</v>
      </c>
      <c r="K192" s="170">
        <f>_xlfn.XLOOKUP(A192,'[2]Rate Calculation'!$T:$T,'[2]Rate Calculation'!$BF:$BF)</f>
        <v>1.3963000000000001</v>
      </c>
    </row>
    <row r="193" spans="1:11" x14ac:dyDescent="0.25">
      <c r="A193">
        <v>1477511079</v>
      </c>
      <c r="B193" s="49">
        <v>0.64018942101501075</v>
      </c>
      <c r="C193" s="81">
        <v>31018</v>
      </c>
      <c r="D193" s="81">
        <v>31018</v>
      </c>
      <c r="E193" s="37">
        <v>28607</v>
      </c>
      <c r="F193" s="37">
        <v>134</v>
      </c>
      <c r="G193" s="77">
        <v>18.559999999999945</v>
      </c>
      <c r="H193" s="81">
        <v>0</v>
      </c>
      <c r="I193" s="77">
        <v>0</v>
      </c>
      <c r="J193" s="168">
        <v>13.68</v>
      </c>
      <c r="K193" s="170">
        <f>_xlfn.XLOOKUP(A193,'[2]Rate Calculation'!$T:$T,'[2]Rate Calculation'!$BF:$BF)</f>
        <v>1.0832999999999999</v>
      </c>
    </row>
    <row r="194" spans="1:11" x14ac:dyDescent="0.25">
      <c r="A194">
        <v>1477537199</v>
      </c>
      <c r="B194" s="49">
        <v>0.70022841480127906</v>
      </c>
      <c r="C194" s="81">
        <v>37591</v>
      </c>
      <c r="D194" s="81">
        <v>37591</v>
      </c>
      <c r="E194" s="37">
        <v>28761</v>
      </c>
      <c r="F194" s="37">
        <v>140</v>
      </c>
      <c r="G194" s="77">
        <v>33.5</v>
      </c>
      <c r="H194" s="81">
        <v>0</v>
      </c>
      <c r="I194" s="77">
        <v>0</v>
      </c>
      <c r="J194" s="168">
        <v>13.68</v>
      </c>
      <c r="K194" s="170">
        <f>_xlfn.XLOOKUP(A194,'[2]Rate Calculation'!$T:$T,'[2]Rate Calculation'!$BF:$BF)</f>
        <v>1.0652999999999999</v>
      </c>
    </row>
    <row r="195" spans="1:11" x14ac:dyDescent="0.25">
      <c r="A195">
        <v>1477641694</v>
      </c>
      <c r="B195" s="49">
        <v>0.65354387482875476</v>
      </c>
      <c r="C195" s="81">
        <v>42342</v>
      </c>
      <c r="D195" s="81">
        <v>42342</v>
      </c>
      <c r="E195" s="37">
        <v>27260</v>
      </c>
      <c r="F195" s="37">
        <v>125</v>
      </c>
      <c r="G195" s="77">
        <v>10.420000000000073</v>
      </c>
      <c r="H195" s="81">
        <v>0</v>
      </c>
      <c r="I195" s="77">
        <v>0</v>
      </c>
      <c r="J195" s="168">
        <v>0</v>
      </c>
      <c r="K195" s="170">
        <f>_xlfn.XLOOKUP(A195,'[2]Rate Calculation'!$T:$T,'[2]Rate Calculation'!$BF:$BF)</f>
        <v>0.90349999999999997</v>
      </c>
    </row>
    <row r="196" spans="1:11" x14ac:dyDescent="0.25">
      <c r="A196">
        <v>1487060893</v>
      </c>
      <c r="B196" s="49">
        <v>0.80778644638213237</v>
      </c>
      <c r="C196" s="81">
        <v>32470</v>
      </c>
      <c r="D196" s="81">
        <v>32470</v>
      </c>
      <c r="E196" s="37">
        <v>28170</v>
      </c>
      <c r="F196" s="37">
        <v>95</v>
      </c>
      <c r="G196" s="77">
        <v>20.3599999999999</v>
      </c>
      <c r="H196" s="81">
        <v>38518</v>
      </c>
      <c r="I196" s="77">
        <v>405.45263157894738</v>
      </c>
      <c r="J196" s="168">
        <v>13.68</v>
      </c>
      <c r="K196" s="170">
        <f>_xlfn.XLOOKUP(A196,'[2]Rate Calculation'!$T:$T,'[2]Rate Calculation'!$BF:$BF)</f>
        <v>1.3095000000000001</v>
      </c>
    </row>
    <row r="197" spans="1:11" x14ac:dyDescent="0.25">
      <c r="A197">
        <v>1497058416</v>
      </c>
      <c r="B197" s="49">
        <v>0.6315127701375246</v>
      </c>
      <c r="C197" s="81">
        <v>34603</v>
      </c>
      <c r="D197" s="81">
        <v>34603</v>
      </c>
      <c r="E197" s="37">
        <v>28754</v>
      </c>
      <c r="F197" s="37">
        <v>100</v>
      </c>
      <c r="G197" s="77">
        <v>23.849999999999909</v>
      </c>
      <c r="H197" s="81">
        <v>30000</v>
      </c>
      <c r="I197" s="77">
        <v>300</v>
      </c>
      <c r="J197" s="168">
        <v>13.68</v>
      </c>
      <c r="K197" s="170">
        <f>_xlfn.XLOOKUP(A197,'[2]Rate Calculation'!$T:$T,'[2]Rate Calculation'!$BF:$BF)</f>
        <v>1.4127000000000001</v>
      </c>
    </row>
    <row r="198" spans="1:11" x14ac:dyDescent="0.25">
      <c r="A198">
        <v>1497283899</v>
      </c>
      <c r="B198" s="49">
        <v>0.64870314361653381</v>
      </c>
      <c r="C198" s="81">
        <v>24948</v>
      </c>
      <c r="D198" s="81">
        <v>24948</v>
      </c>
      <c r="E198" s="37">
        <v>28337</v>
      </c>
      <c r="F198" s="37">
        <v>90</v>
      </c>
      <c r="G198" s="77">
        <v>29.630000000000109</v>
      </c>
      <c r="H198" s="81">
        <v>0</v>
      </c>
      <c r="I198" s="77">
        <v>0</v>
      </c>
      <c r="J198" s="168">
        <v>13.68</v>
      </c>
      <c r="K198" s="170">
        <f>_xlfn.XLOOKUP(A198,'[2]Rate Calculation'!$T:$T,'[2]Rate Calculation'!$BF:$BF)</f>
        <v>1.0347</v>
      </c>
    </row>
    <row r="199" spans="1:11" x14ac:dyDescent="0.25">
      <c r="A199">
        <v>1497996920</v>
      </c>
      <c r="B199" s="49">
        <v>0.67817832979905079</v>
      </c>
      <c r="C199" s="81">
        <v>46078</v>
      </c>
      <c r="D199" s="81">
        <v>46078</v>
      </c>
      <c r="E199" s="37">
        <v>27565</v>
      </c>
      <c r="F199" s="37">
        <v>160</v>
      </c>
      <c r="G199" s="77">
        <v>27.8599999999999</v>
      </c>
      <c r="H199" s="81">
        <v>39569.291316453717</v>
      </c>
      <c r="I199" s="77">
        <v>247.30807072783574</v>
      </c>
      <c r="J199" s="168">
        <v>13.68</v>
      </c>
      <c r="K199" s="170">
        <f>_xlfn.XLOOKUP(A199,'[2]Rate Calculation'!$T:$T,'[2]Rate Calculation'!$BF:$BF)</f>
        <v>1.3129</v>
      </c>
    </row>
    <row r="200" spans="1:11" x14ac:dyDescent="0.25">
      <c r="A200">
        <v>1508802497</v>
      </c>
      <c r="B200" s="49">
        <v>0.60254024755278701</v>
      </c>
      <c r="C200" s="81">
        <v>62005</v>
      </c>
      <c r="D200" s="81">
        <v>62005</v>
      </c>
      <c r="E200" s="37">
        <v>27530</v>
      </c>
      <c r="F200" s="37">
        <v>200</v>
      </c>
      <c r="G200" s="77">
        <v>29.589999999999918</v>
      </c>
      <c r="H200" s="81">
        <v>65670</v>
      </c>
      <c r="I200" s="77">
        <v>328.35</v>
      </c>
      <c r="J200" s="168">
        <v>7.18</v>
      </c>
      <c r="K200" s="170">
        <f>_xlfn.XLOOKUP(A200,'[2]Rate Calculation'!$T:$T,'[2]Rate Calculation'!$BF:$BF)</f>
        <v>1.1821999999999999</v>
      </c>
    </row>
    <row r="201" spans="1:11" x14ac:dyDescent="0.25">
      <c r="A201">
        <v>1508842295</v>
      </c>
      <c r="B201" s="49">
        <v>0.61920637502032849</v>
      </c>
      <c r="C201" s="81">
        <v>33302</v>
      </c>
      <c r="D201" s="81">
        <v>33302</v>
      </c>
      <c r="E201" s="37">
        <v>28145</v>
      </c>
      <c r="F201" s="37">
        <v>97</v>
      </c>
      <c r="G201" s="77">
        <v>10.480000000000018</v>
      </c>
      <c r="H201" s="81">
        <v>56620.522264980762</v>
      </c>
      <c r="I201" s="77">
        <v>583.71672438124494</v>
      </c>
      <c r="J201" s="168">
        <v>13.68</v>
      </c>
      <c r="K201" s="170">
        <f>_xlfn.XLOOKUP(A201,'[2]Rate Calculation'!$T:$T,'[2]Rate Calculation'!$BF:$BF)</f>
        <v>1.1833</v>
      </c>
    </row>
    <row r="202" spans="1:11" x14ac:dyDescent="0.25">
      <c r="A202">
        <v>1508864323</v>
      </c>
      <c r="B202" s="49">
        <v>0.68208143990020498</v>
      </c>
      <c r="C202" s="81">
        <v>40476</v>
      </c>
      <c r="D202" s="81">
        <v>40476</v>
      </c>
      <c r="E202" s="37">
        <v>28601</v>
      </c>
      <c r="F202" s="37">
        <v>120</v>
      </c>
      <c r="G202" s="77">
        <v>8.6500000000000909</v>
      </c>
      <c r="H202" s="81">
        <v>91244</v>
      </c>
      <c r="I202" s="77">
        <v>760.36666666666667</v>
      </c>
      <c r="J202" s="168">
        <v>13.68</v>
      </c>
      <c r="K202" s="170">
        <f>_xlfn.XLOOKUP(A202,'[2]Rate Calculation'!$T:$T,'[2]Rate Calculation'!$BF:$BF)</f>
        <v>1.1668000000000001</v>
      </c>
    </row>
    <row r="203" spans="1:11" x14ac:dyDescent="0.25">
      <c r="A203">
        <v>1518088830</v>
      </c>
      <c r="B203" s="49">
        <v>0.68806161745827987</v>
      </c>
      <c r="C203" s="81">
        <v>43508</v>
      </c>
      <c r="D203" s="81">
        <v>43508</v>
      </c>
      <c r="E203" s="37">
        <v>27379</v>
      </c>
      <c r="F203" s="37">
        <v>157</v>
      </c>
      <c r="G203" s="77">
        <v>22.740000000000009</v>
      </c>
      <c r="H203" s="81">
        <v>49715.999999999993</v>
      </c>
      <c r="I203" s="77">
        <v>316.66242038216558</v>
      </c>
      <c r="J203" s="168">
        <v>13.68</v>
      </c>
      <c r="K203" s="170">
        <f>_xlfn.XLOOKUP(A203,'[2]Rate Calculation'!$T:$T,'[2]Rate Calculation'!$BF:$BF)</f>
        <v>1.1514</v>
      </c>
    </row>
    <row r="204" spans="1:11" x14ac:dyDescent="0.25">
      <c r="A204">
        <v>1518112036</v>
      </c>
      <c r="B204" s="49">
        <v>0.65</v>
      </c>
      <c r="C204" s="81">
        <v>46340</v>
      </c>
      <c r="D204" s="81">
        <v>46340</v>
      </c>
      <c r="E204" s="37">
        <v>27705</v>
      </c>
      <c r="F204" s="37">
        <v>138</v>
      </c>
      <c r="G204" s="77">
        <v>5.4800000000000182</v>
      </c>
      <c r="H204" s="81">
        <v>45517.328571428574</v>
      </c>
      <c r="I204" s="77">
        <v>329.83571428571429</v>
      </c>
      <c r="J204" s="168">
        <v>13.68</v>
      </c>
      <c r="K204" s="170">
        <f>_xlfn.XLOOKUP(A204,'[2]Rate Calculation'!$T:$T,'[2]Rate Calculation'!$BF:$BF)</f>
        <v>1.0835999999999999</v>
      </c>
    </row>
    <row r="205" spans="1:11" x14ac:dyDescent="0.25">
      <c r="A205">
        <v>1518435650</v>
      </c>
      <c r="B205" s="49">
        <v>0.69454307606054944</v>
      </c>
      <c r="C205" s="81">
        <v>27240</v>
      </c>
      <c r="D205" s="81">
        <v>29768.263473053888</v>
      </c>
      <c r="E205" s="37">
        <v>28212</v>
      </c>
      <c r="F205" s="37">
        <v>120</v>
      </c>
      <c r="G205" s="77">
        <v>9.8099999999999454</v>
      </c>
      <c r="H205" s="81">
        <v>83990</v>
      </c>
      <c r="I205" s="77">
        <v>699.91666666666663</v>
      </c>
      <c r="J205" s="168">
        <v>13.68</v>
      </c>
      <c r="K205" s="170">
        <f>_xlfn.XLOOKUP(A205,'[2]Rate Calculation'!$T:$T,'[2]Rate Calculation'!$BF:$BF)</f>
        <v>1.1121000000000001</v>
      </c>
    </row>
    <row r="206" spans="1:11" x14ac:dyDescent="0.25">
      <c r="A206">
        <v>1518968890</v>
      </c>
      <c r="B206" s="49">
        <v>0.69984948357294852</v>
      </c>
      <c r="C206" s="81">
        <v>17912</v>
      </c>
      <c r="D206" s="81">
        <v>17912</v>
      </c>
      <c r="E206" s="37">
        <v>27235</v>
      </c>
      <c r="F206" s="37">
        <v>60</v>
      </c>
      <c r="G206" s="77">
        <v>11.950000000000045</v>
      </c>
      <c r="H206" s="81">
        <v>0</v>
      </c>
      <c r="I206" s="77">
        <v>0</v>
      </c>
      <c r="J206" s="168">
        <v>0</v>
      </c>
      <c r="K206" s="170">
        <f>_xlfn.XLOOKUP(A206,'[2]Rate Calculation'!$T:$T,'[2]Rate Calculation'!$BF:$BF)</f>
        <v>0.97870000000000001</v>
      </c>
    </row>
    <row r="207" spans="1:11" x14ac:dyDescent="0.25">
      <c r="A207">
        <v>1528040888</v>
      </c>
      <c r="B207" s="49">
        <v>0.39681545096015625</v>
      </c>
      <c r="C207" s="81">
        <v>40000</v>
      </c>
      <c r="D207" s="81">
        <v>40000</v>
      </c>
      <c r="E207" s="37">
        <v>28359</v>
      </c>
      <c r="F207" s="37">
        <v>115</v>
      </c>
      <c r="G207" s="77">
        <v>8</v>
      </c>
      <c r="H207" s="81">
        <v>0</v>
      </c>
      <c r="I207" s="77">
        <v>0</v>
      </c>
      <c r="J207" s="168">
        <v>13.68</v>
      </c>
      <c r="K207" s="170">
        <f>_xlfn.XLOOKUP(A207,'[2]Rate Calculation'!$T:$T,'[2]Rate Calculation'!$BF:$BF)</f>
        <v>1.0041</v>
      </c>
    </row>
    <row r="208" spans="1:11" x14ac:dyDescent="0.25">
      <c r="A208">
        <v>1528044294</v>
      </c>
      <c r="B208" s="49">
        <v>0.6709896422665157</v>
      </c>
      <c r="C208" s="81">
        <v>30361</v>
      </c>
      <c r="D208" s="81">
        <v>30361</v>
      </c>
      <c r="E208" s="37">
        <v>28786</v>
      </c>
      <c r="F208" s="37">
        <v>90</v>
      </c>
      <c r="G208" s="77">
        <v>18.099999999999909</v>
      </c>
      <c r="H208" s="81">
        <v>42841.028416779431</v>
      </c>
      <c r="I208" s="77">
        <v>476.01142685310481</v>
      </c>
      <c r="J208" s="168">
        <v>13.68</v>
      </c>
      <c r="K208" s="170">
        <f>_xlfn.XLOOKUP(A208,'[2]Rate Calculation'!$T:$T,'[2]Rate Calculation'!$BF:$BF)</f>
        <v>1.2141</v>
      </c>
    </row>
    <row r="209" spans="1:11" x14ac:dyDescent="0.25">
      <c r="A209">
        <v>1528505757</v>
      </c>
      <c r="B209" s="49">
        <v>0.60272314674735239</v>
      </c>
      <c r="C209" s="81">
        <v>15666</v>
      </c>
      <c r="D209" s="81">
        <v>15666</v>
      </c>
      <c r="E209" s="37">
        <v>27874</v>
      </c>
      <c r="F209" s="37">
        <v>62</v>
      </c>
      <c r="G209" s="77">
        <v>17.029999999999973</v>
      </c>
      <c r="H209" s="81">
        <v>16419</v>
      </c>
      <c r="I209" s="77">
        <v>264.82258064516128</v>
      </c>
      <c r="J209" s="168">
        <v>13.68</v>
      </c>
      <c r="K209" s="170">
        <f>_xlfn.XLOOKUP(A209,'[2]Rate Calculation'!$T:$T,'[2]Rate Calculation'!$BF:$BF)</f>
        <v>1.1616</v>
      </c>
    </row>
    <row r="210" spans="1:11" x14ac:dyDescent="0.25">
      <c r="A210">
        <v>1528544145</v>
      </c>
      <c r="B210" s="49">
        <v>0.59949551569506732</v>
      </c>
      <c r="C210" s="81">
        <v>32720</v>
      </c>
      <c r="D210" s="81">
        <v>32720</v>
      </c>
      <c r="E210" s="37">
        <v>28374</v>
      </c>
      <c r="F210" s="37">
        <v>120</v>
      </c>
      <c r="G210" s="77">
        <v>18.710000000000036</v>
      </c>
      <c r="H210" s="81">
        <v>0</v>
      </c>
      <c r="I210" s="77">
        <v>0</v>
      </c>
      <c r="J210" s="168">
        <v>13.68</v>
      </c>
      <c r="K210" s="170">
        <f>_xlfn.XLOOKUP(A210,'[2]Rate Calculation'!$T:$T,'[2]Rate Calculation'!$BF:$BF)</f>
        <v>1.3976</v>
      </c>
    </row>
    <row r="211" spans="1:11" x14ac:dyDescent="0.25">
      <c r="A211">
        <v>1528606225</v>
      </c>
      <c r="B211" s="49">
        <v>0.56609670895385178</v>
      </c>
      <c r="C211" s="81">
        <v>36013</v>
      </c>
      <c r="D211" s="81">
        <v>36013</v>
      </c>
      <c r="E211" s="37">
        <v>28659</v>
      </c>
      <c r="F211" s="37">
        <v>111</v>
      </c>
      <c r="G211" s="77">
        <v>5.6099999999999</v>
      </c>
      <c r="H211" s="81">
        <v>54034.8</v>
      </c>
      <c r="I211" s="77">
        <v>486.8</v>
      </c>
      <c r="J211" s="168">
        <v>13.68</v>
      </c>
      <c r="K211" s="170">
        <f>_xlfn.XLOOKUP(A211,'[2]Rate Calculation'!$T:$T,'[2]Rate Calculation'!$BF:$BF)</f>
        <v>1.4124000000000001</v>
      </c>
    </row>
    <row r="212" spans="1:11" x14ac:dyDescent="0.25">
      <c r="A212">
        <v>1538113014</v>
      </c>
      <c r="B212" s="49">
        <v>0.66964868139036438</v>
      </c>
      <c r="C212" s="81">
        <v>36749</v>
      </c>
      <c r="D212" s="81">
        <v>36749</v>
      </c>
      <c r="E212" s="37">
        <v>28472</v>
      </c>
      <c r="F212" s="37">
        <v>107</v>
      </c>
      <c r="G212" s="77">
        <v>15.730000000000018</v>
      </c>
      <c r="H212" s="81">
        <v>55077.152477253607</v>
      </c>
      <c r="I212" s="77">
        <v>514.7397427780711</v>
      </c>
      <c r="J212" s="168">
        <v>13.68</v>
      </c>
      <c r="K212" s="170">
        <f>_xlfn.XLOOKUP(A212,'[2]Rate Calculation'!$T:$T,'[2]Rate Calculation'!$BF:$BF)</f>
        <v>1.1274</v>
      </c>
    </row>
    <row r="213" spans="1:11" x14ac:dyDescent="0.25">
      <c r="A213">
        <v>1538137468</v>
      </c>
      <c r="B213" s="49">
        <v>0.25893715221337638</v>
      </c>
      <c r="C213" s="81">
        <v>12915</v>
      </c>
      <c r="D213" s="81">
        <v>12915</v>
      </c>
      <c r="E213" s="37">
        <v>28425</v>
      </c>
      <c r="F213" s="37">
        <v>43</v>
      </c>
      <c r="G213" s="77">
        <v>25.480000000000018</v>
      </c>
      <c r="H213" s="81">
        <v>0</v>
      </c>
      <c r="I213" s="77">
        <v>0</v>
      </c>
      <c r="J213" s="168">
        <v>13.68</v>
      </c>
      <c r="K213" s="170">
        <f>_xlfn.XLOOKUP(A213,'[2]Rate Calculation'!$T:$T,'[2]Rate Calculation'!$BF:$BF)</f>
        <v>1.0668</v>
      </c>
    </row>
    <row r="214" spans="1:11" x14ac:dyDescent="0.25">
      <c r="A214">
        <v>1548206907</v>
      </c>
      <c r="B214" s="49">
        <v>0.60210814979861171</v>
      </c>
      <c r="C214" s="81">
        <v>31238</v>
      </c>
      <c r="D214" s="81">
        <v>31238</v>
      </c>
      <c r="E214" s="37">
        <v>28709</v>
      </c>
      <c r="F214" s="37">
        <v>120</v>
      </c>
      <c r="G214" s="77">
        <v>3.3299999999999272</v>
      </c>
      <c r="H214" s="81">
        <v>50892</v>
      </c>
      <c r="I214" s="77">
        <v>424.1</v>
      </c>
      <c r="J214" s="168">
        <v>13.68</v>
      </c>
      <c r="K214" s="170">
        <f>_xlfn.XLOOKUP(A214,'[2]Rate Calculation'!$T:$T,'[2]Rate Calculation'!$BF:$BF)</f>
        <v>1.1195999999999999</v>
      </c>
    </row>
    <row r="215" spans="1:11" x14ac:dyDescent="0.25">
      <c r="A215">
        <v>1548230188</v>
      </c>
      <c r="B215" s="49">
        <v>0.73550907258064513</v>
      </c>
      <c r="C215" s="81">
        <v>30432</v>
      </c>
      <c r="D215" s="81">
        <v>30432</v>
      </c>
      <c r="E215" s="37">
        <v>27407</v>
      </c>
      <c r="F215" s="37">
        <v>88</v>
      </c>
      <c r="G215" s="77">
        <v>22</v>
      </c>
      <c r="H215" s="81">
        <v>0</v>
      </c>
      <c r="I215" s="77">
        <v>0</v>
      </c>
      <c r="J215" s="168">
        <v>0</v>
      </c>
      <c r="K215" s="170">
        <f>_xlfn.XLOOKUP(A215,'[2]Rate Calculation'!$T:$T,'[2]Rate Calculation'!$BF:$BF)</f>
        <v>0.92410000000000003</v>
      </c>
    </row>
    <row r="216" spans="1:11" x14ac:dyDescent="0.25">
      <c r="A216">
        <v>1548293988</v>
      </c>
      <c r="B216" s="49">
        <v>0.53779697624190059</v>
      </c>
      <c r="C216" s="81">
        <v>17081</v>
      </c>
      <c r="D216" s="81">
        <v>17081</v>
      </c>
      <c r="E216" s="37">
        <v>28732</v>
      </c>
      <c r="F216" s="37">
        <v>50</v>
      </c>
      <c r="G216" s="77">
        <v>6.8199999999999363</v>
      </c>
      <c r="H216" s="81">
        <v>34781</v>
      </c>
      <c r="I216" s="77">
        <v>695.62</v>
      </c>
      <c r="J216" s="168">
        <v>13.68</v>
      </c>
      <c r="K216" s="170">
        <f>_xlfn.XLOOKUP(A216,'[2]Rate Calculation'!$T:$T,'[2]Rate Calculation'!$BF:$BF)</f>
        <v>1.4946999999999999</v>
      </c>
    </row>
    <row r="217" spans="1:11" x14ac:dyDescent="0.25">
      <c r="A217">
        <v>1548696834</v>
      </c>
      <c r="B217" s="49">
        <v>0.63252549621669041</v>
      </c>
      <c r="C217" s="81">
        <v>18059</v>
      </c>
      <c r="D217" s="81">
        <v>18059</v>
      </c>
      <c r="E217" s="37">
        <v>28374</v>
      </c>
      <c r="F217" s="37">
        <v>60</v>
      </c>
      <c r="G217" s="77">
        <v>18.339999999999918</v>
      </c>
      <c r="H217" s="81">
        <v>34857.427555781251</v>
      </c>
      <c r="I217" s="77">
        <v>580.95712592968755</v>
      </c>
      <c r="J217" s="168">
        <v>0</v>
      </c>
      <c r="K217" s="170">
        <f>_xlfn.XLOOKUP(A217,'[2]Rate Calculation'!$T:$T,'[2]Rate Calculation'!$BF:$BF)</f>
        <v>1.1686000000000001</v>
      </c>
    </row>
    <row r="218" spans="1:11" x14ac:dyDescent="0.25">
      <c r="A218">
        <v>1548770423</v>
      </c>
      <c r="B218" s="49">
        <v>0.55437893531768745</v>
      </c>
      <c r="C218" s="81">
        <v>21348</v>
      </c>
      <c r="D218" s="81">
        <v>21348</v>
      </c>
      <c r="E218" s="37">
        <v>28461</v>
      </c>
      <c r="F218" s="37">
        <v>99</v>
      </c>
      <c r="G218" s="77">
        <v>22.099999999999909</v>
      </c>
      <c r="H218" s="81">
        <v>38820.450025726779</v>
      </c>
      <c r="I218" s="77">
        <v>392.12575783562403</v>
      </c>
      <c r="J218" s="168">
        <v>13.68</v>
      </c>
      <c r="K218" s="170">
        <f>_xlfn.XLOOKUP(A218,'[2]Rate Calculation'!$T:$T,'[2]Rate Calculation'!$BF:$BF)</f>
        <v>1.0185999999999999</v>
      </c>
    </row>
    <row r="219" spans="1:11" x14ac:dyDescent="0.25">
      <c r="A219">
        <v>1558391250</v>
      </c>
      <c r="B219" s="49">
        <v>0.5733275694369393</v>
      </c>
      <c r="C219" s="81">
        <v>17860</v>
      </c>
      <c r="D219" s="81">
        <v>17860</v>
      </c>
      <c r="E219" s="37">
        <v>27874</v>
      </c>
      <c r="F219" s="37">
        <v>60</v>
      </c>
      <c r="G219" s="77">
        <v>27.6400000000001</v>
      </c>
      <c r="H219" s="81">
        <v>30440.402732527589</v>
      </c>
      <c r="I219" s="77">
        <v>507.34004554212646</v>
      </c>
      <c r="J219" s="168">
        <v>13.68</v>
      </c>
      <c r="K219" s="170">
        <f>_xlfn.XLOOKUP(A219,'[2]Rate Calculation'!$T:$T,'[2]Rate Calculation'!$BF:$BF)</f>
        <v>1.1789000000000001</v>
      </c>
    </row>
    <row r="220" spans="1:11" x14ac:dyDescent="0.25">
      <c r="A220">
        <v>1558393835</v>
      </c>
      <c r="B220" s="49">
        <v>0.59677419354838712</v>
      </c>
      <c r="C220" s="81">
        <v>31592</v>
      </c>
      <c r="D220" s="81">
        <v>31592</v>
      </c>
      <c r="E220" s="37">
        <v>28540</v>
      </c>
      <c r="F220" s="37">
        <v>120</v>
      </c>
      <c r="G220" s="77">
        <v>23.460000000000036</v>
      </c>
      <c r="H220" s="81">
        <v>43828</v>
      </c>
      <c r="I220" s="77">
        <v>365.23333333333335</v>
      </c>
      <c r="J220" s="168">
        <v>13.68</v>
      </c>
      <c r="K220" s="170">
        <f>_xlfn.XLOOKUP(A220,'[2]Rate Calculation'!$T:$T,'[2]Rate Calculation'!$BF:$BF)</f>
        <v>1.1499999999999999</v>
      </c>
    </row>
    <row r="221" spans="1:11" x14ac:dyDescent="0.25">
      <c r="A221">
        <v>1558872333</v>
      </c>
      <c r="B221" s="49">
        <v>0.65</v>
      </c>
      <c r="C221" s="81">
        <v>25554</v>
      </c>
      <c r="D221" s="81">
        <v>25554</v>
      </c>
      <c r="E221" s="37">
        <v>28420</v>
      </c>
      <c r="F221" s="37">
        <v>100</v>
      </c>
      <c r="G221" s="77">
        <v>2.7599999999999909</v>
      </c>
      <c r="H221" s="81">
        <v>64400</v>
      </c>
      <c r="I221" s="77">
        <v>644</v>
      </c>
      <c r="J221" s="168">
        <v>13.68</v>
      </c>
      <c r="K221" s="170">
        <f>_xlfn.XLOOKUP(A221,'[2]Rate Calculation'!$T:$T,'[2]Rate Calculation'!$BF:$BF)</f>
        <v>1.0947</v>
      </c>
    </row>
    <row r="222" spans="1:11" x14ac:dyDescent="0.25">
      <c r="A222">
        <v>1568454262</v>
      </c>
      <c r="B222" s="49">
        <v>0.58736034459550412</v>
      </c>
      <c r="C222" s="81">
        <v>32560</v>
      </c>
      <c r="D222" s="81">
        <v>32560</v>
      </c>
      <c r="E222" s="37">
        <v>27106</v>
      </c>
      <c r="F222" s="37">
        <v>100</v>
      </c>
      <c r="G222" s="77">
        <v>4.5399999999999636</v>
      </c>
      <c r="H222" s="81">
        <v>0</v>
      </c>
      <c r="I222" s="77">
        <v>0</v>
      </c>
      <c r="J222" s="168">
        <v>0</v>
      </c>
      <c r="K222" s="170">
        <f>_xlfn.XLOOKUP(A222,'[2]Rate Calculation'!$T:$T,'[2]Rate Calculation'!$BF:$BF)</f>
        <v>1.0652999999999999</v>
      </c>
    </row>
    <row r="223" spans="1:11" x14ac:dyDescent="0.25">
      <c r="A223">
        <v>1578013876</v>
      </c>
      <c r="B223" s="49">
        <v>0.62301225564671325</v>
      </c>
      <c r="C223" s="81">
        <v>29859</v>
      </c>
      <c r="D223" s="81">
        <v>29859</v>
      </c>
      <c r="E223" s="37">
        <v>28739</v>
      </c>
      <c r="F223" s="37">
        <v>150</v>
      </c>
      <c r="G223" s="77">
        <v>33.5</v>
      </c>
      <c r="H223" s="81">
        <v>38870</v>
      </c>
      <c r="I223" s="77">
        <v>259.13333333333333</v>
      </c>
      <c r="J223" s="168">
        <v>13.68</v>
      </c>
      <c r="K223" s="170">
        <f>_xlfn.XLOOKUP(A223,'[2]Rate Calculation'!$T:$T,'[2]Rate Calculation'!$BF:$BF)</f>
        <v>1.1637</v>
      </c>
    </row>
    <row r="224" spans="1:11" x14ac:dyDescent="0.25">
      <c r="A224">
        <v>1578059085</v>
      </c>
      <c r="B224" s="49">
        <v>0.61728872558499326</v>
      </c>
      <c r="C224" s="81">
        <v>20911</v>
      </c>
      <c r="D224" s="81">
        <v>20911</v>
      </c>
      <c r="E224" s="37">
        <v>28804</v>
      </c>
      <c r="F224" s="37">
        <v>77</v>
      </c>
      <c r="G224" s="77">
        <v>25.960000000000036</v>
      </c>
      <c r="H224" s="81">
        <v>30026</v>
      </c>
      <c r="I224" s="77">
        <v>389.94805194805195</v>
      </c>
      <c r="J224" s="168">
        <v>13.68</v>
      </c>
      <c r="K224" s="170">
        <f>_xlfn.XLOOKUP(A224,'[2]Rate Calculation'!$T:$T,'[2]Rate Calculation'!$BF:$BF)</f>
        <v>1.0069999999999999</v>
      </c>
    </row>
    <row r="225" spans="1:11" x14ac:dyDescent="0.25">
      <c r="A225">
        <v>1578683439</v>
      </c>
      <c r="B225" s="49">
        <v>0.66532423769211801</v>
      </c>
      <c r="C225" s="81">
        <v>41413</v>
      </c>
      <c r="D225" s="81">
        <v>41413</v>
      </c>
      <c r="E225" s="37">
        <v>27713</v>
      </c>
      <c r="F225" s="37">
        <v>140</v>
      </c>
      <c r="G225" s="77">
        <v>7.3499999999999091</v>
      </c>
      <c r="H225" s="81">
        <v>60484</v>
      </c>
      <c r="I225" s="77">
        <v>432.02857142857141</v>
      </c>
      <c r="J225" s="168">
        <v>13.68</v>
      </c>
      <c r="K225" s="170">
        <f>_xlfn.XLOOKUP(A225,'[2]Rate Calculation'!$T:$T,'[2]Rate Calculation'!$BF:$BF)</f>
        <v>1.2688999999999999</v>
      </c>
    </row>
    <row r="226" spans="1:11" x14ac:dyDescent="0.25">
      <c r="A226">
        <v>1578715504</v>
      </c>
      <c r="B226" s="49">
        <v>0.74766748931559623</v>
      </c>
      <c r="C226" s="81">
        <v>52411</v>
      </c>
      <c r="D226" s="81">
        <v>41859.989059080966</v>
      </c>
      <c r="E226" s="37">
        <v>28731</v>
      </c>
      <c r="F226" s="37">
        <v>130</v>
      </c>
      <c r="G226" s="77">
        <v>13.130000000000109</v>
      </c>
      <c r="H226" s="81">
        <v>50470</v>
      </c>
      <c r="I226" s="77">
        <v>388.23076923076923</v>
      </c>
      <c r="J226" s="168">
        <v>7.18</v>
      </c>
      <c r="K226" s="170">
        <f>_xlfn.XLOOKUP(A226,'[2]Rate Calculation'!$T:$T,'[2]Rate Calculation'!$BF:$BF)</f>
        <v>1.5018</v>
      </c>
    </row>
    <row r="227" spans="1:11" x14ac:dyDescent="0.25">
      <c r="A227">
        <v>1588219828</v>
      </c>
      <c r="B227" s="49">
        <v>0.64852303243131593</v>
      </c>
      <c r="C227" s="81">
        <v>26916</v>
      </c>
      <c r="D227" s="81">
        <v>26916</v>
      </c>
      <c r="E227" s="37">
        <v>28337</v>
      </c>
      <c r="F227" s="37">
        <v>94</v>
      </c>
      <c r="G227" s="77">
        <v>33.5</v>
      </c>
      <c r="H227" s="81">
        <v>52816</v>
      </c>
      <c r="I227" s="77">
        <v>561.87234042553189</v>
      </c>
      <c r="J227" s="168">
        <v>13.68</v>
      </c>
      <c r="K227" s="170">
        <f>_xlfn.XLOOKUP(A227,'[2]Rate Calculation'!$T:$T,'[2]Rate Calculation'!$BF:$BF)</f>
        <v>1.1581999999999999</v>
      </c>
    </row>
    <row r="228" spans="1:11" x14ac:dyDescent="0.25">
      <c r="A228">
        <v>1588618045</v>
      </c>
      <c r="B228" s="49">
        <v>0.59929011769101437</v>
      </c>
      <c r="C228" s="81">
        <v>17491</v>
      </c>
      <c r="D228" s="81">
        <v>17491</v>
      </c>
      <c r="E228" s="37">
        <v>28342</v>
      </c>
      <c r="F228" s="37">
        <v>58</v>
      </c>
      <c r="G228" s="77">
        <v>33.5</v>
      </c>
      <c r="H228" s="81">
        <v>17305</v>
      </c>
      <c r="I228" s="77">
        <v>298.36206896551727</v>
      </c>
      <c r="J228" s="168">
        <v>13.68</v>
      </c>
      <c r="K228" s="170">
        <f>_xlfn.XLOOKUP(A228,'[2]Rate Calculation'!$T:$T,'[2]Rate Calculation'!$BF:$BF)</f>
        <v>1.3056000000000001</v>
      </c>
    </row>
    <row r="229" spans="1:11" x14ac:dyDescent="0.25">
      <c r="A229">
        <v>1588642102</v>
      </c>
      <c r="B229" s="49">
        <v>0.67825768667642761</v>
      </c>
      <c r="C229" s="81">
        <v>37381</v>
      </c>
      <c r="D229" s="81">
        <v>37381</v>
      </c>
      <c r="E229" s="37">
        <v>27370</v>
      </c>
      <c r="F229" s="37">
        <v>128</v>
      </c>
      <c r="G229" s="77">
        <v>11.160000000000082</v>
      </c>
      <c r="H229" s="81">
        <v>0</v>
      </c>
      <c r="I229" s="77">
        <v>0</v>
      </c>
      <c r="J229" s="168">
        <v>13.68</v>
      </c>
      <c r="K229" s="170">
        <f>_xlfn.XLOOKUP(A229,'[2]Rate Calculation'!$T:$T,'[2]Rate Calculation'!$BF:$BF)</f>
        <v>1.3089999999999999</v>
      </c>
    </row>
    <row r="230" spans="1:11" x14ac:dyDescent="0.25">
      <c r="A230">
        <v>1588805014</v>
      </c>
      <c r="B230" s="49">
        <v>0.65</v>
      </c>
      <c r="C230" s="81">
        <v>32747</v>
      </c>
      <c r="D230" s="81">
        <v>32747</v>
      </c>
      <c r="E230" s="37">
        <v>27526</v>
      </c>
      <c r="F230" s="37">
        <v>100</v>
      </c>
      <c r="G230" s="77">
        <v>6</v>
      </c>
      <c r="H230" s="81">
        <v>54066</v>
      </c>
      <c r="I230" s="77">
        <v>540.66</v>
      </c>
      <c r="J230" s="168">
        <v>13.68</v>
      </c>
      <c r="K230" s="170">
        <f>_xlfn.XLOOKUP(A230,'[2]Rate Calculation'!$T:$T,'[2]Rate Calculation'!$BF:$BF)</f>
        <v>1.2648999999999999</v>
      </c>
    </row>
    <row r="231" spans="1:11" x14ac:dyDescent="0.25">
      <c r="A231">
        <v>1598127276</v>
      </c>
      <c r="B231" s="49">
        <v>0.50628399924967171</v>
      </c>
      <c r="C231" s="81">
        <v>21942</v>
      </c>
      <c r="D231" s="81">
        <v>21942</v>
      </c>
      <c r="E231" s="37">
        <v>27869</v>
      </c>
      <c r="F231" s="37">
        <v>69</v>
      </c>
      <c r="G231" s="77">
        <v>12</v>
      </c>
      <c r="H231" s="81">
        <v>28496</v>
      </c>
      <c r="I231" s="77">
        <v>412.98550724637681</v>
      </c>
      <c r="J231" s="168">
        <v>13.68</v>
      </c>
      <c r="K231" s="170">
        <f>_xlfn.XLOOKUP(A231,'[2]Rate Calculation'!$T:$T,'[2]Rate Calculation'!$BF:$BF)</f>
        <v>1.2665</v>
      </c>
    </row>
    <row r="232" spans="1:11" x14ac:dyDescent="0.25">
      <c r="A232">
        <v>1598233645</v>
      </c>
      <c r="B232" s="49">
        <v>0.64995637344332513</v>
      </c>
      <c r="C232" s="81">
        <v>12655</v>
      </c>
      <c r="D232" s="81">
        <v>13829.565868263471</v>
      </c>
      <c r="E232" s="37">
        <v>28112</v>
      </c>
      <c r="F232" s="37">
        <v>60</v>
      </c>
      <c r="G232" s="77">
        <v>13.019999999999982</v>
      </c>
      <c r="H232" s="81">
        <v>33543.132337747724</v>
      </c>
      <c r="I232" s="77">
        <v>559.05220562912871</v>
      </c>
      <c r="J232" s="168">
        <v>13.68</v>
      </c>
      <c r="K232" s="170">
        <f>_xlfn.XLOOKUP(A232,'[2]Rate Calculation'!$T:$T,'[2]Rate Calculation'!$BF:$BF)</f>
        <v>1.1124000000000001</v>
      </c>
    </row>
    <row r="233" spans="1:11" x14ac:dyDescent="0.25">
      <c r="A233">
        <v>1598262198</v>
      </c>
      <c r="B233" s="49">
        <v>0.68664535606464216</v>
      </c>
      <c r="C233" s="81">
        <v>36120</v>
      </c>
      <c r="D233" s="81">
        <v>36120</v>
      </c>
      <c r="E233" s="37">
        <v>27292</v>
      </c>
      <c r="F233" s="37">
        <v>106</v>
      </c>
      <c r="G233" s="77">
        <v>12.029999999999973</v>
      </c>
      <c r="H233" s="81">
        <v>51368</v>
      </c>
      <c r="I233" s="77">
        <v>484.60377358490564</v>
      </c>
      <c r="J233" s="168">
        <v>13.68</v>
      </c>
      <c r="K233" s="170">
        <f>_xlfn.XLOOKUP(A233,'[2]Rate Calculation'!$T:$T,'[2]Rate Calculation'!$BF:$BF)</f>
        <v>1.2445999999999999</v>
      </c>
    </row>
    <row r="234" spans="1:11" x14ac:dyDescent="0.25">
      <c r="A234">
        <v>1598704504</v>
      </c>
      <c r="B234" s="49">
        <v>0.66161394900552006</v>
      </c>
      <c r="C234" s="81">
        <v>32398</v>
      </c>
      <c r="D234" s="81">
        <v>32398</v>
      </c>
      <c r="E234" s="37">
        <v>28712</v>
      </c>
      <c r="F234" s="37">
        <v>110</v>
      </c>
      <c r="G234" s="77">
        <v>7.2400000000000091</v>
      </c>
      <c r="H234" s="81">
        <v>37828</v>
      </c>
      <c r="I234" s="77">
        <v>343.89090909090908</v>
      </c>
      <c r="J234" s="168">
        <v>13.68</v>
      </c>
      <c r="K234" s="170">
        <f>_xlfn.XLOOKUP(A234,'[2]Rate Calculation'!$T:$T,'[2]Rate Calculation'!$BF:$BF)</f>
        <v>1.0822000000000001</v>
      </c>
    </row>
    <row r="235" spans="1:11" x14ac:dyDescent="0.25">
      <c r="A235">
        <v>1598710949</v>
      </c>
      <c r="B235" s="49">
        <v>0.60576838783203291</v>
      </c>
      <c r="C235" s="81">
        <v>33405</v>
      </c>
      <c r="D235" s="81">
        <v>33405</v>
      </c>
      <c r="E235" s="37">
        <v>28803</v>
      </c>
      <c r="F235" s="37">
        <v>98</v>
      </c>
      <c r="G235" s="77">
        <v>14.190000000000055</v>
      </c>
      <c r="H235" s="81">
        <v>0</v>
      </c>
      <c r="I235" s="77">
        <v>0</v>
      </c>
      <c r="J235" s="168">
        <v>13.68</v>
      </c>
      <c r="K235" s="170">
        <f>_xlfn.XLOOKUP(A235,'[2]Rate Calculation'!$T:$T,'[2]Rate Calculation'!$BF:$BF)</f>
        <v>1.1682999999999999</v>
      </c>
    </row>
    <row r="236" spans="1:11" x14ac:dyDescent="0.25">
      <c r="A236">
        <v>1609124155</v>
      </c>
      <c r="B236" s="49">
        <v>0.5840784790346385</v>
      </c>
      <c r="C236" s="81">
        <v>32139</v>
      </c>
      <c r="D236" s="81">
        <v>32139</v>
      </c>
      <c r="E236" s="37">
        <v>27546</v>
      </c>
      <c r="F236" s="37">
        <v>96</v>
      </c>
      <c r="G236" s="77">
        <v>7.6800000000000637</v>
      </c>
      <c r="H236" s="81">
        <v>53500</v>
      </c>
      <c r="I236" s="77">
        <v>557.29166666666663</v>
      </c>
      <c r="J236" s="168">
        <v>13.68</v>
      </c>
      <c r="K236" s="170">
        <f>_xlfn.XLOOKUP(A236,'[2]Rate Calculation'!$T:$T,'[2]Rate Calculation'!$BF:$BF)</f>
        <v>1.1545000000000001</v>
      </c>
    </row>
    <row r="237" spans="1:11" x14ac:dyDescent="0.25">
      <c r="A237">
        <v>1609852375</v>
      </c>
      <c r="B237" s="49">
        <v>0.62217175540415504</v>
      </c>
      <c r="C237" s="81">
        <v>36985</v>
      </c>
      <c r="D237" s="81">
        <v>36985</v>
      </c>
      <c r="E237" s="37">
        <v>28752</v>
      </c>
      <c r="F237" s="37">
        <v>110</v>
      </c>
      <c r="G237" s="77">
        <v>32.3599999999999</v>
      </c>
      <c r="H237" s="81">
        <v>37900.498753117208</v>
      </c>
      <c r="I237" s="77">
        <v>344.54998866470191</v>
      </c>
      <c r="J237" s="168">
        <v>13.68</v>
      </c>
      <c r="K237" s="170">
        <f>_xlfn.XLOOKUP(A237,'[2]Rate Calculation'!$T:$T,'[2]Rate Calculation'!$BF:$BF)</f>
        <v>1.1242000000000001</v>
      </c>
    </row>
    <row r="238" spans="1:11" x14ac:dyDescent="0.25">
      <c r="A238">
        <v>1609976901</v>
      </c>
      <c r="B238" s="49">
        <v>0.5474925846726908</v>
      </c>
      <c r="C238" s="81">
        <v>19358</v>
      </c>
      <c r="D238" s="81">
        <v>19358</v>
      </c>
      <c r="E238" s="37">
        <v>28021</v>
      </c>
      <c r="F238" s="37">
        <v>54</v>
      </c>
      <c r="G238" s="77">
        <v>6.4000000000000909</v>
      </c>
      <c r="H238" s="81">
        <v>31499.509494745678</v>
      </c>
      <c r="I238" s="77">
        <v>583.32424990269772</v>
      </c>
      <c r="J238" s="168">
        <v>13.68</v>
      </c>
      <c r="K238" s="170">
        <f>_xlfn.XLOOKUP(A238,'[2]Rate Calculation'!$T:$T,'[2]Rate Calculation'!$BF:$BF)</f>
        <v>1.2728999999999999</v>
      </c>
    </row>
    <row r="239" spans="1:11" x14ac:dyDescent="0.25">
      <c r="A239">
        <v>1609996552</v>
      </c>
      <c r="B239" s="49">
        <v>0.53859863052246504</v>
      </c>
      <c r="C239" s="81">
        <v>13196</v>
      </c>
      <c r="D239" s="81">
        <v>13196</v>
      </c>
      <c r="E239" s="37">
        <v>28466</v>
      </c>
      <c r="F239" s="37">
        <v>80</v>
      </c>
      <c r="G239" s="77">
        <v>2</v>
      </c>
      <c r="H239" s="81">
        <v>26759</v>
      </c>
      <c r="I239" s="77">
        <v>334.48750000000001</v>
      </c>
      <c r="J239" s="168">
        <v>13.68</v>
      </c>
      <c r="K239" s="170">
        <f>_xlfn.XLOOKUP(A239,'[2]Rate Calculation'!$T:$T,'[2]Rate Calculation'!$BF:$BF)</f>
        <v>1.2314000000000001</v>
      </c>
    </row>
    <row r="240" spans="1:11" x14ac:dyDescent="0.25">
      <c r="A240">
        <v>1619099520</v>
      </c>
      <c r="B240" s="49">
        <v>0.64501121541912432</v>
      </c>
      <c r="C240" s="81">
        <v>28844</v>
      </c>
      <c r="D240" s="81">
        <v>28844</v>
      </c>
      <c r="E240" s="37">
        <v>28601</v>
      </c>
      <c r="F240" s="37">
        <v>104</v>
      </c>
      <c r="G240" s="77">
        <v>15.369999999999891</v>
      </c>
      <c r="H240" s="81">
        <v>31740</v>
      </c>
      <c r="I240" s="77">
        <v>305.19230769230768</v>
      </c>
      <c r="J240" s="168">
        <v>13.68</v>
      </c>
      <c r="K240" s="170">
        <f>_xlfn.XLOOKUP(A240,'[2]Rate Calculation'!$T:$T,'[2]Rate Calculation'!$BF:$BF)</f>
        <v>1.2241</v>
      </c>
    </row>
    <row r="241" spans="1:11" x14ac:dyDescent="0.25">
      <c r="A241">
        <v>1619908977</v>
      </c>
      <c r="B241" s="49">
        <v>0.6249279657528608</v>
      </c>
      <c r="C241" s="81">
        <v>28945</v>
      </c>
      <c r="D241" s="81">
        <v>28945</v>
      </c>
      <c r="E241" s="37">
        <v>27406</v>
      </c>
      <c r="F241" s="37">
        <v>120</v>
      </c>
      <c r="G241" s="77">
        <v>31.230000000000018</v>
      </c>
      <c r="H241" s="81">
        <v>33081</v>
      </c>
      <c r="I241" s="77">
        <v>275.67500000000001</v>
      </c>
      <c r="J241" s="168">
        <v>13.68</v>
      </c>
      <c r="K241" s="170">
        <f>_xlfn.XLOOKUP(A241,'[2]Rate Calculation'!$T:$T,'[2]Rate Calculation'!$BF:$BF)</f>
        <v>1.2369000000000001</v>
      </c>
    </row>
    <row r="242" spans="1:11" x14ac:dyDescent="0.25">
      <c r="A242">
        <v>1629016340</v>
      </c>
      <c r="B242" s="49">
        <v>0.67948307166506461</v>
      </c>
      <c r="C242" s="81">
        <v>25189</v>
      </c>
      <c r="D242" s="81">
        <v>25189</v>
      </c>
      <c r="E242" s="37">
        <v>27055</v>
      </c>
      <c r="F242" s="37">
        <v>76</v>
      </c>
      <c r="G242" s="77">
        <v>24.599999999999909</v>
      </c>
      <c r="H242" s="81">
        <v>27199</v>
      </c>
      <c r="I242" s="77">
        <v>357.88157894736844</v>
      </c>
      <c r="J242" s="168">
        <v>13.68</v>
      </c>
      <c r="K242" s="170">
        <f>_xlfn.XLOOKUP(A242,'[2]Rate Calculation'!$T:$T,'[2]Rate Calculation'!$BF:$BF)</f>
        <v>1.1845000000000001</v>
      </c>
    </row>
    <row r="243" spans="1:11" x14ac:dyDescent="0.25">
      <c r="A243">
        <v>1629047279</v>
      </c>
      <c r="B243" s="49">
        <v>0.6263408820023838</v>
      </c>
      <c r="C243" s="81">
        <v>32479</v>
      </c>
      <c r="D243" s="81">
        <v>32479</v>
      </c>
      <c r="E243" s="37">
        <v>27021</v>
      </c>
      <c r="F243" s="37">
        <v>96</v>
      </c>
      <c r="G243" s="77">
        <v>24.420000000000073</v>
      </c>
      <c r="H243" s="81">
        <v>25874.399999999998</v>
      </c>
      <c r="I243" s="77">
        <v>269.52499999999998</v>
      </c>
      <c r="J243" s="168">
        <v>13.68</v>
      </c>
      <c r="K243" s="170">
        <f>_xlfn.XLOOKUP(A243,'[2]Rate Calculation'!$T:$T,'[2]Rate Calculation'!$BF:$BF)</f>
        <v>1.3745000000000001</v>
      </c>
    </row>
    <row r="244" spans="1:11" x14ac:dyDescent="0.25">
      <c r="A244">
        <v>1629198577</v>
      </c>
      <c r="B244" s="49">
        <v>0.68181818181818188</v>
      </c>
      <c r="C244" s="81">
        <v>38774</v>
      </c>
      <c r="D244" s="81">
        <v>38774</v>
      </c>
      <c r="E244" s="37">
        <v>28787</v>
      </c>
      <c r="F244" s="37">
        <v>122</v>
      </c>
      <c r="G244" s="77">
        <v>19.940000000000055</v>
      </c>
      <c r="H244" s="81">
        <v>43084.97794140206</v>
      </c>
      <c r="I244" s="77">
        <v>353.15555689673818</v>
      </c>
      <c r="J244" s="168">
        <v>13.68</v>
      </c>
      <c r="K244" s="170">
        <f>_xlfn.XLOOKUP(A244,'[2]Rate Calculation'!$T:$T,'[2]Rate Calculation'!$BF:$BF)</f>
        <v>1.2562</v>
      </c>
    </row>
    <row r="245" spans="1:11" x14ac:dyDescent="0.25">
      <c r="A245">
        <v>1629425491</v>
      </c>
      <c r="B245" s="49">
        <v>0.73463177115033473</v>
      </c>
      <c r="C245" s="81">
        <v>45002</v>
      </c>
      <c r="D245" s="81">
        <v>45002</v>
      </c>
      <c r="E245" s="37">
        <v>28139</v>
      </c>
      <c r="F245" s="37">
        <v>136</v>
      </c>
      <c r="G245" s="77">
        <v>32.980000000000018</v>
      </c>
      <c r="H245" s="81">
        <v>0</v>
      </c>
      <c r="I245" s="77">
        <v>0</v>
      </c>
      <c r="J245" s="168">
        <v>13.68</v>
      </c>
      <c r="K245" s="170">
        <f>_xlfn.XLOOKUP(A245,'[2]Rate Calculation'!$T:$T,'[2]Rate Calculation'!$BF:$BF)</f>
        <v>1.2562</v>
      </c>
    </row>
    <row r="246" spans="1:11" x14ac:dyDescent="0.25">
      <c r="A246">
        <v>1629494059</v>
      </c>
      <c r="B246" s="49">
        <v>0.5833480021123042</v>
      </c>
      <c r="C246" s="81">
        <v>34685</v>
      </c>
      <c r="D246" s="81">
        <v>34685</v>
      </c>
      <c r="E246" s="37">
        <v>28092</v>
      </c>
      <c r="F246" s="37">
        <v>120</v>
      </c>
      <c r="G246" s="77">
        <v>26.230000000000018</v>
      </c>
      <c r="H246" s="81">
        <v>34287</v>
      </c>
      <c r="I246" s="77">
        <v>285.72500000000002</v>
      </c>
      <c r="J246" s="168">
        <v>13.68</v>
      </c>
      <c r="K246" s="170">
        <f>_xlfn.XLOOKUP(A246,'[2]Rate Calculation'!$T:$T,'[2]Rate Calculation'!$BF:$BF)</f>
        <v>1.3465</v>
      </c>
    </row>
    <row r="247" spans="1:11" x14ac:dyDescent="0.25">
      <c r="A247">
        <v>1629511597</v>
      </c>
      <c r="B247" s="49">
        <v>0.57244590523144345</v>
      </c>
      <c r="C247" s="81">
        <v>13494</v>
      </c>
      <c r="D247" s="81">
        <v>13494</v>
      </c>
      <c r="E247" s="37">
        <v>27016</v>
      </c>
      <c r="F247" s="37">
        <v>40</v>
      </c>
      <c r="G247" s="77">
        <v>33.5</v>
      </c>
      <c r="H247" s="81">
        <v>25352</v>
      </c>
      <c r="I247" s="77">
        <v>633.79999999999995</v>
      </c>
      <c r="J247" s="168">
        <v>13.68</v>
      </c>
      <c r="K247" s="170">
        <f>_xlfn.XLOOKUP(A247,'[2]Rate Calculation'!$T:$T,'[2]Rate Calculation'!$BF:$BF)</f>
        <v>0.86719999999999997</v>
      </c>
    </row>
    <row r="248" spans="1:11" x14ac:dyDescent="0.25">
      <c r="A248">
        <v>1629515499</v>
      </c>
      <c r="B248" s="49">
        <v>0.65242956308697431</v>
      </c>
      <c r="C248" s="81">
        <v>32672</v>
      </c>
      <c r="D248" s="81">
        <v>32672</v>
      </c>
      <c r="E248" s="37">
        <v>27021</v>
      </c>
      <c r="F248" s="37">
        <v>96</v>
      </c>
      <c r="G248" s="77">
        <v>25.1400000000001</v>
      </c>
      <c r="H248" s="81">
        <v>50218.114602587797</v>
      </c>
      <c r="I248" s="77">
        <v>523.10536044362289</v>
      </c>
      <c r="J248" s="168">
        <v>13.68</v>
      </c>
      <c r="K248" s="170">
        <f>_xlfn.XLOOKUP(A248,'[2]Rate Calculation'!$T:$T,'[2]Rate Calculation'!$BF:$BF)</f>
        <v>1.1675</v>
      </c>
    </row>
    <row r="249" spans="1:11" x14ac:dyDescent="0.25">
      <c r="A249">
        <v>1629535455</v>
      </c>
      <c r="B249" s="49">
        <v>0.64175257731958757</v>
      </c>
      <c r="C249" s="81">
        <v>28994</v>
      </c>
      <c r="D249" s="81">
        <v>28994</v>
      </c>
      <c r="E249" s="37">
        <v>28605</v>
      </c>
      <c r="F249" s="37">
        <v>92</v>
      </c>
      <c r="G249" s="77">
        <v>3.5499999999999545</v>
      </c>
      <c r="H249" s="81">
        <v>64259.722815478242</v>
      </c>
      <c r="I249" s="77">
        <v>698.4752479943287</v>
      </c>
      <c r="J249" s="168">
        <v>13.68</v>
      </c>
      <c r="K249" s="170">
        <f>_xlfn.XLOOKUP(A249,'[2]Rate Calculation'!$T:$T,'[2]Rate Calculation'!$BF:$BF)</f>
        <v>1.1574</v>
      </c>
    </row>
    <row r="250" spans="1:11" x14ac:dyDescent="0.25">
      <c r="A250">
        <v>1639122328</v>
      </c>
      <c r="B250" s="49">
        <v>0.56058095330928936</v>
      </c>
      <c r="C250" s="81">
        <v>22885</v>
      </c>
      <c r="D250" s="81">
        <v>22885</v>
      </c>
      <c r="E250" s="37">
        <v>28675</v>
      </c>
      <c r="F250" s="37">
        <v>90</v>
      </c>
      <c r="G250" s="77">
        <v>32.6099999999999</v>
      </c>
      <c r="H250" s="81">
        <v>30165</v>
      </c>
      <c r="I250" s="77">
        <v>335.16666666666669</v>
      </c>
      <c r="J250" s="168">
        <v>13.68</v>
      </c>
      <c r="K250" s="170">
        <f>_xlfn.XLOOKUP(A250,'[2]Rate Calculation'!$T:$T,'[2]Rate Calculation'!$BF:$BF)</f>
        <v>0.98409999999999997</v>
      </c>
    </row>
    <row r="251" spans="1:11" x14ac:dyDescent="0.25">
      <c r="A251">
        <v>1639153919</v>
      </c>
      <c r="B251" s="49">
        <v>0.5126190874143407</v>
      </c>
      <c r="C251" s="81">
        <v>20457</v>
      </c>
      <c r="D251" s="81">
        <v>20457</v>
      </c>
      <c r="E251" s="37">
        <v>28358</v>
      </c>
      <c r="F251" s="37">
        <v>62</v>
      </c>
      <c r="G251" s="77">
        <v>6.8099999999999454</v>
      </c>
      <c r="H251" s="81">
        <v>0</v>
      </c>
      <c r="I251" s="77">
        <v>0</v>
      </c>
      <c r="J251" s="168">
        <v>0</v>
      </c>
      <c r="K251" s="170">
        <f>_xlfn.XLOOKUP(A251,'[2]Rate Calculation'!$T:$T,'[2]Rate Calculation'!$BF:$BF)</f>
        <v>1.0633999999999999</v>
      </c>
    </row>
    <row r="252" spans="1:11" x14ac:dyDescent="0.25">
      <c r="A252">
        <v>1639155302</v>
      </c>
      <c r="B252" s="49">
        <v>0.64062628084269202</v>
      </c>
      <c r="C252" s="81">
        <v>26483</v>
      </c>
      <c r="D252" s="81">
        <v>26483</v>
      </c>
      <c r="E252" s="37">
        <v>28773</v>
      </c>
      <c r="F252" s="37">
        <v>99</v>
      </c>
      <c r="G252" s="77">
        <v>33.059999999999945</v>
      </c>
      <c r="H252" s="81">
        <v>38120</v>
      </c>
      <c r="I252" s="77">
        <v>385.05050505050502</v>
      </c>
      <c r="J252" s="168">
        <v>13.68</v>
      </c>
      <c r="K252" s="170">
        <f>_xlfn.XLOOKUP(A252,'[2]Rate Calculation'!$T:$T,'[2]Rate Calculation'!$BF:$BF)</f>
        <v>1.3771</v>
      </c>
    </row>
    <row r="253" spans="1:11" x14ac:dyDescent="0.25">
      <c r="A253">
        <v>1639299571</v>
      </c>
      <c r="B253" s="49">
        <v>0.63692734844979171</v>
      </c>
      <c r="C253" s="81">
        <v>32829</v>
      </c>
      <c r="D253" s="81">
        <v>32829</v>
      </c>
      <c r="E253" s="37">
        <v>27895</v>
      </c>
      <c r="F253" s="37">
        <v>99</v>
      </c>
      <c r="G253" s="77">
        <v>19.230000000000018</v>
      </c>
      <c r="H253" s="81">
        <v>34879</v>
      </c>
      <c r="I253" s="77">
        <v>352.31313131313129</v>
      </c>
      <c r="J253" s="168">
        <v>13.68</v>
      </c>
      <c r="K253" s="170">
        <f>_xlfn.XLOOKUP(A253,'[2]Rate Calculation'!$T:$T,'[2]Rate Calculation'!$BF:$BF)</f>
        <v>1.1329</v>
      </c>
    </row>
    <row r="254" spans="1:11" x14ac:dyDescent="0.25">
      <c r="A254">
        <v>1639556806</v>
      </c>
      <c r="B254" s="49">
        <v>0.59404220107571382</v>
      </c>
      <c r="C254" s="81">
        <v>38649</v>
      </c>
      <c r="D254" s="81">
        <v>38649</v>
      </c>
      <c r="E254" s="37">
        <v>27612</v>
      </c>
      <c r="F254" s="37">
        <v>134</v>
      </c>
      <c r="G254" s="77">
        <v>10.970000000000027</v>
      </c>
      <c r="H254" s="81">
        <v>50666</v>
      </c>
      <c r="I254" s="77">
        <v>378.1044776119403</v>
      </c>
      <c r="J254" s="168">
        <v>13.68</v>
      </c>
      <c r="K254" s="170">
        <f>_xlfn.XLOOKUP(A254,'[2]Rate Calculation'!$T:$T,'[2]Rate Calculation'!$BF:$BF)</f>
        <v>0.9</v>
      </c>
    </row>
    <row r="255" spans="1:11" x14ac:dyDescent="0.25">
      <c r="A255">
        <v>1639630452</v>
      </c>
      <c r="B255" s="49">
        <v>0.65653406314143292</v>
      </c>
      <c r="C255" s="81">
        <v>19313</v>
      </c>
      <c r="D255" s="81">
        <v>19313</v>
      </c>
      <c r="E255" s="37">
        <v>27917</v>
      </c>
      <c r="F255" s="37">
        <v>100</v>
      </c>
      <c r="G255" s="77">
        <v>1</v>
      </c>
      <c r="H255" s="81">
        <v>33600</v>
      </c>
      <c r="I255" s="77">
        <v>336</v>
      </c>
      <c r="J255" s="168">
        <v>13.68</v>
      </c>
      <c r="K255" s="170">
        <f>_xlfn.XLOOKUP(A255,'[2]Rate Calculation'!$T:$T,'[2]Rate Calculation'!$BF:$BF)</f>
        <v>1.1778999999999999</v>
      </c>
    </row>
    <row r="256" spans="1:11" x14ac:dyDescent="0.25">
      <c r="A256">
        <v>1649224056</v>
      </c>
      <c r="B256" s="49">
        <v>0.61208333333333331</v>
      </c>
      <c r="C256" s="81">
        <v>41199</v>
      </c>
      <c r="D256" s="81">
        <v>41199</v>
      </c>
      <c r="E256" s="37">
        <v>28365</v>
      </c>
      <c r="F256" s="37">
        <v>150</v>
      </c>
      <c r="G256" s="77">
        <v>33.5</v>
      </c>
      <c r="H256" s="81">
        <v>43407</v>
      </c>
      <c r="I256" s="77">
        <v>289.38</v>
      </c>
      <c r="J256" s="168">
        <v>13.68</v>
      </c>
      <c r="K256" s="170">
        <f>_xlfn.XLOOKUP(A256,'[2]Rate Calculation'!$T:$T,'[2]Rate Calculation'!$BF:$BF)</f>
        <v>1.0965</v>
      </c>
    </row>
    <row r="257" spans="1:11" x14ac:dyDescent="0.25">
      <c r="A257">
        <v>1649254582</v>
      </c>
      <c r="B257" s="49">
        <v>0.67675665848559219</v>
      </c>
      <c r="C257" s="81">
        <v>19746</v>
      </c>
      <c r="D257" s="81">
        <v>19746</v>
      </c>
      <c r="E257" s="37">
        <v>28562</v>
      </c>
      <c r="F257" s="37">
        <v>60</v>
      </c>
      <c r="G257" s="77">
        <v>6.7000000000000455</v>
      </c>
      <c r="H257" s="81">
        <v>44926.284594276753</v>
      </c>
      <c r="I257" s="77">
        <v>748.7714099046126</v>
      </c>
      <c r="J257" s="168">
        <v>13.68</v>
      </c>
      <c r="K257" s="170">
        <f>_xlfn.XLOOKUP(A257,'[2]Rate Calculation'!$T:$T,'[2]Rate Calculation'!$BF:$BF)</f>
        <v>1.1648000000000001</v>
      </c>
    </row>
    <row r="258" spans="1:11" x14ac:dyDescent="0.25">
      <c r="A258">
        <v>1649268335</v>
      </c>
      <c r="B258" s="49">
        <v>0.6406524711857785</v>
      </c>
      <c r="C258" s="81">
        <v>53238</v>
      </c>
      <c r="D258" s="81">
        <v>53238</v>
      </c>
      <c r="E258" s="37">
        <v>27577</v>
      </c>
      <c r="F258" s="37">
        <v>160</v>
      </c>
      <c r="G258" s="77">
        <v>32.539999999999964</v>
      </c>
      <c r="H258" s="81">
        <v>51442</v>
      </c>
      <c r="I258" s="77">
        <v>321.51249999999999</v>
      </c>
      <c r="J258" s="168">
        <v>7.18</v>
      </c>
      <c r="K258" s="170">
        <f>_xlfn.XLOOKUP(A258,'[2]Rate Calculation'!$T:$T,'[2]Rate Calculation'!$BF:$BF)</f>
        <v>1.2048000000000001</v>
      </c>
    </row>
    <row r="259" spans="1:11" x14ac:dyDescent="0.25">
      <c r="A259">
        <v>1649590498</v>
      </c>
      <c r="B259" s="49">
        <v>0.55530612244897959</v>
      </c>
      <c r="C259" s="81">
        <v>26787</v>
      </c>
      <c r="D259" s="81">
        <v>26787</v>
      </c>
      <c r="E259" s="37">
        <v>28557</v>
      </c>
      <c r="F259" s="37">
        <v>122</v>
      </c>
      <c r="G259" s="77">
        <v>30.970000000000027</v>
      </c>
      <c r="H259" s="81">
        <v>0</v>
      </c>
      <c r="I259" s="77">
        <v>0</v>
      </c>
      <c r="J259" s="168">
        <v>13.68</v>
      </c>
      <c r="K259" s="170">
        <f>_xlfn.XLOOKUP(A259,'[2]Rate Calculation'!$T:$T,'[2]Rate Calculation'!$BF:$BF)</f>
        <v>1.1688924274286907</v>
      </c>
    </row>
    <row r="260" spans="1:11" x14ac:dyDescent="0.25">
      <c r="A260">
        <v>1649685132</v>
      </c>
      <c r="B260" s="49">
        <v>0.59088370014523517</v>
      </c>
      <c r="C260" s="81">
        <v>35038</v>
      </c>
      <c r="D260" s="81">
        <v>35038</v>
      </c>
      <c r="E260" s="37">
        <v>27870</v>
      </c>
      <c r="F260" s="37">
        <v>108</v>
      </c>
      <c r="G260" s="77">
        <v>4.2400000000000091</v>
      </c>
      <c r="H260" s="81">
        <v>33173</v>
      </c>
      <c r="I260" s="77">
        <v>307.15740740740739</v>
      </c>
      <c r="J260" s="168">
        <v>13.68</v>
      </c>
      <c r="K260" s="170">
        <f>_xlfn.XLOOKUP(A260,'[2]Rate Calculation'!$T:$T,'[2]Rate Calculation'!$BF:$BF)</f>
        <v>1.1614</v>
      </c>
    </row>
    <row r="261" spans="1:11" x14ac:dyDescent="0.25">
      <c r="A261">
        <v>1659307395</v>
      </c>
      <c r="B261" s="49">
        <v>0.57830770647270047</v>
      </c>
      <c r="C261" s="81">
        <v>32451</v>
      </c>
      <c r="D261" s="81">
        <v>32451</v>
      </c>
      <c r="E261" s="37">
        <v>28563</v>
      </c>
      <c r="F261" s="37">
        <v>105</v>
      </c>
      <c r="G261" s="77">
        <v>23.200000000000045</v>
      </c>
      <c r="H261" s="81">
        <v>35165.390803068345</v>
      </c>
      <c r="I261" s="77">
        <v>334.90848383874612</v>
      </c>
      <c r="J261" s="168">
        <v>13.68</v>
      </c>
      <c r="K261" s="170">
        <f>_xlfn.XLOOKUP(A261,'[2]Rate Calculation'!$T:$T,'[2]Rate Calculation'!$BF:$BF)</f>
        <v>1.1327</v>
      </c>
    </row>
    <row r="262" spans="1:11" x14ac:dyDescent="0.25">
      <c r="A262">
        <v>1659319366</v>
      </c>
      <c r="B262" s="49">
        <v>0.66209515771705885</v>
      </c>
      <c r="C262" s="81">
        <v>28635</v>
      </c>
      <c r="D262" s="81">
        <v>28635</v>
      </c>
      <c r="E262" s="37">
        <v>27052</v>
      </c>
      <c r="F262" s="37">
        <v>90</v>
      </c>
      <c r="G262" s="77">
        <v>33.5</v>
      </c>
      <c r="H262" s="81">
        <v>26569.276048214153</v>
      </c>
      <c r="I262" s="77">
        <v>295.21417831349061</v>
      </c>
      <c r="J262" s="168">
        <v>13.68</v>
      </c>
      <c r="K262" s="170">
        <f>_xlfn.XLOOKUP(A262,'[2]Rate Calculation'!$T:$T,'[2]Rate Calculation'!$BF:$BF)</f>
        <v>1.2152000000000001</v>
      </c>
    </row>
    <row r="263" spans="1:11" x14ac:dyDescent="0.25">
      <c r="A263">
        <v>1659849701</v>
      </c>
      <c r="B263" s="49">
        <v>0.70793121600280751</v>
      </c>
      <c r="C263" s="81">
        <v>20191</v>
      </c>
      <c r="D263" s="81">
        <v>22065.014970059878</v>
      </c>
      <c r="E263" s="37">
        <v>28115</v>
      </c>
      <c r="F263" s="37">
        <v>131</v>
      </c>
      <c r="G263" s="77">
        <v>19.660000000000082</v>
      </c>
      <c r="H263" s="81">
        <v>47145</v>
      </c>
      <c r="I263" s="77">
        <v>359.8854961832061</v>
      </c>
      <c r="J263" s="168">
        <v>13.68</v>
      </c>
      <c r="K263" s="170">
        <f>_xlfn.XLOOKUP(A263,'[2]Rate Calculation'!$T:$T,'[2]Rate Calculation'!$BF:$BF)</f>
        <v>1.0799000000000001</v>
      </c>
    </row>
    <row r="264" spans="1:11" x14ac:dyDescent="0.25">
      <c r="A264">
        <v>1669023685</v>
      </c>
      <c r="B264" s="49">
        <v>0.71207109355714637</v>
      </c>
      <c r="C264" s="81">
        <v>35835</v>
      </c>
      <c r="D264" s="81">
        <v>35835</v>
      </c>
      <c r="E264" s="37">
        <v>28270</v>
      </c>
      <c r="F264" s="37">
        <v>124</v>
      </c>
      <c r="G264" s="77">
        <v>2</v>
      </c>
      <c r="H264" s="81">
        <v>0</v>
      </c>
      <c r="I264" s="77">
        <v>0</v>
      </c>
      <c r="J264" s="168">
        <v>13.68</v>
      </c>
      <c r="K264" s="170">
        <f>_xlfn.XLOOKUP(A264,'[2]Rate Calculation'!$T:$T,'[2]Rate Calculation'!$BF:$BF)</f>
        <v>1.1695</v>
      </c>
    </row>
    <row r="265" spans="1:11" x14ac:dyDescent="0.25">
      <c r="A265">
        <v>1669083291</v>
      </c>
      <c r="B265" s="49">
        <v>0.59079260479589968</v>
      </c>
      <c r="C265" s="81">
        <v>37917</v>
      </c>
      <c r="D265" s="81">
        <v>37917</v>
      </c>
      <c r="E265" s="37">
        <v>27892</v>
      </c>
      <c r="F265" s="37">
        <v>154</v>
      </c>
      <c r="G265" s="77">
        <v>33.5</v>
      </c>
      <c r="H265" s="81">
        <v>46609</v>
      </c>
      <c r="I265" s="77">
        <v>302.65584415584414</v>
      </c>
      <c r="J265" s="168">
        <v>13.68</v>
      </c>
      <c r="K265" s="170">
        <f>_xlfn.XLOOKUP(A265,'[2]Rate Calculation'!$T:$T,'[2]Rate Calculation'!$BF:$BF)</f>
        <v>1.0904</v>
      </c>
    </row>
    <row r="266" spans="1:11" x14ac:dyDescent="0.25">
      <c r="A266">
        <v>1669408969</v>
      </c>
      <c r="B266" s="49">
        <v>0.60996277817375466</v>
      </c>
      <c r="C266" s="81">
        <v>52036</v>
      </c>
      <c r="D266" s="81">
        <v>52036</v>
      </c>
      <c r="E266" s="37">
        <v>28262</v>
      </c>
      <c r="F266" s="37">
        <v>207</v>
      </c>
      <c r="G266" s="77">
        <v>13.509999999999991</v>
      </c>
      <c r="H266" s="81">
        <v>64810.078341013825</v>
      </c>
      <c r="I266" s="77">
        <v>313.09216589861751</v>
      </c>
      <c r="J266" s="168">
        <v>7.18</v>
      </c>
      <c r="K266" s="170">
        <f>_xlfn.XLOOKUP(A266,'[2]Rate Calculation'!$T:$T,'[2]Rate Calculation'!$BF:$BF)</f>
        <v>1.0262</v>
      </c>
    </row>
    <row r="267" spans="1:11" x14ac:dyDescent="0.25">
      <c r="A267">
        <v>1669410312</v>
      </c>
      <c r="B267" s="49">
        <v>0.65581888928192433</v>
      </c>
      <c r="C267" s="81">
        <v>33835</v>
      </c>
      <c r="D267" s="81">
        <v>33835</v>
      </c>
      <c r="E267" s="37">
        <v>28083</v>
      </c>
      <c r="F267" s="37">
        <v>107</v>
      </c>
      <c r="G267" s="77">
        <v>24.730000000000018</v>
      </c>
      <c r="H267" s="81">
        <v>40276</v>
      </c>
      <c r="I267" s="77">
        <v>376.41121495327104</v>
      </c>
      <c r="J267" s="168">
        <v>13.68</v>
      </c>
      <c r="K267" s="170">
        <f>_xlfn.XLOOKUP(A267,'[2]Rate Calculation'!$T:$T,'[2]Rate Calculation'!$BF:$BF)</f>
        <v>1.1589</v>
      </c>
    </row>
    <row r="268" spans="1:11" x14ac:dyDescent="0.25">
      <c r="A268">
        <v>1669425401</v>
      </c>
      <c r="B268" s="49">
        <v>0.62064448519779936</v>
      </c>
      <c r="C268" s="81">
        <v>32376</v>
      </c>
      <c r="D268" s="81">
        <v>32376</v>
      </c>
      <c r="E268" s="37">
        <v>27504</v>
      </c>
      <c r="F268" s="37">
        <v>100</v>
      </c>
      <c r="G268" s="77">
        <v>18.730000000000018</v>
      </c>
      <c r="H268" s="81">
        <v>56575.626634079803</v>
      </c>
      <c r="I268" s="77">
        <v>565.75626634079799</v>
      </c>
      <c r="J268" s="168">
        <v>13.68</v>
      </c>
      <c r="K268" s="170">
        <f>_xlfn.XLOOKUP(A268,'[2]Rate Calculation'!$T:$T,'[2]Rate Calculation'!$BF:$BF)</f>
        <v>1.0892999999999999</v>
      </c>
    </row>
    <row r="269" spans="1:11" x14ac:dyDescent="0.25">
      <c r="A269">
        <v>1669449799</v>
      </c>
      <c r="B269" s="49">
        <v>0.6569378657007523</v>
      </c>
      <c r="C269" s="81">
        <v>34436</v>
      </c>
      <c r="D269" s="81">
        <v>34436</v>
      </c>
      <c r="E269" s="37">
        <v>27215</v>
      </c>
      <c r="F269" s="37">
        <v>100</v>
      </c>
      <c r="G269" s="77">
        <v>5.2300000000000182</v>
      </c>
      <c r="H269" s="81">
        <v>125961.53846153845</v>
      </c>
      <c r="I269" s="77">
        <v>1259.6153846153845</v>
      </c>
      <c r="J269" s="168">
        <v>0</v>
      </c>
      <c r="K269" s="170">
        <f>_xlfn.XLOOKUP(A269,'[2]Rate Calculation'!$T:$T,'[2]Rate Calculation'!$BF:$BF)</f>
        <v>0.94540000000000002</v>
      </c>
    </row>
    <row r="270" spans="1:11" x14ac:dyDescent="0.25">
      <c r="A270">
        <v>1669613071</v>
      </c>
      <c r="B270" s="49">
        <v>0.65</v>
      </c>
      <c r="C270" s="81">
        <v>36650</v>
      </c>
      <c r="D270" s="81">
        <v>36650</v>
      </c>
      <c r="E270" s="37">
        <v>27282</v>
      </c>
      <c r="F270" s="37">
        <v>150</v>
      </c>
      <c r="G270" s="77">
        <v>12</v>
      </c>
      <c r="H270" s="81">
        <v>0</v>
      </c>
      <c r="I270" s="77">
        <v>0</v>
      </c>
      <c r="J270" s="168">
        <v>13.68</v>
      </c>
      <c r="K270" s="170">
        <f>_xlfn.XLOOKUP(A270,'[2]Rate Calculation'!$T:$T,'[2]Rate Calculation'!$BF:$BF)</f>
        <v>1.2724</v>
      </c>
    </row>
    <row r="271" spans="1:11" x14ac:dyDescent="0.25">
      <c r="A271">
        <v>1669821336</v>
      </c>
      <c r="B271" s="49">
        <v>0.68467216673903608</v>
      </c>
      <c r="C271" s="81">
        <v>65663</v>
      </c>
      <c r="D271" s="81">
        <v>65663</v>
      </c>
      <c r="E271" s="37">
        <v>27704</v>
      </c>
      <c r="F271" s="37">
        <v>232</v>
      </c>
      <c r="G271" s="77">
        <v>24.700000000000045</v>
      </c>
      <c r="H271" s="81">
        <v>0</v>
      </c>
      <c r="I271" s="77">
        <v>0</v>
      </c>
      <c r="J271" s="168">
        <v>7.18</v>
      </c>
      <c r="K271" s="170">
        <f>_xlfn.XLOOKUP(A271,'[2]Rate Calculation'!$T:$T,'[2]Rate Calculation'!$BF:$BF)</f>
        <v>1.1607000000000001</v>
      </c>
    </row>
    <row r="272" spans="1:11" x14ac:dyDescent="0.25">
      <c r="A272">
        <v>1669991865</v>
      </c>
      <c r="B272" s="49">
        <v>0.65375011560159069</v>
      </c>
      <c r="C272" s="81">
        <v>28608</v>
      </c>
      <c r="D272" s="81">
        <v>28608</v>
      </c>
      <c r="E272" s="37">
        <v>27012</v>
      </c>
      <c r="F272" s="37">
        <v>120</v>
      </c>
      <c r="G272" s="77">
        <v>33.5</v>
      </c>
      <c r="H272" s="81">
        <v>49074.893617021276</v>
      </c>
      <c r="I272" s="77">
        <v>408.95744680851061</v>
      </c>
      <c r="J272" s="168">
        <v>13.68</v>
      </c>
      <c r="K272" s="170">
        <f>_xlfn.XLOOKUP(A272,'[2]Rate Calculation'!$T:$T,'[2]Rate Calculation'!$BF:$BF)</f>
        <v>1.0694999999999999</v>
      </c>
    </row>
    <row r="273" spans="1:11" x14ac:dyDescent="0.25">
      <c r="A273">
        <v>1679555403</v>
      </c>
      <c r="B273" s="49">
        <v>0.68092125358910127</v>
      </c>
      <c r="C273" s="81">
        <v>23460</v>
      </c>
      <c r="D273" s="81">
        <v>23460</v>
      </c>
      <c r="E273" s="37">
        <v>28803</v>
      </c>
      <c r="F273" s="37">
        <v>70</v>
      </c>
      <c r="G273" s="77">
        <v>1.5099999999999909</v>
      </c>
      <c r="H273" s="81">
        <v>45943.370541791446</v>
      </c>
      <c r="I273" s="77">
        <v>656.33386488273493</v>
      </c>
      <c r="J273" s="168">
        <v>0</v>
      </c>
      <c r="K273" s="170">
        <f>_xlfn.XLOOKUP(A273,'[2]Rate Calculation'!$T:$T,'[2]Rate Calculation'!$BF:$BF)</f>
        <v>0.98839999999999995</v>
      </c>
    </row>
    <row r="274" spans="1:11" x14ac:dyDescent="0.25">
      <c r="A274">
        <v>1689147035</v>
      </c>
      <c r="B274" s="49">
        <v>0.65722934472934469</v>
      </c>
      <c r="C274" s="81">
        <v>25088</v>
      </c>
      <c r="D274" s="81">
        <v>27416.526946107781</v>
      </c>
      <c r="E274" s="37">
        <v>27401</v>
      </c>
      <c r="F274" s="37">
        <v>105</v>
      </c>
      <c r="G274" s="77">
        <v>29.430000000000064</v>
      </c>
      <c r="H274" s="81">
        <v>26785.279999999999</v>
      </c>
      <c r="I274" s="77">
        <v>255.09790476190474</v>
      </c>
      <c r="J274" s="168">
        <v>13.68</v>
      </c>
      <c r="K274" s="170">
        <f>_xlfn.XLOOKUP(A274,'[2]Rate Calculation'!$T:$T,'[2]Rate Calculation'!$BF:$BF)</f>
        <v>1.0524</v>
      </c>
    </row>
    <row r="275" spans="1:11" x14ac:dyDescent="0.25">
      <c r="A275">
        <v>1689603060</v>
      </c>
      <c r="B275" s="49">
        <v>0.66524045866849224</v>
      </c>
      <c r="C275" s="81">
        <v>32794</v>
      </c>
      <c r="D275" s="81">
        <v>32794</v>
      </c>
      <c r="E275" s="37">
        <v>28345</v>
      </c>
      <c r="F275" s="37">
        <v>105</v>
      </c>
      <c r="G275" s="77">
        <v>22.660000000000082</v>
      </c>
      <c r="H275" s="81">
        <v>34985.890631282673</v>
      </c>
      <c r="I275" s="77">
        <v>333.19895839316831</v>
      </c>
      <c r="J275" s="168">
        <v>13.68</v>
      </c>
      <c r="K275" s="170">
        <f>_xlfn.XLOOKUP(A275,'[2]Rate Calculation'!$T:$T,'[2]Rate Calculation'!$BF:$BF)</f>
        <v>1.2264999999999999</v>
      </c>
    </row>
    <row r="276" spans="1:11" x14ac:dyDescent="0.25">
      <c r="A276">
        <v>1689621880</v>
      </c>
      <c r="B276" s="49">
        <v>0.67566347716194253</v>
      </c>
      <c r="C276" s="81">
        <v>38241</v>
      </c>
      <c r="D276" s="81">
        <v>38241</v>
      </c>
      <c r="E276" s="37">
        <v>28213</v>
      </c>
      <c r="F276" s="37">
        <v>120</v>
      </c>
      <c r="G276" s="77">
        <v>24.230000000000018</v>
      </c>
      <c r="H276" s="81">
        <v>38556</v>
      </c>
      <c r="I276" s="77">
        <v>321.3</v>
      </c>
      <c r="J276" s="168">
        <v>13.68</v>
      </c>
      <c r="K276" s="170">
        <f>_xlfn.XLOOKUP(A276,'[2]Rate Calculation'!$T:$T,'[2]Rate Calculation'!$BF:$BF)</f>
        <v>1.1242000000000001</v>
      </c>
    </row>
    <row r="277" spans="1:11" x14ac:dyDescent="0.25">
      <c r="A277">
        <v>1689628141</v>
      </c>
      <c r="B277" s="49">
        <v>0.63935324746505884</v>
      </c>
      <c r="C277" s="81">
        <v>18318</v>
      </c>
      <c r="D277" s="81">
        <v>18318</v>
      </c>
      <c r="E277" s="37">
        <v>28472</v>
      </c>
      <c r="F277" s="37">
        <v>89</v>
      </c>
      <c r="G277" s="77">
        <v>11.039999999999964</v>
      </c>
      <c r="H277" s="81">
        <v>27565.983412322275</v>
      </c>
      <c r="I277" s="77">
        <v>309.73015070025031</v>
      </c>
      <c r="J277" s="168">
        <v>13.68</v>
      </c>
      <c r="K277" s="170">
        <f>_xlfn.XLOOKUP(A277,'[2]Rate Calculation'!$T:$T,'[2]Rate Calculation'!$BF:$BF)</f>
        <v>1.2423999999999999</v>
      </c>
    </row>
    <row r="278" spans="1:11" x14ac:dyDescent="0.25">
      <c r="A278">
        <v>1689640583</v>
      </c>
      <c r="B278" s="49">
        <v>0.62988315826743768</v>
      </c>
      <c r="C278" s="81">
        <v>26054</v>
      </c>
      <c r="D278" s="81">
        <v>26054</v>
      </c>
      <c r="E278" s="37">
        <v>28581</v>
      </c>
      <c r="F278" s="37">
        <v>144</v>
      </c>
      <c r="G278" s="77">
        <v>26.829999999999927</v>
      </c>
      <c r="H278" s="81">
        <v>54609.836065573771</v>
      </c>
      <c r="I278" s="77">
        <v>379.23497267759564</v>
      </c>
      <c r="J278" s="168">
        <v>13.68</v>
      </c>
      <c r="K278" s="170">
        <f>_xlfn.XLOOKUP(A278,'[2]Rate Calculation'!$T:$T,'[2]Rate Calculation'!$BF:$BF)</f>
        <v>1.4181999999999999</v>
      </c>
    </row>
    <row r="279" spans="1:11" x14ac:dyDescent="0.25">
      <c r="A279">
        <v>1689777971</v>
      </c>
      <c r="B279" s="49">
        <v>0.56379100850546782</v>
      </c>
      <c r="C279" s="81">
        <v>28146</v>
      </c>
      <c r="D279" s="81">
        <v>28146</v>
      </c>
      <c r="E279" s="37">
        <v>28349</v>
      </c>
      <c r="F279" s="37">
        <v>92</v>
      </c>
      <c r="G279" s="77">
        <v>32.380000000000109</v>
      </c>
      <c r="H279" s="81">
        <v>25500</v>
      </c>
      <c r="I279" s="77">
        <v>277.17391304347825</v>
      </c>
      <c r="J279" s="168">
        <v>13.68</v>
      </c>
      <c r="K279" s="170">
        <f>_xlfn.XLOOKUP(A279,'[2]Rate Calculation'!$T:$T,'[2]Rate Calculation'!$BF:$BF)</f>
        <v>1.3464</v>
      </c>
    </row>
    <row r="280" spans="1:11" x14ac:dyDescent="0.25">
      <c r="A280">
        <v>1699310839</v>
      </c>
      <c r="B280" s="49">
        <v>0.68138647617501424</v>
      </c>
      <c r="C280" s="81">
        <v>25111</v>
      </c>
      <c r="D280" s="81">
        <v>25111</v>
      </c>
      <c r="E280" s="37">
        <v>28139</v>
      </c>
      <c r="F280" s="37">
        <v>80</v>
      </c>
      <c r="G280" s="77">
        <v>15.6099999999999</v>
      </c>
      <c r="H280" s="81">
        <v>33469</v>
      </c>
      <c r="I280" s="77">
        <v>418.36250000000001</v>
      </c>
      <c r="J280" s="168">
        <v>13.68</v>
      </c>
      <c r="K280" s="170">
        <f>_xlfn.XLOOKUP(A280,'[2]Rate Calculation'!$T:$T,'[2]Rate Calculation'!$BF:$BF)</f>
        <v>1.1812</v>
      </c>
    </row>
    <row r="281" spans="1:11" x14ac:dyDescent="0.25">
      <c r="A281">
        <v>1699313544</v>
      </c>
      <c r="B281" s="49">
        <v>0.65055825449586635</v>
      </c>
      <c r="C281" s="81">
        <v>44043</v>
      </c>
      <c r="D281" s="81">
        <v>44043</v>
      </c>
      <c r="E281" s="37">
        <v>28115</v>
      </c>
      <c r="F281" s="37">
        <v>130</v>
      </c>
      <c r="G281" s="77">
        <v>11.230000000000018</v>
      </c>
      <c r="H281" s="81">
        <v>24819.52131974505</v>
      </c>
      <c r="I281" s="77">
        <v>190.91939476726961</v>
      </c>
      <c r="J281" s="168">
        <v>13.68</v>
      </c>
      <c r="K281" s="170">
        <f>_xlfn.XLOOKUP(A281,'[2]Rate Calculation'!$T:$T,'[2]Rate Calculation'!$BF:$BF)</f>
        <v>1.0186999999999999</v>
      </c>
    </row>
    <row r="282" spans="1:11" x14ac:dyDescent="0.25">
      <c r="A282">
        <v>1699336776</v>
      </c>
      <c r="B282" s="49">
        <v>0.5982431340872375</v>
      </c>
      <c r="C282" s="81">
        <v>6452</v>
      </c>
      <c r="D282" s="81">
        <v>6452</v>
      </c>
      <c r="E282" s="37">
        <v>28056</v>
      </c>
      <c r="F282" s="37">
        <v>50</v>
      </c>
      <c r="G282" s="77">
        <v>33.5</v>
      </c>
      <c r="H282" s="81">
        <v>0</v>
      </c>
      <c r="I282" s="77">
        <v>0</v>
      </c>
      <c r="J282" s="168">
        <v>13.68</v>
      </c>
      <c r="K282" s="170">
        <f>_xlfn.XLOOKUP(A282,'[2]Rate Calculation'!$T:$T,'[2]Rate Calculation'!$BF:$BF)</f>
        <v>1.0740000000000001</v>
      </c>
    </row>
    <row r="283" spans="1:11" x14ac:dyDescent="0.25">
      <c r="A283">
        <v>1699710293</v>
      </c>
      <c r="B283" s="49">
        <v>0.52836213373403462</v>
      </c>
      <c r="C283" s="81">
        <v>23326</v>
      </c>
      <c r="D283" s="81">
        <v>23326</v>
      </c>
      <c r="E283" s="37">
        <v>28532</v>
      </c>
      <c r="F283" s="37">
        <v>70</v>
      </c>
      <c r="G283" s="77">
        <v>13.190000000000055</v>
      </c>
      <c r="H283" s="81">
        <v>32602</v>
      </c>
      <c r="I283" s="77">
        <v>465.74285714285713</v>
      </c>
      <c r="J283" s="168">
        <v>13.68</v>
      </c>
      <c r="K283" s="170">
        <f>_xlfn.XLOOKUP(A283,'[2]Rate Calculation'!$T:$T,'[2]Rate Calculation'!$BF:$BF)</f>
        <v>1.2040999999999999</v>
      </c>
    </row>
    <row r="284" spans="1:11" x14ac:dyDescent="0.25">
      <c r="A284">
        <v>1699886085</v>
      </c>
      <c r="B284" s="49">
        <v>0.69079979090433874</v>
      </c>
      <c r="C284" s="81">
        <v>33667</v>
      </c>
      <c r="D284" s="81">
        <v>33667</v>
      </c>
      <c r="E284" s="37">
        <v>28303</v>
      </c>
      <c r="F284" s="37">
        <v>106</v>
      </c>
      <c r="G284" s="77">
        <v>18.980000000000018</v>
      </c>
      <c r="H284" s="81">
        <v>62214.991169641842</v>
      </c>
      <c r="I284" s="77">
        <v>586.93387895888532</v>
      </c>
      <c r="J284" s="168">
        <v>13.68</v>
      </c>
      <c r="K284" s="170">
        <f>_xlfn.XLOOKUP(A284,'[2]Rate Calculation'!$T:$T,'[2]Rate Calculation'!$BF:$BF)</f>
        <v>1.1840999999999999</v>
      </c>
    </row>
    <row r="285" spans="1:11" x14ac:dyDescent="0.25">
      <c r="A285">
        <v>1700812146</v>
      </c>
      <c r="B285" s="49">
        <v>0.61473909063167542</v>
      </c>
      <c r="C285" s="81">
        <v>31095</v>
      </c>
      <c r="D285" s="81">
        <v>31095</v>
      </c>
      <c r="E285" s="37">
        <v>27893</v>
      </c>
      <c r="F285" s="37">
        <v>95</v>
      </c>
      <c r="G285" s="77">
        <v>15.069999999999936</v>
      </c>
      <c r="H285" s="81">
        <v>32672.617388968087</v>
      </c>
      <c r="I285" s="77">
        <v>343.92228830492724</v>
      </c>
      <c r="J285" s="168">
        <v>13.68</v>
      </c>
      <c r="K285" s="170">
        <f>_xlfn.XLOOKUP(A285,'[2]Rate Calculation'!$T:$T,'[2]Rate Calculation'!$BF:$BF)</f>
        <v>1.1919999999999999</v>
      </c>
    </row>
    <row r="286" spans="1:11" x14ac:dyDescent="0.25">
      <c r="A286">
        <v>1700821865</v>
      </c>
      <c r="B286" s="49">
        <v>0.66094574059175826</v>
      </c>
      <c r="C286" s="81">
        <v>21027</v>
      </c>
      <c r="D286" s="81">
        <v>21027</v>
      </c>
      <c r="E286" s="37">
        <v>27263</v>
      </c>
      <c r="F286" s="37">
        <v>68</v>
      </c>
      <c r="G286" s="77">
        <v>20.589999999999918</v>
      </c>
      <c r="H286" s="81">
        <v>26352</v>
      </c>
      <c r="I286" s="77">
        <v>387.52941176470586</v>
      </c>
      <c r="J286" s="168">
        <v>13.68</v>
      </c>
      <c r="K286" s="170">
        <f>_xlfn.XLOOKUP(A286,'[2]Rate Calculation'!$T:$T,'[2]Rate Calculation'!$BF:$BF)</f>
        <v>1.2582</v>
      </c>
    </row>
    <row r="287" spans="1:11" x14ac:dyDescent="0.25">
      <c r="A287">
        <v>1700833233</v>
      </c>
      <c r="B287" s="49">
        <v>0.52213452299245022</v>
      </c>
      <c r="C287" s="81">
        <v>24231</v>
      </c>
      <c r="D287" s="81">
        <v>24231</v>
      </c>
      <c r="E287" s="37">
        <v>28075</v>
      </c>
      <c r="F287" s="37">
        <v>70</v>
      </c>
      <c r="G287" s="77">
        <v>5.0499999999999545</v>
      </c>
      <c r="H287" s="81">
        <v>32224</v>
      </c>
      <c r="I287" s="77">
        <v>460.34285714285716</v>
      </c>
      <c r="J287" s="168">
        <v>13.68</v>
      </c>
      <c r="K287" s="170">
        <f>_xlfn.XLOOKUP(A287,'[2]Rate Calculation'!$T:$T,'[2]Rate Calculation'!$BF:$BF)</f>
        <v>1.1718999999999999</v>
      </c>
    </row>
    <row r="288" spans="1:11" x14ac:dyDescent="0.25">
      <c r="A288">
        <v>1700874880</v>
      </c>
      <c r="B288" s="49">
        <v>0.65008322544849262</v>
      </c>
      <c r="C288" s="81">
        <v>18159</v>
      </c>
      <c r="D288" s="81">
        <v>18159</v>
      </c>
      <c r="E288" s="37">
        <v>28806</v>
      </c>
      <c r="F288" s="37">
        <v>100</v>
      </c>
      <c r="G288" s="77">
        <v>5.3499999999999091</v>
      </c>
      <c r="H288" s="81">
        <v>0</v>
      </c>
      <c r="I288" s="77">
        <v>0</v>
      </c>
      <c r="J288" s="168">
        <v>13.68</v>
      </c>
      <c r="K288" s="170">
        <f>_xlfn.XLOOKUP(A288,'[2]Rate Calculation'!$T:$T,'[2]Rate Calculation'!$BF:$BF)</f>
        <v>1.171</v>
      </c>
    </row>
    <row r="289" spans="1:11" x14ac:dyDescent="0.25">
      <c r="A289">
        <v>1710008669</v>
      </c>
      <c r="B289" s="49">
        <v>0.65656274056966901</v>
      </c>
      <c r="C289" s="81">
        <v>34021</v>
      </c>
      <c r="D289" s="81">
        <v>34021</v>
      </c>
      <c r="E289" s="37">
        <v>28777</v>
      </c>
      <c r="F289" s="37">
        <v>127</v>
      </c>
      <c r="G289" s="77">
        <v>30.950000000000045</v>
      </c>
      <c r="H289" s="81">
        <v>36079</v>
      </c>
      <c r="I289" s="77">
        <v>284.08661417322833</v>
      </c>
      <c r="J289" s="168">
        <v>13.68</v>
      </c>
      <c r="K289" s="170">
        <f>_xlfn.XLOOKUP(A289,'[2]Rate Calculation'!$T:$T,'[2]Rate Calculation'!$BF:$BF)</f>
        <v>1.0845</v>
      </c>
    </row>
    <row r="290" spans="1:11" x14ac:dyDescent="0.25">
      <c r="A290">
        <v>1710244827</v>
      </c>
      <c r="B290" s="49">
        <v>0.71878048780487802</v>
      </c>
      <c r="C290" s="81">
        <v>34278</v>
      </c>
      <c r="D290" s="81">
        <v>34278</v>
      </c>
      <c r="E290" s="37">
        <v>27105</v>
      </c>
      <c r="F290" s="37">
        <v>200</v>
      </c>
      <c r="G290" s="77">
        <v>3.9200000000000728</v>
      </c>
      <c r="H290" s="81">
        <v>132646.53333333333</v>
      </c>
      <c r="I290" s="77">
        <v>663.23266666666666</v>
      </c>
      <c r="J290" s="168">
        <v>13.68</v>
      </c>
      <c r="K290" s="170">
        <f>_xlfn.XLOOKUP(A290,'[2]Rate Calculation'!$T:$T,'[2]Rate Calculation'!$BF:$BF)</f>
        <v>1.3788</v>
      </c>
    </row>
    <row r="291" spans="1:11" x14ac:dyDescent="0.25">
      <c r="A291">
        <v>1710312079</v>
      </c>
      <c r="B291" s="49">
        <v>0.65</v>
      </c>
      <c r="C291" s="81">
        <v>31967</v>
      </c>
      <c r="D291" s="81">
        <v>31967</v>
      </c>
      <c r="E291" s="37">
        <v>28227</v>
      </c>
      <c r="F291" s="37">
        <v>120</v>
      </c>
      <c r="G291" s="77">
        <v>8.5</v>
      </c>
      <c r="H291" s="81">
        <v>66812</v>
      </c>
      <c r="I291" s="77">
        <v>556.76666666666665</v>
      </c>
      <c r="J291" s="168">
        <v>13.68</v>
      </c>
      <c r="K291" s="170">
        <f>_xlfn.XLOOKUP(A291,'[2]Rate Calculation'!$T:$T,'[2]Rate Calculation'!$BF:$BF)</f>
        <v>1.3083</v>
      </c>
    </row>
    <row r="292" spans="1:11" x14ac:dyDescent="0.25">
      <c r="A292">
        <v>1710537998</v>
      </c>
      <c r="B292" s="49">
        <v>0.71400730816077951</v>
      </c>
      <c r="C292" s="81">
        <v>40148</v>
      </c>
      <c r="D292" s="81">
        <v>40148</v>
      </c>
      <c r="E292" s="37">
        <v>28150</v>
      </c>
      <c r="F292" s="37">
        <v>120</v>
      </c>
      <c r="G292" s="77">
        <v>2</v>
      </c>
      <c r="H292" s="81">
        <v>0</v>
      </c>
      <c r="I292" s="77">
        <v>0</v>
      </c>
      <c r="J292" s="168">
        <v>13.68</v>
      </c>
      <c r="K292" s="170">
        <f>_xlfn.XLOOKUP(A292,'[2]Rate Calculation'!$T:$T,'[2]Rate Calculation'!$BF:$BF)</f>
        <v>1.0602</v>
      </c>
    </row>
    <row r="293" spans="1:11" x14ac:dyDescent="0.25">
      <c r="A293">
        <v>1710932355</v>
      </c>
      <c r="B293" s="49">
        <v>0.65147704007019602</v>
      </c>
      <c r="C293" s="81">
        <v>9983</v>
      </c>
      <c r="D293" s="81">
        <v>9983</v>
      </c>
      <c r="E293" s="37">
        <v>27886</v>
      </c>
      <c r="F293" s="37">
        <v>30</v>
      </c>
      <c r="G293" s="77">
        <v>2</v>
      </c>
      <c r="H293" s="81">
        <v>0</v>
      </c>
      <c r="I293" s="77">
        <v>0</v>
      </c>
      <c r="J293" s="168">
        <v>13.68</v>
      </c>
      <c r="K293" s="170">
        <f>_xlfn.XLOOKUP(A293,'[2]Rate Calculation'!$T:$T,'[2]Rate Calculation'!$BF:$BF)</f>
        <v>0.9647</v>
      </c>
    </row>
    <row r="294" spans="1:11" x14ac:dyDescent="0.25">
      <c r="A294">
        <v>1720033475</v>
      </c>
      <c r="B294" s="49">
        <v>0.68413351623228169</v>
      </c>
      <c r="C294" s="81">
        <v>39780</v>
      </c>
      <c r="D294" s="81">
        <v>39780</v>
      </c>
      <c r="E294" s="37">
        <v>28329</v>
      </c>
      <c r="F294" s="37">
        <v>212</v>
      </c>
      <c r="G294" s="77">
        <v>33.5</v>
      </c>
      <c r="H294" s="81">
        <v>63826.184634229132</v>
      </c>
      <c r="I294" s="77">
        <v>301.06690865202421</v>
      </c>
      <c r="J294" s="168">
        <v>13.68</v>
      </c>
      <c r="K294" s="170">
        <f>_xlfn.XLOOKUP(A294,'[2]Rate Calculation'!$T:$T,'[2]Rate Calculation'!$BF:$BF)</f>
        <v>1.2048000000000001</v>
      </c>
    </row>
    <row r="295" spans="1:11" x14ac:dyDescent="0.25">
      <c r="A295">
        <v>1720085293</v>
      </c>
      <c r="B295" s="49">
        <v>0.66422396047756282</v>
      </c>
      <c r="C295" s="81">
        <v>25712</v>
      </c>
      <c r="D295" s="81">
        <v>25712</v>
      </c>
      <c r="E295" s="37">
        <v>28450</v>
      </c>
      <c r="F295" s="37">
        <v>127</v>
      </c>
      <c r="G295" s="77">
        <v>32.730000000000018</v>
      </c>
      <c r="H295" s="81">
        <v>44849.588697017272</v>
      </c>
      <c r="I295" s="77">
        <v>353.1463676930494</v>
      </c>
      <c r="J295" s="168">
        <v>13.68</v>
      </c>
      <c r="K295" s="170">
        <f>_xlfn.XLOOKUP(A295,'[2]Rate Calculation'!$T:$T,'[2]Rate Calculation'!$BF:$BF)</f>
        <v>1.1996</v>
      </c>
    </row>
    <row r="296" spans="1:11" x14ac:dyDescent="0.25">
      <c r="A296">
        <v>1720088339</v>
      </c>
      <c r="B296" s="49">
        <v>0.62860023041474655</v>
      </c>
      <c r="C296" s="81">
        <v>37101</v>
      </c>
      <c r="D296" s="81">
        <v>37101</v>
      </c>
      <c r="E296" s="37">
        <v>27288</v>
      </c>
      <c r="F296" s="37">
        <v>121</v>
      </c>
      <c r="G296" s="77">
        <v>26.460000000000036</v>
      </c>
      <c r="H296" s="81">
        <v>0</v>
      </c>
      <c r="I296" s="77">
        <v>0</v>
      </c>
      <c r="J296" s="168">
        <v>13.68</v>
      </c>
      <c r="K296" s="170">
        <f>_xlfn.XLOOKUP(A296,'[2]Rate Calculation'!$T:$T,'[2]Rate Calculation'!$BF:$BF)</f>
        <v>1.0241</v>
      </c>
    </row>
    <row r="297" spans="1:11" x14ac:dyDescent="0.25">
      <c r="A297">
        <v>1720166838</v>
      </c>
      <c r="B297" s="49">
        <v>0.63598759048603937</v>
      </c>
      <c r="C297" s="81">
        <v>39495</v>
      </c>
      <c r="D297" s="81">
        <v>39495</v>
      </c>
      <c r="E297" s="37">
        <v>27886</v>
      </c>
      <c r="F297" s="37">
        <v>118</v>
      </c>
      <c r="G297" s="77">
        <v>24.970000000000027</v>
      </c>
      <c r="H297" s="81">
        <v>47225</v>
      </c>
      <c r="I297" s="77">
        <v>400.21186440677968</v>
      </c>
      <c r="J297" s="168">
        <v>13.68</v>
      </c>
      <c r="K297" s="170">
        <f>_xlfn.XLOOKUP(A297,'[2]Rate Calculation'!$T:$T,'[2]Rate Calculation'!$BF:$BF)</f>
        <v>1.1574</v>
      </c>
    </row>
    <row r="298" spans="1:11" x14ac:dyDescent="0.25">
      <c r="A298">
        <v>1730136128</v>
      </c>
      <c r="B298" s="49">
        <v>0.6020517204530883</v>
      </c>
      <c r="C298" s="81">
        <v>32591</v>
      </c>
      <c r="D298" s="81">
        <v>32591</v>
      </c>
      <c r="E298" s="37">
        <v>28645</v>
      </c>
      <c r="F298" s="37">
        <v>100</v>
      </c>
      <c r="G298" s="77">
        <v>27.3900000000001</v>
      </c>
      <c r="H298" s="81">
        <v>38383</v>
      </c>
      <c r="I298" s="77">
        <v>383.83</v>
      </c>
      <c r="J298" s="168">
        <v>13.68</v>
      </c>
      <c r="K298" s="170">
        <f>_xlfn.XLOOKUP(A298,'[2]Rate Calculation'!$T:$T,'[2]Rate Calculation'!$BF:$BF)</f>
        <v>1.1406000000000001</v>
      </c>
    </row>
    <row r="299" spans="1:11" x14ac:dyDescent="0.25">
      <c r="A299">
        <v>1730136250</v>
      </c>
      <c r="B299" s="49">
        <v>0.65</v>
      </c>
      <c r="C299" s="81">
        <v>51112</v>
      </c>
      <c r="D299" s="81">
        <v>51112</v>
      </c>
      <c r="E299" s="37">
        <v>27603</v>
      </c>
      <c r="F299" s="37">
        <v>150</v>
      </c>
      <c r="G299" s="77">
        <v>3.5199999999999818</v>
      </c>
      <c r="H299" s="81">
        <v>57695</v>
      </c>
      <c r="I299" s="77">
        <v>384.63333333333333</v>
      </c>
      <c r="J299" s="168">
        <v>7.18</v>
      </c>
      <c r="K299" s="170">
        <f>_xlfn.XLOOKUP(A299,'[2]Rate Calculation'!$T:$T,'[2]Rate Calculation'!$BF:$BF)</f>
        <v>1.1752</v>
      </c>
    </row>
    <row r="300" spans="1:11" x14ac:dyDescent="0.25">
      <c r="A300">
        <v>1730183625</v>
      </c>
      <c r="B300" s="49">
        <v>0.65</v>
      </c>
      <c r="C300" s="81">
        <v>12732</v>
      </c>
      <c r="D300" s="81">
        <v>12732</v>
      </c>
      <c r="E300" s="37">
        <v>27410</v>
      </c>
      <c r="F300" s="37">
        <v>40</v>
      </c>
      <c r="G300" s="77">
        <v>27</v>
      </c>
      <c r="H300" s="81">
        <v>0</v>
      </c>
      <c r="I300" s="77">
        <v>0</v>
      </c>
      <c r="J300" s="168">
        <v>0</v>
      </c>
      <c r="K300" s="170">
        <f>_xlfn.XLOOKUP(A300,'[2]Rate Calculation'!$T:$T,'[2]Rate Calculation'!$BF:$BF)</f>
        <v>0.89400000000000002</v>
      </c>
    </row>
    <row r="301" spans="1:11" x14ac:dyDescent="0.25">
      <c r="A301">
        <v>1730209677</v>
      </c>
      <c r="B301" s="49">
        <v>0.66094237865455574</v>
      </c>
      <c r="C301" s="81">
        <v>44584</v>
      </c>
      <c r="D301" s="81">
        <v>44584</v>
      </c>
      <c r="E301" s="37">
        <v>28602</v>
      </c>
      <c r="F301" s="37">
        <v>150</v>
      </c>
      <c r="G301" s="77">
        <v>24.259999999999991</v>
      </c>
      <c r="H301" s="81">
        <v>37101</v>
      </c>
      <c r="I301" s="77">
        <v>247.34</v>
      </c>
      <c r="J301" s="168">
        <v>13.68</v>
      </c>
      <c r="K301" s="170">
        <f>_xlfn.XLOOKUP(A301,'[2]Rate Calculation'!$T:$T,'[2]Rate Calculation'!$BF:$BF)</f>
        <v>1.2516</v>
      </c>
    </row>
    <row r="302" spans="1:11" x14ac:dyDescent="0.25">
      <c r="A302">
        <v>1730722240</v>
      </c>
      <c r="B302" s="49">
        <v>0.62325321408608159</v>
      </c>
      <c r="C302" s="81">
        <v>34411</v>
      </c>
      <c r="D302" s="81">
        <v>34411</v>
      </c>
      <c r="E302" s="37">
        <v>28687</v>
      </c>
      <c r="F302" s="37">
        <v>103</v>
      </c>
      <c r="G302" s="77">
        <v>6.5299999999999727</v>
      </c>
      <c r="H302" s="81">
        <v>57607.079646017693</v>
      </c>
      <c r="I302" s="77">
        <v>559.29203539823004</v>
      </c>
      <c r="J302" s="168">
        <v>13.68</v>
      </c>
      <c r="K302" s="170">
        <f>_xlfn.XLOOKUP(A302,'[2]Rate Calculation'!$T:$T,'[2]Rate Calculation'!$BF:$BF)</f>
        <v>1.2511000000000001</v>
      </c>
    </row>
    <row r="303" spans="1:11" x14ac:dyDescent="0.25">
      <c r="A303">
        <v>1740249382</v>
      </c>
      <c r="B303" s="49">
        <v>0.58285581539414588</v>
      </c>
      <c r="C303" s="81">
        <v>33363</v>
      </c>
      <c r="D303" s="81">
        <v>33363</v>
      </c>
      <c r="E303" s="37">
        <v>27203</v>
      </c>
      <c r="F303" s="37">
        <v>96</v>
      </c>
      <c r="G303" s="77">
        <v>5.5399999999999636</v>
      </c>
      <c r="H303" s="81">
        <v>68667</v>
      </c>
      <c r="I303" s="77">
        <v>715.28125</v>
      </c>
      <c r="J303" s="168">
        <v>13.68</v>
      </c>
      <c r="K303" s="170">
        <f>_xlfn.XLOOKUP(A303,'[2]Rate Calculation'!$T:$T,'[2]Rate Calculation'!$BF:$BF)</f>
        <v>1.0494000000000001</v>
      </c>
    </row>
    <row r="304" spans="1:11" x14ac:dyDescent="0.25">
      <c r="A304">
        <v>1740278126</v>
      </c>
      <c r="B304" s="49">
        <v>0.61163709899806973</v>
      </c>
      <c r="C304" s="81">
        <v>19308</v>
      </c>
      <c r="D304" s="81">
        <v>19308</v>
      </c>
      <c r="E304" s="37">
        <v>27536</v>
      </c>
      <c r="F304" s="37">
        <v>60</v>
      </c>
      <c r="G304" s="77">
        <v>32</v>
      </c>
      <c r="H304" s="81">
        <v>17598.563149617068</v>
      </c>
      <c r="I304" s="77">
        <v>293.30938582695114</v>
      </c>
      <c r="J304" s="168">
        <v>13.68</v>
      </c>
      <c r="K304" s="170">
        <f>_xlfn.XLOOKUP(A304,'[2]Rate Calculation'!$T:$T,'[2]Rate Calculation'!$BF:$BF)</f>
        <v>1.2823</v>
      </c>
    </row>
    <row r="305" spans="1:11" x14ac:dyDescent="0.25">
      <c r="A305">
        <v>1740300607</v>
      </c>
      <c r="B305" s="49">
        <v>0.66236275801493194</v>
      </c>
      <c r="C305" s="81">
        <v>28070</v>
      </c>
      <c r="D305" s="81">
        <v>28070</v>
      </c>
      <c r="E305" s="37">
        <v>28025</v>
      </c>
      <c r="F305" s="37">
        <v>90</v>
      </c>
      <c r="G305" s="77">
        <v>21.279999999999973</v>
      </c>
      <c r="H305" s="81">
        <v>35257</v>
      </c>
      <c r="I305" s="77">
        <v>391.74444444444447</v>
      </c>
      <c r="J305" s="168">
        <v>13.68</v>
      </c>
      <c r="K305" s="170">
        <f>_xlfn.XLOOKUP(A305,'[2]Rate Calculation'!$T:$T,'[2]Rate Calculation'!$BF:$BF)</f>
        <v>1.3207</v>
      </c>
    </row>
    <row r="306" spans="1:11" x14ac:dyDescent="0.25">
      <c r="A306">
        <v>1740301050</v>
      </c>
      <c r="B306" s="49">
        <v>0.67280203642059921</v>
      </c>
      <c r="C306" s="81">
        <v>39576</v>
      </c>
      <c r="D306" s="81">
        <v>39576</v>
      </c>
      <c r="E306" s="37">
        <v>28093</v>
      </c>
      <c r="F306" s="37">
        <v>117</v>
      </c>
      <c r="G306" s="77">
        <v>17.170000000000073</v>
      </c>
      <c r="H306" s="81">
        <v>47048.744777536624</v>
      </c>
      <c r="I306" s="77">
        <v>402.12602373962926</v>
      </c>
      <c r="J306" s="168">
        <v>13.68</v>
      </c>
      <c r="K306" s="170">
        <f>_xlfn.XLOOKUP(A306,'[2]Rate Calculation'!$T:$T,'[2]Rate Calculation'!$BF:$BF)</f>
        <v>1.2598</v>
      </c>
    </row>
    <row r="307" spans="1:11" x14ac:dyDescent="0.25">
      <c r="A307">
        <v>1740386473</v>
      </c>
      <c r="B307" s="49">
        <v>0.63990692262943571</v>
      </c>
      <c r="C307" s="81">
        <v>15533</v>
      </c>
      <c r="D307" s="81">
        <v>15533</v>
      </c>
      <c r="E307" s="37">
        <v>28645</v>
      </c>
      <c r="F307" s="37">
        <v>60</v>
      </c>
      <c r="G307" s="77">
        <v>1</v>
      </c>
      <c r="H307" s="81">
        <v>33020</v>
      </c>
      <c r="I307" s="77">
        <v>550.33333333333337</v>
      </c>
      <c r="J307" s="168">
        <v>13.68</v>
      </c>
      <c r="K307" s="170">
        <f>_xlfn.XLOOKUP(A307,'[2]Rate Calculation'!$T:$T,'[2]Rate Calculation'!$BF:$BF)</f>
        <v>0.89680000000000004</v>
      </c>
    </row>
    <row r="308" spans="1:11" x14ac:dyDescent="0.25">
      <c r="A308">
        <v>1750317897</v>
      </c>
      <c r="B308" s="49">
        <v>0.59634809634809638</v>
      </c>
      <c r="C308" s="81">
        <v>48173</v>
      </c>
      <c r="D308" s="81">
        <v>48173</v>
      </c>
      <c r="E308" s="37">
        <v>27889</v>
      </c>
      <c r="F308" s="37">
        <v>140</v>
      </c>
      <c r="G308" s="77">
        <v>20.160000000000082</v>
      </c>
      <c r="H308" s="81">
        <v>50098.111095564564</v>
      </c>
      <c r="I308" s="77">
        <v>357.84365068260405</v>
      </c>
      <c r="J308" s="168">
        <v>7.18</v>
      </c>
      <c r="K308" s="170">
        <f>_xlfn.XLOOKUP(A308,'[2]Rate Calculation'!$T:$T,'[2]Rate Calculation'!$BF:$BF)</f>
        <v>1.1023000000000001</v>
      </c>
    </row>
    <row r="309" spans="1:11" x14ac:dyDescent="0.25">
      <c r="A309">
        <v>1750418802</v>
      </c>
      <c r="B309" s="49">
        <v>0.62350702885530074</v>
      </c>
      <c r="C309" s="81">
        <v>30581</v>
      </c>
      <c r="D309" s="81">
        <v>30581</v>
      </c>
      <c r="E309" s="37">
        <v>27215</v>
      </c>
      <c r="F309" s="37">
        <v>105</v>
      </c>
      <c r="G309" s="77">
        <v>21</v>
      </c>
      <c r="H309" s="81">
        <v>0</v>
      </c>
      <c r="I309" s="77">
        <v>0</v>
      </c>
      <c r="J309" s="168">
        <v>0</v>
      </c>
      <c r="K309" s="170">
        <f>_xlfn.XLOOKUP(A309,'[2]Rate Calculation'!$T:$T,'[2]Rate Calculation'!$BF:$BF)</f>
        <v>1.1688924274286907</v>
      </c>
    </row>
    <row r="310" spans="1:11" x14ac:dyDescent="0.25">
      <c r="A310">
        <v>1750703278</v>
      </c>
      <c r="B310" s="49">
        <v>0.61913221728732493</v>
      </c>
      <c r="C310" s="81">
        <v>25920</v>
      </c>
      <c r="D310" s="81">
        <v>25920</v>
      </c>
      <c r="E310" s="37">
        <v>27893</v>
      </c>
      <c r="F310" s="37">
        <v>90</v>
      </c>
      <c r="G310" s="77">
        <v>16.1099999999999</v>
      </c>
      <c r="H310" s="81">
        <v>0</v>
      </c>
      <c r="I310" s="77">
        <v>0</v>
      </c>
      <c r="J310" s="168">
        <v>13.68</v>
      </c>
      <c r="K310" s="170">
        <f>_xlfn.XLOOKUP(A310,'[2]Rate Calculation'!$T:$T,'[2]Rate Calculation'!$BF:$BF)</f>
        <v>1.0911</v>
      </c>
    </row>
    <row r="311" spans="1:11" x14ac:dyDescent="0.25">
      <c r="A311">
        <v>1760032296</v>
      </c>
      <c r="B311" s="49">
        <v>0.54503360716952953</v>
      </c>
      <c r="C311" s="81">
        <v>30739</v>
      </c>
      <c r="D311" s="81">
        <v>30739</v>
      </c>
      <c r="E311" s="37">
        <v>27893</v>
      </c>
      <c r="F311" s="37">
        <v>110</v>
      </c>
      <c r="G311" s="77">
        <v>33.5</v>
      </c>
      <c r="H311" s="81">
        <v>30544</v>
      </c>
      <c r="I311" s="77">
        <v>277.67272727272729</v>
      </c>
      <c r="J311" s="168">
        <v>13.68</v>
      </c>
      <c r="K311" s="170">
        <f>_xlfn.XLOOKUP(A311,'[2]Rate Calculation'!$T:$T,'[2]Rate Calculation'!$BF:$BF)</f>
        <v>1.2266999999999999</v>
      </c>
    </row>
    <row r="312" spans="1:11" x14ac:dyDescent="0.25">
      <c r="A312">
        <v>1760415434</v>
      </c>
      <c r="B312" s="49">
        <v>0.53793909296720943</v>
      </c>
      <c r="C312" s="81">
        <v>24641</v>
      </c>
      <c r="D312" s="81">
        <v>24641</v>
      </c>
      <c r="E312" s="37">
        <v>28792</v>
      </c>
      <c r="F312" s="37">
        <v>80</v>
      </c>
      <c r="G312" s="77">
        <v>28</v>
      </c>
      <c r="H312" s="81">
        <v>38004</v>
      </c>
      <c r="I312" s="77">
        <v>475.05</v>
      </c>
      <c r="J312" s="168">
        <v>13.68</v>
      </c>
      <c r="K312" s="170">
        <f>_xlfn.XLOOKUP(A312,'[2]Rate Calculation'!$T:$T,'[2]Rate Calculation'!$BF:$BF)</f>
        <v>1.0844</v>
      </c>
    </row>
    <row r="313" spans="1:11" x14ac:dyDescent="0.25">
      <c r="A313">
        <v>1760462196</v>
      </c>
      <c r="B313" s="49">
        <v>0.64983180428134557</v>
      </c>
      <c r="C313" s="81">
        <v>12193</v>
      </c>
      <c r="D313" s="81">
        <v>12193</v>
      </c>
      <c r="E313" s="37">
        <v>28677</v>
      </c>
      <c r="F313" s="37">
        <v>48</v>
      </c>
      <c r="G313" s="77">
        <v>33.5</v>
      </c>
      <c r="H313" s="81">
        <v>21394.17</v>
      </c>
      <c r="I313" s="77">
        <v>445.71187499999996</v>
      </c>
      <c r="J313" s="168">
        <v>13.68</v>
      </c>
      <c r="K313" s="170">
        <f>_xlfn.XLOOKUP(A313,'[2]Rate Calculation'!$T:$T,'[2]Rate Calculation'!$BF:$BF)</f>
        <v>1.1443000000000001</v>
      </c>
    </row>
    <row r="314" spans="1:11" x14ac:dyDescent="0.25">
      <c r="A314">
        <v>1770149270</v>
      </c>
      <c r="B314" s="49">
        <v>0.60951908775409025</v>
      </c>
      <c r="C314" s="81">
        <v>36040</v>
      </c>
      <c r="D314" s="81">
        <v>36040</v>
      </c>
      <c r="E314" s="37">
        <v>27704</v>
      </c>
      <c r="F314" s="37">
        <v>111</v>
      </c>
      <c r="G314" s="77">
        <v>6.4300000000000637</v>
      </c>
      <c r="H314" s="81">
        <v>34618</v>
      </c>
      <c r="I314" s="77">
        <v>311.87387387387389</v>
      </c>
      <c r="J314" s="168">
        <v>13.68</v>
      </c>
      <c r="K314" s="170">
        <f>_xlfn.XLOOKUP(A314,'[2]Rate Calculation'!$T:$T,'[2]Rate Calculation'!$BF:$BF)</f>
        <v>1.1460999999999999</v>
      </c>
    </row>
    <row r="315" spans="1:11" x14ac:dyDescent="0.25">
      <c r="A315">
        <v>1770538092</v>
      </c>
      <c r="B315" s="49">
        <v>0.65605309585818705</v>
      </c>
      <c r="C315" s="81">
        <v>33567</v>
      </c>
      <c r="D315" s="81">
        <v>33567</v>
      </c>
      <c r="E315" s="37">
        <v>28792</v>
      </c>
      <c r="F315" s="37">
        <v>100</v>
      </c>
      <c r="G315" s="77">
        <v>23.8900000000001</v>
      </c>
      <c r="H315" s="81">
        <v>0</v>
      </c>
      <c r="I315" s="77">
        <v>0</v>
      </c>
      <c r="J315" s="168">
        <v>13.68</v>
      </c>
      <c r="K315" s="170">
        <f>_xlfn.XLOOKUP(A315,'[2]Rate Calculation'!$T:$T,'[2]Rate Calculation'!$BF:$BF)</f>
        <v>1.1347</v>
      </c>
    </row>
    <row r="316" spans="1:11" x14ac:dyDescent="0.25">
      <c r="A316">
        <v>1770582363</v>
      </c>
      <c r="B316" s="49">
        <v>0.60728508469176457</v>
      </c>
      <c r="C316" s="81">
        <v>37089</v>
      </c>
      <c r="D316" s="81">
        <v>37089</v>
      </c>
      <c r="E316" s="37">
        <v>27502</v>
      </c>
      <c r="F316" s="37">
        <v>107</v>
      </c>
      <c r="G316" s="77">
        <v>9.8900000000001</v>
      </c>
      <c r="H316" s="81">
        <v>0</v>
      </c>
      <c r="I316" s="77">
        <v>0</v>
      </c>
      <c r="J316" s="168">
        <v>13.68</v>
      </c>
      <c r="K316" s="170">
        <f>_xlfn.XLOOKUP(A316,'[2]Rate Calculation'!$T:$T,'[2]Rate Calculation'!$BF:$BF)</f>
        <v>0.97799999999999998</v>
      </c>
    </row>
    <row r="317" spans="1:11" x14ac:dyDescent="0.25">
      <c r="A317">
        <v>1770618720</v>
      </c>
      <c r="B317" s="49">
        <v>0.71285849625355269</v>
      </c>
      <c r="C317" s="81">
        <v>43489</v>
      </c>
      <c r="D317" s="81">
        <v>43489</v>
      </c>
      <c r="E317" s="37">
        <v>28150</v>
      </c>
      <c r="F317" s="37">
        <v>160</v>
      </c>
      <c r="G317" s="77">
        <v>4.1400000000001</v>
      </c>
      <c r="H317" s="81">
        <v>65390</v>
      </c>
      <c r="I317" s="77">
        <v>408.6875</v>
      </c>
      <c r="J317" s="168">
        <v>13.68</v>
      </c>
      <c r="K317" s="170">
        <f>_xlfn.XLOOKUP(A317,'[2]Rate Calculation'!$T:$T,'[2]Rate Calculation'!$BF:$BF)</f>
        <v>1.2710999999999999</v>
      </c>
    </row>
    <row r="318" spans="1:11" x14ac:dyDescent="0.25">
      <c r="A318">
        <v>1770995094</v>
      </c>
      <c r="B318" s="49">
        <v>0.62456140350877198</v>
      </c>
      <c r="C318" s="81">
        <v>32549</v>
      </c>
      <c r="D318" s="81">
        <v>32549</v>
      </c>
      <c r="E318" s="37">
        <v>28043</v>
      </c>
      <c r="F318" s="37">
        <v>100</v>
      </c>
      <c r="G318" s="77">
        <v>25.25</v>
      </c>
      <c r="H318" s="81">
        <v>25129.789985029482</v>
      </c>
      <c r="I318" s="77">
        <v>251.29789985029481</v>
      </c>
      <c r="J318" s="168">
        <v>13.68</v>
      </c>
      <c r="K318" s="170">
        <f>_xlfn.XLOOKUP(A318,'[2]Rate Calculation'!$T:$T,'[2]Rate Calculation'!$BF:$BF)</f>
        <v>1.0234000000000001</v>
      </c>
    </row>
    <row r="319" spans="1:11" x14ac:dyDescent="0.25">
      <c r="A319">
        <v>1780693663</v>
      </c>
      <c r="B319" s="49">
        <v>0.62985831633496892</v>
      </c>
      <c r="C319" s="81">
        <v>15767</v>
      </c>
      <c r="D319" s="81">
        <v>15767</v>
      </c>
      <c r="E319" s="37">
        <v>28388</v>
      </c>
      <c r="F319" s="37">
        <v>50</v>
      </c>
      <c r="G319" s="77">
        <v>32.930000000000064</v>
      </c>
      <c r="H319" s="81">
        <v>32959.430236062282</v>
      </c>
      <c r="I319" s="77">
        <v>659.18860472124561</v>
      </c>
      <c r="J319" s="168">
        <v>0</v>
      </c>
      <c r="K319" s="170">
        <f>_xlfn.XLOOKUP(A319,'[2]Rate Calculation'!$T:$T,'[2]Rate Calculation'!$BF:$BF)</f>
        <v>1.0304</v>
      </c>
    </row>
    <row r="320" spans="1:11" x14ac:dyDescent="0.25">
      <c r="A320">
        <v>1790317840</v>
      </c>
      <c r="B320" s="49">
        <v>0.67000153917192551</v>
      </c>
      <c r="C320" s="81">
        <v>32017</v>
      </c>
      <c r="D320" s="81">
        <v>32017</v>
      </c>
      <c r="E320" s="37">
        <v>28273</v>
      </c>
      <c r="F320" s="37">
        <v>100</v>
      </c>
      <c r="G320" s="77">
        <v>11.259999999999991</v>
      </c>
      <c r="H320" s="81">
        <v>39382</v>
      </c>
      <c r="I320" s="77">
        <v>393.82</v>
      </c>
      <c r="J320" s="168">
        <v>13.68</v>
      </c>
      <c r="K320" s="170">
        <f>_xlfn.XLOOKUP(A320,'[2]Rate Calculation'!$T:$T,'[2]Rate Calculation'!$BF:$BF)</f>
        <v>1.3136000000000001</v>
      </c>
    </row>
    <row r="321" spans="1:11" x14ac:dyDescent="0.25">
      <c r="A321">
        <v>1801428768</v>
      </c>
      <c r="B321" s="49">
        <v>0.6785306704707561</v>
      </c>
      <c r="C321" s="81">
        <v>31695</v>
      </c>
      <c r="D321" s="81">
        <v>31695</v>
      </c>
      <c r="E321" s="37">
        <v>27302</v>
      </c>
      <c r="F321" s="37">
        <v>117</v>
      </c>
      <c r="G321" s="77">
        <v>24.1099999999999</v>
      </c>
      <c r="H321" s="81">
        <v>67036</v>
      </c>
      <c r="I321" s="77">
        <v>572.95726495726501</v>
      </c>
      <c r="J321" s="168">
        <v>13.68</v>
      </c>
      <c r="K321" s="170">
        <f>_xlfn.XLOOKUP(A321,'[2]Rate Calculation'!$T:$T,'[2]Rate Calculation'!$BF:$BF)</f>
        <v>1.2757000000000001</v>
      </c>
    </row>
    <row r="322" spans="1:11" x14ac:dyDescent="0.25">
      <c r="A322">
        <v>1811920267</v>
      </c>
      <c r="B322" s="49">
        <v>0.64749003984063747</v>
      </c>
      <c r="C322" s="81">
        <v>43495</v>
      </c>
      <c r="D322" s="81">
        <v>43495</v>
      </c>
      <c r="E322" s="37">
        <v>27330</v>
      </c>
      <c r="F322" s="37">
        <v>131</v>
      </c>
      <c r="G322" s="77">
        <v>23.670000000000073</v>
      </c>
      <c r="H322" s="81">
        <v>55168</v>
      </c>
      <c r="I322" s="77">
        <v>421.12977099236639</v>
      </c>
      <c r="J322" s="168">
        <v>13.68</v>
      </c>
      <c r="K322" s="170">
        <f>_xlfn.XLOOKUP(A322,'[2]Rate Calculation'!$T:$T,'[2]Rate Calculation'!$BF:$BF)</f>
        <v>1.3513999999999999</v>
      </c>
    </row>
    <row r="323" spans="1:11" x14ac:dyDescent="0.25">
      <c r="A323">
        <v>1811923931</v>
      </c>
      <c r="B323" s="49">
        <v>0.57947146687093076</v>
      </c>
      <c r="C323" s="81">
        <v>27643</v>
      </c>
      <c r="D323" s="81">
        <v>27643</v>
      </c>
      <c r="E323" s="37">
        <v>27284</v>
      </c>
      <c r="F323" s="37">
        <v>92</v>
      </c>
      <c r="G323" s="77">
        <v>13.210000000000036</v>
      </c>
      <c r="H323" s="81">
        <v>31824</v>
      </c>
      <c r="I323" s="77">
        <v>345.91304347826087</v>
      </c>
      <c r="J323" s="168">
        <v>13.68</v>
      </c>
      <c r="K323" s="170">
        <f>_xlfn.XLOOKUP(A323,'[2]Rate Calculation'!$T:$T,'[2]Rate Calculation'!$BF:$BF)</f>
        <v>1.2838000000000001</v>
      </c>
    </row>
    <row r="324" spans="1:11" x14ac:dyDescent="0.25">
      <c r="A324">
        <v>1811984925</v>
      </c>
      <c r="B324" s="49">
        <v>0.67246953494155692</v>
      </c>
      <c r="C324" s="81">
        <v>43778</v>
      </c>
      <c r="D324" s="81">
        <v>43778</v>
      </c>
      <c r="E324" s="37">
        <v>27587</v>
      </c>
      <c r="F324" s="37">
        <v>130</v>
      </c>
      <c r="G324" s="77">
        <v>20</v>
      </c>
      <c r="H324" s="81">
        <v>0</v>
      </c>
      <c r="I324" s="77">
        <v>0</v>
      </c>
      <c r="J324" s="168">
        <v>13.68</v>
      </c>
      <c r="K324" s="170">
        <f>_xlfn.XLOOKUP(A324,'[2]Rate Calculation'!$T:$T,'[2]Rate Calculation'!$BF:$BF)</f>
        <v>1.0009999999999999</v>
      </c>
    </row>
    <row r="325" spans="1:11" x14ac:dyDescent="0.25">
      <c r="A325">
        <v>1821024274</v>
      </c>
      <c r="B325" s="49">
        <v>0.50959810874704492</v>
      </c>
      <c r="C325" s="81">
        <v>11984</v>
      </c>
      <c r="D325" s="81">
        <v>11984</v>
      </c>
      <c r="E325" s="37">
        <v>27823</v>
      </c>
      <c r="F325" s="37">
        <v>63</v>
      </c>
      <c r="G325" s="77">
        <v>33.5</v>
      </c>
      <c r="H325" s="81">
        <v>13426</v>
      </c>
      <c r="I325" s="77">
        <v>213.11111111111111</v>
      </c>
      <c r="J325" s="168">
        <v>13.68</v>
      </c>
      <c r="K325" s="170">
        <f>_xlfn.XLOOKUP(A325,'[2]Rate Calculation'!$T:$T,'[2]Rate Calculation'!$BF:$BF)</f>
        <v>1.1688924274286907</v>
      </c>
    </row>
    <row r="326" spans="1:11" x14ac:dyDescent="0.25">
      <c r="A326">
        <v>1821414269</v>
      </c>
      <c r="B326" s="49">
        <v>0.53026070763500932</v>
      </c>
      <c r="C326" s="81">
        <v>30385</v>
      </c>
      <c r="D326" s="81">
        <v>30385</v>
      </c>
      <c r="E326" s="37">
        <v>27610</v>
      </c>
      <c r="F326" s="37">
        <v>95</v>
      </c>
      <c r="G326" s="77">
        <v>11.1099999999999</v>
      </c>
      <c r="H326" s="81">
        <v>35302</v>
      </c>
      <c r="I326" s="77">
        <v>371.6</v>
      </c>
      <c r="J326" s="168">
        <v>13.68</v>
      </c>
      <c r="K326" s="170">
        <f>_xlfn.XLOOKUP(A326,'[2]Rate Calculation'!$T:$T,'[2]Rate Calculation'!$BF:$BF)</f>
        <v>1.2612000000000001</v>
      </c>
    </row>
    <row r="327" spans="1:11" x14ac:dyDescent="0.25">
      <c r="A327">
        <v>1821551797</v>
      </c>
      <c r="B327" s="49">
        <v>0.60262833675564687</v>
      </c>
      <c r="C327" s="81">
        <v>69576</v>
      </c>
      <c r="D327" s="81">
        <v>69576</v>
      </c>
      <c r="E327" s="37">
        <v>27104</v>
      </c>
      <c r="F327" s="37">
        <v>230</v>
      </c>
      <c r="G327" s="77">
        <v>28.6400000000001</v>
      </c>
      <c r="H327" s="81">
        <v>73990</v>
      </c>
      <c r="I327" s="77">
        <v>321.69565217391306</v>
      </c>
      <c r="J327" s="168">
        <v>7.18</v>
      </c>
      <c r="K327" s="170">
        <f>_xlfn.XLOOKUP(A327,'[2]Rate Calculation'!$T:$T,'[2]Rate Calculation'!$BF:$BF)</f>
        <v>1.1921999999999999</v>
      </c>
    </row>
    <row r="328" spans="1:11" x14ac:dyDescent="0.25">
      <c r="A328">
        <v>1831125285</v>
      </c>
      <c r="B328" s="49">
        <v>0.63161382966972268</v>
      </c>
      <c r="C328" s="81">
        <v>19856</v>
      </c>
      <c r="D328" s="81">
        <v>19856</v>
      </c>
      <c r="E328" s="37">
        <v>28901</v>
      </c>
      <c r="F328" s="37">
        <v>76</v>
      </c>
      <c r="G328" s="77">
        <v>24.519999999999982</v>
      </c>
      <c r="H328" s="81">
        <v>25000.000000000004</v>
      </c>
      <c r="I328" s="77">
        <v>328.94736842105266</v>
      </c>
      <c r="J328" s="168">
        <v>13.68</v>
      </c>
      <c r="K328" s="170">
        <f>_xlfn.XLOOKUP(A328,'[2]Rate Calculation'!$T:$T,'[2]Rate Calculation'!$BF:$BF)</f>
        <v>1.0336000000000001</v>
      </c>
    </row>
    <row r="329" spans="1:11" x14ac:dyDescent="0.25">
      <c r="A329">
        <v>1831197714</v>
      </c>
      <c r="B329" s="49">
        <v>0.65037732376219404</v>
      </c>
      <c r="C329" s="81">
        <v>32646</v>
      </c>
      <c r="D329" s="81">
        <v>32646</v>
      </c>
      <c r="E329" s="37">
        <v>28711</v>
      </c>
      <c r="F329" s="37">
        <v>97</v>
      </c>
      <c r="G329" s="77">
        <v>16.259999999999991</v>
      </c>
      <c r="H329" s="81">
        <v>0</v>
      </c>
      <c r="I329" s="77">
        <v>0</v>
      </c>
      <c r="J329" s="168">
        <v>13.68</v>
      </c>
      <c r="K329" s="170">
        <f>_xlfn.XLOOKUP(A329,'[2]Rate Calculation'!$T:$T,'[2]Rate Calculation'!$BF:$BF)</f>
        <v>1.2905</v>
      </c>
    </row>
    <row r="330" spans="1:11" x14ac:dyDescent="0.25">
      <c r="A330">
        <v>1831219781</v>
      </c>
      <c r="B330" s="49">
        <v>0.60910071589683246</v>
      </c>
      <c r="C330" s="81">
        <v>19085</v>
      </c>
      <c r="D330" s="81">
        <v>19085</v>
      </c>
      <c r="E330" s="37">
        <v>27983</v>
      </c>
      <c r="F330" s="37">
        <v>82</v>
      </c>
      <c r="G330" s="77">
        <v>22.25</v>
      </c>
      <c r="H330" s="81">
        <v>28199</v>
      </c>
      <c r="I330" s="77">
        <v>343.89024390243901</v>
      </c>
      <c r="J330" s="168">
        <v>13.68</v>
      </c>
      <c r="K330" s="170">
        <f>_xlfn.XLOOKUP(A330,'[2]Rate Calculation'!$T:$T,'[2]Rate Calculation'!$BF:$BF)</f>
        <v>1.2374000000000001</v>
      </c>
    </row>
    <row r="331" spans="1:11" x14ac:dyDescent="0.25">
      <c r="A331">
        <v>1831551514</v>
      </c>
      <c r="B331" s="49">
        <v>0.63037593984962403</v>
      </c>
      <c r="C331" s="81">
        <v>34840</v>
      </c>
      <c r="D331" s="81">
        <v>34840</v>
      </c>
      <c r="E331" s="37">
        <v>27705</v>
      </c>
      <c r="F331" s="37">
        <v>126</v>
      </c>
      <c r="G331" s="77">
        <v>20.480000000000018</v>
      </c>
      <c r="H331" s="81">
        <v>33882.352941176468</v>
      </c>
      <c r="I331" s="77">
        <v>268.9075630252101</v>
      </c>
      <c r="J331" s="168">
        <v>13.68</v>
      </c>
      <c r="K331" s="170">
        <f>_xlfn.XLOOKUP(A331,'[2]Rate Calculation'!$T:$T,'[2]Rate Calculation'!$BF:$BF)</f>
        <v>1.1404000000000001</v>
      </c>
    </row>
    <row r="332" spans="1:11" x14ac:dyDescent="0.25">
      <c r="A332">
        <v>1831649268</v>
      </c>
      <c r="B332" s="49">
        <v>0.58907082264746502</v>
      </c>
      <c r="C332" s="81">
        <v>18972</v>
      </c>
      <c r="D332" s="81">
        <v>18972</v>
      </c>
      <c r="E332" s="37">
        <v>27938</v>
      </c>
      <c r="F332" s="37">
        <v>70</v>
      </c>
      <c r="G332" s="77">
        <v>16.259999999999991</v>
      </c>
      <c r="H332" s="81">
        <v>21538.125135623868</v>
      </c>
      <c r="I332" s="77">
        <v>307.68750193748383</v>
      </c>
      <c r="J332" s="168">
        <v>13.68</v>
      </c>
      <c r="K332" s="170">
        <f>_xlfn.XLOOKUP(A332,'[2]Rate Calculation'!$T:$T,'[2]Rate Calculation'!$BF:$BF)</f>
        <v>1.1993</v>
      </c>
    </row>
    <row r="333" spans="1:11" x14ac:dyDescent="0.25">
      <c r="A333">
        <v>1841390002</v>
      </c>
      <c r="B333" s="49">
        <v>0.68193741802510777</v>
      </c>
      <c r="C333" s="81">
        <v>30760</v>
      </c>
      <c r="D333" s="81">
        <v>30760</v>
      </c>
      <c r="E333" s="37">
        <v>28327</v>
      </c>
      <c r="F333" s="37">
        <v>90</v>
      </c>
      <c r="G333" s="77">
        <v>24.329999999999927</v>
      </c>
      <c r="H333" s="81">
        <v>32654.941767172215</v>
      </c>
      <c r="I333" s="77">
        <v>362.8326863019135</v>
      </c>
      <c r="J333" s="168">
        <v>13.68</v>
      </c>
      <c r="K333" s="170">
        <f>_xlfn.XLOOKUP(A333,'[2]Rate Calculation'!$T:$T,'[2]Rate Calculation'!$BF:$BF)</f>
        <v>1.3689</v>
      </c>
    </row>
    <row r="334" spans="1:11" x14ac:dyDescent="0.25">
      <c r="A334">
        <v>1841697422</v>
      </c>
      <c r="B334" s="49">
        <v>0.65</v>
      </c>
      <c r="C334" s="81">
        <v>6432</v>
      </c>
      <c r="D334" s="81">
        <v>6432</v>
      </c>
      <c r="E334" s="37">
        <v>28405</v>
      </c>
      <c r="F334" s="37">
        <v>20</v>
      </c>
      <c r="G334" s="77">
        <v>7.5</v>
      </c>
      <c r="H334" s="81">
        <v>0</v>
      </c>
      <c r="I334" s="77">
        <v>0</v>
      </c>
      <c r="J334" s="168">
        <v>13.68</v>
      </c>
      <c r="K334" s="170">
        <f>_xlfn.XLOOKUP(A334,'[2]Rate Calculation'!$T:$T,'[2]Rate Calculation'!$BF:$BF)</f>
        <v>0.82030000000000003</v>
      </c>
    </row>
    <row r="335" spans="1:11" x14ac:dyDescent="0.25">
      <c r="A335">
        <v>1841840378</v>
      </c>
      <c r="B335" s="49">
        <v>0.59795277943813507</v>
      </c>
      <c r="C335" s="81">
        <v>31909</v>
      </c>
      <c r="D335" s="81">
        <v>31909</v>
      </c>
      <c r="E335" s="37">
        <v>28697</v>
      </c>
      <c r="F335" s="37">
        <v>120</v>
      </c>
      <c r="G335" s="77">
        <v>33.5</v>
      </c>
      <c r="H335" s="81">
        <v>37034</v>
      </c>
      <c r="I335" s="77">
        <v>308.61666666666667</v>
      </c>
      <c r="J335" s="168">
        <v>13.68</v>
      </c>
      <c r="K335" s="170">
        <f>_xlfn.XLOOKUP(A335,'[2]Rate Calculation'!$T:$T,'[2]Rate Calculation'!$BF:$BF)</f>
        <v>1.0761000000000001</v>
      </c>
    </row>
    <row r="336" spans="1:11" x14ac:dyDescent="0.25">
      <c r="A336">
        <v>1841854361</v>
      </c>
      <c r="B336" s="49">
        <v>0.68859501347708896</v>
      </c>
      <c r="C336" s="81">
        <v>30077</v>
      </c>
      <c r="D336" s="81">
        <v>30077</v>
      </c>
      <c r="E336" s="37">
        <v>28690</v>
      </c>
      <c r="F336" s="37">
        <v>100</v>
      </c>
      <c r="G336" s="77">
        <v>25.069999999999936</v>
      </c>
      <c r="H336" s="81">
        <v>40050</v>
      </c>
      <c r="I336" s="77">
        <v>400.5</v>
      </c>
      <c r="J336" s="168">
        <v>13.68</v>
      </c>
      <c r="K336" s="170">
        <f>_xlfn.XLOOKUP(A336,'[2]Rate Calculation'!$T:$T,'[2]Rate Calculation'!$BF:$BF)</f>
        <v>1.3818999999999999</v>
      </c>
    </row>
    <row r="337" spans="1:11" x14ac:dyDescent="0.25">
      <c r="A337">
        <v>1851348379</v>
      </c>
      <c r="B337" s="49">
        <v>0.52785023783949669</v>
      </c>
      <c r="C337" s="81">
        <v>36106</v>
      </c>
      <c r="D337" s="81">
        <v>36106</v>
      </c>
      <c r="E337" s="37">
        <v>28560</v>
      </c>
      <c r="F337" s="37">
        <v>116</v>
      </c>
      <c r="G337" s="77">
        <v>6.4700000000000273</v>
      </c>
      <c r="H337" s="81">
        <v>37760</v>
      </c>
      <c r="I337" s="77">
        <v>325.51724137931035</v>
      </c>
      <c r="J337" s="168">
        <v>13.68</v>
      </c>
      <c r="K337" s="170">
        <f>_xlfn.XLOOKUP(A337,'[2]Rate Calculation'!$T:$T,'[2]Rate Calculation'!$BF:$BF)</f>
        <v>1.0056</v>
      </c>
    </row>
    <row r="338" spans="1:11" x14ac:dyDescent="0.25">
      <c r="A338">
        <v>1851375703</v>
      </c>
      <c r="B338" s="49">
        <v>0.58582205228893247</v>
      </c>
      <c r="C338" s="81">
        <v>31806</v>
      </c>
      <c r="D338" s="81">
        <v>31806</v>
      </c>
      <c r="E338" s="37">
        <v>28557</v>
      </c>
      <c r="F338" s="37">
        <v>92</v>
      </c>
      <c r="G338" s="77">
        <v>12.75</v>
      </c>
      <c r="H338" s="81">
        <v>54220</v>
      </c>
      <c r="I338" s="77">
        <v>589.3478260869565</v>
      </c>
      <c r="J338" s="168">
        <v>13.68</v>
      </c>
      <c r="K338" s="170">
        <f>_xlfn.XLOOKUP(A338,'[2]Rate Calculation'!$T:$T,'[2]Rate Calculation'!$BF:$BF)</f>
        <v>1.3022</v>
      </c>
    </row>
    <row r="339" spans="1:11" x14ac:dyDescent="0.25">
      <c r="A339">
        <v>1851377543</v>
      </c>
      <c r="B339" s="49">
        <v>0.63777621613180302</v>
      </c>
      <c r="C339" s="81">
        <v>41843</v>
      </c>
      <c r="D339" s="81">
        <v>41843</v>
      </c>
      <c r="E339" s="37">
        <v>28376</v>
      </c>
      <c r="F339" s="37">
        <v>132</v>
      </c>
      <c r="G339" s="77">
        <v>19.069999999999936</v>
      </c>
      <c r="H339" s="81">
        <v>45645.251396648047</v>
      </c>
      <c r="I339" s="77">
        <v>345.79735906551554</v>
      </c>
      <c r="J339" s="168">
        <v>13.68</v>
      </c>
      <c r="K339" s="170">
        <f>_xlfn.XLOOKUP(A339,'[2]Rate Calculation'!$T:$T,'[2]Rate Calculation'!$BF:$BF)</f>
        <v>1.1868000000000001</v>
      </c>
    </row>
    <row r="340" spans="1:11" x14ac:dyDescent="0.25">
      <c r="A340">
        <v>1851836118</v>
      </c>
      <c r="B340" s="49">
        <v>0.64090702947845801</v>
      </c>
      <c r="C340" s="81">
        <v>33948</v>
      </c>
      <c r="D340" s="81">
        <v>33948</v>
      </c>
      <c r="E340" s="37">
        <v>28425</v>
      </c>
      <c r="F340" s="37">
        <v>98</v>
      </c>
      <c r="G340" s="77">
        <v>22.819999999999936</v>
      </c>
      <c r="H340" s="81">
        <v>0</v>
      </c>
      <c r="I340" s="77">
        <v>0</v>
      </c>
      <c r="J340" s="168">
        <v>13.68</v>
      </c>
      <c r="K340" s="170">
        <f>_xlfn.XLOOKUP(A340,'[2]Rate Calculation'!$T:$T,'[2]Rate Calculation'!$BF:$BF)</f>
        <v>1.0442</v>
      </c>
    </row>
    <row r="341" spans="1:11" x14ac:dyDescent="0.25">
      <c r="A341">
        <v>1851941389</v>
      </c>
      <c r="B341" s="49">
        <v>0.61635632076354452</v>
      </c>
      <c r="C341" s="81">
        <v>27997</v>
      </c>
      <c r="D341" s="81">
        <v>27997</v>
      </c>
      <c r="E341" s="37">
        <v>27360</v>
      </c>
      <c r="F341" s="37">
        <v>120</v>
      </c>
      <c r="G341" s="77">
        <v>33.5</v>
      </c>
      <c r="H341" s="81">
        <v>35582</v>
      </c>
      <c r="I341" s="77">
        <v>296.51666666666665</v>
      </c>
      <c r="J341" s="168">
        <v>13.68</v>
      </c>
      <c r="K341" s="170">
        <f>_xlfn.XLOOKUP(A341,'[2]Rate Calculation'!$T:$T,'[2]Rate Calculation'!$BF:$BF)</f>
        <v>1.0216000000000001</v>
      </c>
    </row>
    <row r="342" spans="1:11" x14ac:dyDescent="0.25">
      <c r="A342">
        <v>1861003485</v>
      </c>
      <c r="B342" s="49">
        <v>0.63455657492354745</v>
      </c>
      <c r="C342" s="81">
        <v>36483</v>
      </c>
      <c r="D342" s="81">
        <v>36483</v>
      </c>
      <c r="E342" s="37">
        <v>27962</v>
      </c>
      <c r="F342" s="37">
        <v>114</v>
      </c>
      <c r="G342" s="77">
        <v>32.3599999999999</v>
      </c>
      <c r="H342" s="81">
        <v>40405</v>
      </c>
      <c r="I342" s="77">
        <v>354.42982456140351</v>
      </c>
      <c r="J342" s="168">
        <v>13.68</v>
      </c>
      <c r="K342" s="170">
        <f>_xlfn.XLOOKUP(A342,'[2]Rate Calculation'!$T:$T,'[2]Rate Calculation'!$BF:$BF)</f>
        <v>1.2057</v>
      </c>
    </row>
    <row r="343" spans="1:11" x14ac:dyDescent="0.25">
      <c r="A343">
        <v>1861446270</v>
      </c>
      <c r="B343" s="49">
        <v>0.63925233644859814</v>
      </c>
      <c r="C343" s="81">
        <v>25378</v>
      </c>
      <c r="D343" s="81">
        <v>25378</v>
      </c>
      <c r="E343" s="37">
        <v>28403</v>
      </c>
      <c r="F343" s="37">
        <v>100</v>
      </c>
      <c r="G343" s="77">
        <v>9.3699999999998909</v>
      </c>
      <c r="H343" s="81">
        <v>44926.879444449594</v>
      </c>
      <c r="I343" s="77">
        <v>449.26879444449594</v>
      </c>
      <c r="J343" s="168">
        <v>13.68</v>
      </c>
      <c r="K343" s="170">
        <f>_xlfn.XLOOKUP(A343,'[2]Rate Calculation'!$T:$T,'[2]Rate Calculation'!$BF:$BF)</f>
        <v>1.0704</v>
      </c>
    </row>
    <row r="344" spans="1:11" x14ac:dyDescent="0.25">
      <c r="A344">
        <v>1861446338</v>
      </c>
      <c r="B344" s="49">
        <v>0.45277523508363154</v>
      </c>
      <c r="C344" s="81">
        <v>23595</v>
      </c>
      <c r="D344" s="81">
        <v>23595</v>
      </c>
      <c r="E344" s="37">
        <v>27332</v>
      </c>
      <c r="F344" s="37">
        <v>80</v>
      </c>
      <c r="G344" s="77">
        <v>16.6099999999999</v>
      </c>
      <c r="H344" s="81">
        <v>36629.18</v>
      </c>
      <c r="I344" s="77">
        <v>457.86475000000002</v>
      </c>
      <c r="J344" s="168">
        <v>13.68</v>
      </c>
      <c r="K344" s="170">
        <f>_xlfn.XLOOKUP(A344,'[2]Rate Calculation'!$T:$T,'[2]Rate Calculation'!$BF:$BF)</f>
        <v>1.0168999999999999</v>
      </c>
    </row>
    <row r="345" spans="1:11" x14ac:dyDescent="0.25">
      <c r="A345">
        <v>1861504946</v>
      </c>
      <c r="B345" s="49">
        <v>0.65</v>
      </c>
      <c r="C345" s="81">
        <v>13149</v>
      </c>
      <c r="D345" s="81">
        <v>13149</v>
      </c>
      <c r="E345" s="37">
        <v>28721</v>
      </c>
      <c r="F345" s="37">
        <v>50</v>
      </c>
      <c r="G345" s="77">
        <v>12.180000000000064</v>
      </c>
      <c r="H345" s="81">
        <v>28544</v>
      </c>
      <c r="I345" s="77">
        <v>570.88</v>
      </c>
      <c r="J345" s="168">
        <v>13.68</v>
      </c>
      <c r="K345" s="170">
        <f>_xlfn.XLOOKUP(A345,'[2]Rate Calculation'!$T:$T,'[2]Rate Calculation'!$BF:$BF)</f>
        <v>1.2343</v>
      </c>
    </row>
    <row r="346" spans="1:11" x14ac:dyDescent="0.25">
      <c r="A346">
        <v>1861513715</v>
      </c>
      <c r="B346" s="49">
        <v>0.55189277304836082</v>
      </c>
      <c r="C346" s="81">
        <v>17772</v>
      </c>
      <c r="D346" s="81">
        <v>17772</v>
      </c>
      <c r="E346" s="37">
        <v>27944</v>
      </c>
      <c r="F346" s="37">
        <v>78</v>
      </c>
      <c r="G346" s="77">
        <v>15</v>
      </c>
      <c r="H346" s="81">
        <v>23668</v>
      </c>
      <c r="I346" s="77">
        <v>303.43589743589746</v>
      </c>
      <c r="J346" s="168">
        <v>13.68</v>
      </c>
      <c r="K346" s="170">
        <f>_xlfn.XLOOKUP(A346,'[2]Rate Calculation'!$T:$T,'[2]Rate Calculation'!$BF:$BF)</f>
        <v>1.1862999999999999</v>
      </c>
    </row>
    <row r="347" spans="1:11" x14ac:dyDescent="0.25">
      <c r="A347">
        <v>1861521635</v>
      </c>
      <c r="B347" s="49">
        <v>0.65</v>
      </c>
      <c r="C347" s="81">
        <v>36357</v>
      </c>
      <c r="D347" s="81">
        <v>36357</v>
      </c>
      <c r="E347" s="37">
        <v>28078</v>
      </c>
      <c r="F347" s="37">
        <v>114</v>
      </c>
      <c r="G347" s="77">
        <v>12.740000000000009</v>
      </c>
      <c r="H347" s="81">
        <v>47889</v>
      </c>
      <c r="I347" s="77">
        <v>420.07894736842104</v>
      </c>
      <c r="J347" s="168">
        <v>13.68</v>
      </c>
      <c r="K347" s="170">
        <f>_xlfn.XLOOKUP(A347,'[2]Rate Calculation'!$T:$T,'[2]Rate Calculation'!$BF:$BF)</f>
        <v>1.3995</v>
      </c>
    </row>
    <row r="348" spans="1:11" x14ac:dyDescent="0.25">
      <c r="A348">
        <v>1871063214</v>
      </c>
      <c r="B348" s="49">
        <v>0.67698418133260285</v>
      </c>
      <c r="C348" s="81">
        <v>28610</v>
      </c>
      <c r="D348" s="81">
        <v>28610</v>
      </c>
      <c r="E348" s="37">
        <v>28779</v>
      </c>
      <c r="F348" s="37">
        <v>106</v>
      </c>
      <c r="G348" s="77">
        <v>24.039999999999964</v>
      </c>
      <c r="H348" s="81">
        <v>45063</v>
      </c>
      <c r="I348" s="77">
        <v>425.12264150943395</v>
      </c>
      <c r="J348" s="168">
        <v>13.68</v>
      </c>
      <c r="K348" s="170">
        <f>_xlfn.XLOOKUP(A348,'[2]Rate Calculation'!$T:$T,'[2]Rate Calculation'!$BF:$BF)</f>
        <v>0.95089999999999997</v>
      </c>
    </row>
    <row r="349" spans="1:11" x14ac:dyDescent="0.25">
      <c r="A349">
        <v>1871143305</v>
      </c>
      <c r="B349" s="49">
        <v>0.60998362173324783</v>
      </c>
      <c r="C349" s="81">
        <v>36867</v>
      </c>
      <c r="D349" s="81">
        <v>36867</v>
      </c>
      <c r="E349" s="37">
        <v>28025</v>
      </c>
      <c r="F349" s="37">
        <v>120</v>
      </c>
      <c r="G349" s="77">
        <v>33.5</v>
      </c>
      <c r="H349" s="81">
        <v>39257</v>
      </c>
      <c r="I349" s="77">
        <v>327.14166666666665</v>
      </c>
      <c r="J349" s="168">
        <v>13.68</v>
      </c>
      <c r="K349" s="170">
        <f>_xlfn.XLOOKUP(A349,'[2]Rate Calculation'!$T:$T,'[2]Rate Calculation'!$BF:$BF)</f>
        <v>1.1232</v>
      </c>
    </row>
    <row r="350" spans="1:11" x14ac:dyDescent="0.25">
      <c r="A350">
        <v>1871548487</v>
      </c>
      <c r="B350" s="49">
        <v>0.56715506715506714</v>
      </c>
      <c r="C350" s="81">
        <v>20845</v>
      </c>
      <c r="D350" s="81">
        <v>20845</v>
      </c>
      <c r="E350" s="37">
        <v>28147</v>
      </c>
      <c r="F350" s="37">
        <v>60</v>
      </c>
      <c r="G350" s="77">
        <v>9.4900000000000091</v>
      </c>
      <c r="H350" s="81">
        <v>0</v>
      </c>
      <c r="I350" s="77">
        <v>0</v>
      </c>
      <c r="J350" s="168">
        <v>13.68</v>
      </c>
      <c r="K350" s="170">
        <f>_xlfn.XLOOKUP(A350,'[2]Rate Calculation'!$T:$T,'[2]Rate Calculation'!$BF:$BF)</f>
        <v>1.0486</v>
      </c>
    </row>
    <row r="351" spans="1:11" x14ac:dyDescent="0.25">
      <c r="A351">
        <v>1881648350</v>
      </c>
      <c r="B351" s="49">
        <v>0.61031175059952036</v>
      </c>
      <c r="C351" s="81">
        <v>19313</v>
      </c>
      <c r="D351" s="81">
        <v>19313</v>
      </c>
      <c r="E351" s="37">
        <v>27983</v>
      </c>
      <c r="F351" s="37">
        <v>60</v>
      </c>
      <c r="G351" s="77">
        <v>7.0499999999999545</v>
      </c>
      <c r="H351" s="81">
        <v>33396.123217922606</v>
      </c>
      <c r="I351" s="77">
        <v>556.60205363204341</v>
      </c>
      <c r="J351" s="168">
        <v>13.68</v>
      </c>
      <c r="K351" s="170">
        <f>_xlfn.XLOOKUP(A351,'[2]Rate Calculation'!$T:$T,'[2]Rate Calculation'!$BF:$BF)</f>
        <v>1.0541</v>
      </c>
    </row>
    <row r="352" spans="1:11" x14ac:dyDescent="0.25">
      <c r="A352">
        <v>1881993079</v>
      </c>
      <c r="B352" s="49">
        <v>0.75643712574850308</v>
      </c>
      <c r="C352" s="81">
        <v>38843</v>
      </c>
      <c r="D352" s="81">
        <v>38843</v>
      </c>
      <c r="E352" s="37">
        <v>27103</v>
      </c>
      <c r="F352" s="37">
        <v>151</v>
      </c>
      <c r="G352" s="77">
        <v>18.339999999999918</v>
      </c>
      <c r="H352" s="81">
        <v>121076.64122137404</v>
      </c>
      <c r="I352" s="77">
        <v>801.83206106870227</v>
      </c>
      <c r="J352" s="168">
        <v>13.68</v>
      </c>
      <c r="K352" s="170">
        <f>_xlfn.XLOOKUP(A352,'[2]Rate Calculation'!$T:$T,'[2]Rate Calculation'!$BF:$BF)</f>
        <v>1.1067</v>
      </c>
    </row>
    <row r="353" spans="1:11" x14ac:dyDescent="0.25">
      <c r="A353">
        <v>1891346797</v>
      </c>
      <c r="B353" s="49">
        <v>0.64805881001608079</v>
      </c>
      <c r="C353" s="81">
        <v>27183</v>
      </c>
      <c r="D353" s="81">
        <v>27183</v>
      </c>
      <c r="E353" s="37">
        <v>28001</v>
      </c>
      <c r="F353" s="37">
        <v>90</v>
      </c>
      <c r="G353" s="77">
        <v>3.7999999999999545</v>
      </c>
      <c r="H353" s="81">
        <v>0</v>
      </c>
      <c r="I353" s="77">
        <v>0</v>
      </c>
      <c r="J353" s="168">
        <v>13.68</v>
      </c>
      <c r="K353" s="170">
        <f>_xlfn.XLOOKUP(A353,'[2]Rate Calculation'!$T:$T,'[2]Rate Calculation'!$BF:$BF)</f>
        <v>1.1143000000000001</v>
      </c>
    </row>
    <row r="354" spans="1:11" x14ac:dyDescent="0.25">
      <c r="A354">
        <v>1891722187</v>
      </c>
      <c r="B354" s="49">
        <v>0.744417306350314</v>
      </c>
      <c r="C354" s="81">
        <v>28979</v>
      </c>
      <c r="D354" s="81">
        <v>28979</v>
      </c>
      <c r="E354" s="37">
        <v>28613</v>
      </c>
      <c r="F354" s="37">
        <v>90</v>
      </c>
      <c r="G354" s="77">
        <v>8.0799999999999272</v>
      </c>
      <c r="H354" s="81">
        <v>36136</v>
      </c>
      <c r="I354" s="77">
        <v>401.51111111111112</v>
      </c>
      <c r="J354" s="168">
        <v>13.68</v>
      </c>
      <c r="K354" s="170">
        <f>_xlfn.XLOOKUP(A354,'[2]Rate Calculation'!$T:$T,'[2]Rate Calculation'!$BF:$BF)</f>
        <v>1.1299999999999999</v>
      </c>
    </row>
    <row r="355" spans="1:11" x14ac:dyDescent="0.25">
      <c r="A355">
        <v>1891740544</v>
      </c>
      <c r="B355" s="49">
        <v>0.60044700421215513</v>
      </c>
      <c r="C355" s="81">
        <v>25091</v>
      </c>
      <c r="D355" s="81">
        <v>25091</v>
      </c>
      <c r="E355" s="37">
        <v>27331</v>
      </c>
      <c r="F355" s="37">
        <v>83</v>
      </c>
      <c r="G355" s="77">
        <v>7.9200000000000728</v>
      </c>
      <c r="H355" s="81">
        <v>44304</v>
      </c>
      <c r="I355" s="77">
        <v>533.7831325301205</v>
      </c>
      <c r="J355" s="168">
        <v>13.68</v>
      </c>
      <c r="K355" s="170">
        <f>_xlfn.XLOOKUP(A355,'[2]Rate Calculation'!$T:$T,'[2]Rate Calculation'!$BF:$BF)</f>
        <v>1.1366000000000001</v>
      </c>
    </row>
    <row r="356" spans="1:11" x14ac:dyDescent="0.25">
      <c r="A356">
        <v>1891908687</v>
      </c>
      <c r="B356" s="49">
        <v>0.65</v>
      </c>
      <c r="C356" s="81">
        <v>28748</v>
      </c>
      <c r="D356" s="81">
        <v>28748</v>
      </c>
      <c r="E356" s="37">
        <v>27006</v>
      </c>
      <c r="F356" s="37">
        <v>117</v>
      </c>
      <c r="G356" s="77">
        <v>19.569999999999936</v>
      </c>
      <c r="H356" s="81">
        <v>40627</v>
      </c>
      <c r="I356" s="77">
        <v>347.23931623931622</v>
      </c>
      <c r="J356" s="168">
        <v>13.68</v>
      </c>
      <c r="K356" s="170">
        <f>_xlfn.XLOOKUP(A356,'[2]Rate Calculation'!$T:$T,'[2]Rate Calculation'!$BF:$BF)</f>
        <v>1.2744</v>
      </c>
    </row>
    <row r="357" spans="1:11" x14ac:dyDescent="0.25">
      <c r="A357">
        <v>1902462401</v>
      </c>
      <c r="B357" s="49">
        <v>0.51501591089896581</v>
      </c>
      <c r="C357" s="81">
        <v>26239</v>
      </c>
      <c r="D357" s="81">
        <v>26239</v>
      </c>
      <c r="E357" s="37">
        <v>27536</v>
      </c>
      <c r="F357" s="37">
        <v>78</v>
      </c>
      <c r="G357" s="77">
        <v>14.309999999999945</v>
      </c>
      <c r="H357" s="81">
        <v>22239.000000000004</v>
      </c>
      <c r="I357" s="77">
        <v>285.11538461538464</v>
      </c>
      <c r="J357" s="168">
        <v>13.68</v>
      </c>
      <c r="K357" s="170">
        <f>_xlfn.XLOOKUP(A357,'[2]Rate Calculation'!$T:$T,'[2]Rate Calculation'!$BF:$BF)</f>
        <v>1.202</v>
      </c>
    </row>
    <row r="358" spans="1:11" x14ac:dyDescent="0.25">
      <c r="A358">
        <v>1902853781</v>
      </c>
      <c r="B358" s="49">
        <v>0.63280007484329681</v>
      </c>
      <c r="C358" s="81">
        <v>28547</v>
      </c>
      <c r="D358" s="81">
        <v>28547</v>
      </c>
      <c r="E358" s="37">
        <v>28301</v>
      </c>
      <c r="F358" s="37">
        <v>86</v>
      </c>
      <c r="G358" s="77">
        <v>11.980000000000018</v>
      </c>
      <c r="H358" s="81">
        <v>57479.483879707397</v>
      </c>
      <c r="I358" s="77">
        <v>668.36609162450463</v>
      </c>
      <c r="J358" s="168">
        <v>13.68</v>
      </c>
      <c r="K358" s="170">
        <f>_xlfn.XLOOKUP(A358,'[2]Rate Calculation'!$T:$T,'[2]Rate Calculation'!$BF:$BF)</f>
        <v>1.3121</v>
      </c>
    </row>
    <row r="359" spans="1:11" x14ac:dyDescent="0.25">
      <c r="A359">
        <v>1902875578</v>
      </c>
      <c r="B359" s="49">
        <v>0.63565310492505345</v>
      </c>
      <c r="C359" s="81">
        <v>30902</v>
      </c>
      <c r="D359" s="81">
        <v>30902</v>
      </c>
      <c r="E359" s="37">
        <v>27316</v>
      </c>
      <c r="F359" s="37">
        <v>90</v>
      </c>
      <c r="G359" s="77">
        <v>17.440000000000055</v>
      </c>
      <c r="H359" s="81">
        <v>37968</v>
      </c>
      <c r="I359" s="77">
        <v>421.86666666666667</v>
      </c>
      <c r="J359" s="168">
        <v>13.68</v>
      </c>
      <c r="K359" s="170">
        <f>_xlfn.XLOOKUP(A359,'[2]Rate Calculation'!$T:$T,'[2]Rate Calculation'!$BF:$BF)</f>
        <v>1.4278999999999999</v>
      </c>
    </row>
    <row r="360" spans="1:11" x14ac:dyDescent="0.25">
      <c r="A360">
        <v>1912027871</v>
      </c>
      <c r="B360" s="49">
        <v>0.66959423853855615</v>
      </c>
      <c r="C360" s="81">
        <v>25281</v>
      </c>
      <c r="D360" s="81">
        <v>25281</v>
      </c>
      <c r="E360" s="37">
        <v>28786</v>
      </c>
      <c r="F360" s="37">
        <v>90</v>
      </c>
      <c r="G360" s="77">
        <v>12.329999999999927</v>
      </c>
      <c r="H360" s="81">
        <v>41226</v>
      </c>
      <c r="I360" s="77">
        <v>458.06666666666666</v>
      </c>
      <c r="J360" s="168">
        <v>13.68</v>
      </c>
      <c r="K360" s="170">
        <f>_xlfn.XLOOKUP(A360,'[2]Rate Calculation'!$T:$T,'[2]Rate Calculation'!$BF:$BF)</f>
        <v>1.2121</v>
      </c>
    </row>
    <row r="361" spans="1:11" x14ac:dyDescent="0.25">
      <c r="A361">
        <v>1912323635</v>
      </c>
      <c r="B361" s="49">
        <v>0.65</v>
      </c>
      <c r="C361" s="81">
        <v>33370</v>
      </c>
      <c r="D361" s="81">
        <v>33370</v>
      </c>
      <c r="E361" s="37">
        <v>27012</v>
      </c>
      <c r="F361" s="37">
        <v>100</v>
      </c>
      <c r="G361" s="77">
        <v>8</v>
      </c>
      <c r="H361" s="81">
        <v>70374</v>
      </c>
      <c r="I361" s="77">
        <v>703.74</v>
      </c>
      <c r="J361" s="168">
        <v>0</v>
      </c>
      <c r="K361" s="170">
        <f>_xlfn.XLOOKUP(A361,'[2]Rate Calculation'!$T:$T,'[2]Rate Calculation'!$BF:$BF)</f>
        <v>1.2021999999999999</v>
      </c>
    </row>
    <row r="362" spans="1:11" x14ac:dyDescent="0.25">
      <c r="A362">
        <v>1912485517</v>
      </c>
      <c r="B362" s="49">
        <v>0.63961871195129771</v>
      </c>
      <c r="C362" s="81">
        <v>30652</v>
      </c>
      <c r="D362" s="81">
        <v>30652</v>
      </c>
      <c r="E362" s="37">
        <v>27028</v>
      </c>
      <c r="F362" s="37">
        <v>96</v>
      </c>
      <c r="G362" s="77">
        <v>3</v>
      </c>
      <c r="H362" s="81">
        <v>56888.888888888891</v>
      </c>
      <c r="I362" s="77">
        <v>592.59259259259261</v>
      </c>
      <c r="J362" s="168">
        <v>13.68</v>
      </c>
      <c r="K362" s="170">
        <f>_xlfn.XLOOKUP(A362,'[2]Rate Calculation'!$T:$T,'[2]Rate Calculation'!$BF:$BF)</f>
        <v>1.1395999999999999</v>
      </c>
    </row>
    <row r="363" spans="1:11" x14ac:dyDescent="0.25">
      <c r="A363">
        <v>1912902230</v>
      </c>
      <c r="B363" s="49">
        <v>0.60919824952522506</v>
      </c>
      <c r="C363" s="81">
        <v>39710</v>
      </c>
      <c r="D363" s="81">
        <v>39710</v>
      </c>
      <c r="E363" s="37">
        <v>27105</v>
      </c>
      <c r="F363" s="37">
        <v>117</v>
      </c>
      <c r="G363" s="77">
        <v>6.3599999999999</v>
      </c>
      <c r="H363" s="81">
        <v>68159</v>
      </c>
      <c r="I363" s="77">
        <v>582.55555555555554</v>
      </c>
      <c r="J363" s="168">
        <v>13.68</v>
      </c>
      <c r="K363" s="170">
        <f>_xlfn.XLOOKUP(A363,'[2]Rate Calculation'!$T:$T,'[2]Rate Calculation'!$BF:$BF)</f>
        <v>1.0868</v>
      </c>
    </row>
    <row r="364" spans="1:11" x14ac:dyDescent="0.25">
      <c r="A364">
        <v>1922456664</v>
      </c>
      <c r="B364" s="49">
        <v>0.64412430051196568</v>
      </c>
      <c r="C364" s="81">
        <v>27515</v>
      </c>
      <c r="D364" s="81">
        <v>27515</v>
      </c>
      <c r="E364" s="37">
        <v>28134</v>
      </c>
      <c r="F364" s="37">
        <v>106</v>
      </c>
      <c r="G364" s="77">
        <v>22.1099999999999</v>
      </c>
      <c r="H364" s="81">
        <v>0</v>
      </c>
      <c r="I364" s="77">
        <v>0</v>
      </c>
      <c r="J364" s="168">
        <v>13.68</v>
      </c>
      <c r="K364" s="170">
        <f>_xlfn.XLOOKUP(A364,'[2]Rate Calculation'!$T:$T,'[2]Rate Calculation'!$BF:$BF)</f>
        <v>1.3652</v>
      </c>
    </row>
    <row r="365" spans="1:11" x14ac:dyDescent="0.25">
      <c r="A365">
        <v>1922611102</v>
      </c>
      <c r="B365" s="49">
        <v>0.70924488355681015</v>
      </c>
      <c r="C365" s="81">
        <v>49222</v>
      </c>
      <c r="D365" s="81">
        <v>49222</v>
      </c>
      <c r="E365" s="37">
        <v>27804</v>
      </c>
      <c r="F365" s="37">
        <v>141</v>
      </c>
      <c r="G365" s="77">
        <v>31.079999999999927</v>
      </c>
      <c r="H365" s="81">
        <v>43170</v>
      </c>
      <c r="I365" s="77">
        <v>306.17021276595744</v>
      </c>
      <c r="J365" s="168">
        <v>7.18</v>
      </c>
      <c r="K365" s="170">
        <f>_xlfn.XLOOKUP(A365,'[2]Rate Calculation'!$T:$T,'[2]Rate Calculation'!$BF:$BF)</f>
        <v>1.2094</v>
      </c>
    </row>
    <row r="366" spans="1:11" x14ac:dyDescent="0.25">
      <c r="A366">
        <v>1932107547</v>
      </c>
      <c r="B366" s="49">
        <v>0.69069939974371086</v>
      </c>
      <c r="C366" s="81">
        <v>11476</v>
      </c>
      <c r="D366" s="81">
        <v>11476</v>
      </c>
      <c r="E366" s="37">
        <v>27030</v>
      </c>
      <c r="F366" s="37">
        <v>33</v>
      </c>
      <c r="G366" s="77">
        <v>16.660000000000082</v>
      </c>
      <c r="H366" s="81">
        <v>0</v>
      </c>
      <c r="I366" s="77">
        <v>0</v>
      </c>
      <c r="J366" s="168">
        <v>13.68</v>
      </c>
      <c r="K366" s="170">
        <f>_xlfn.XLOOKUP(A366,'[2]Rate Calculation'!$T:$T,'[2]Rate Calculation'!$BF:$BF)</f>
        <v>1.0578000000000001</v>
      </c>
    </row>
    <row r="367" spans="1:11" x14ac:dyDescent="0.25">
      <c r="A367">
        <v>1932135381</v>
      </c>
      <c r="B367" s="49">
        <v>0.65308988764044951</v>
      </c>
      <c r="C367" s="81">
        <v>19357</v>
      </c>
      <c r="D367" s="81">
        <v>19357</v>
      </c>
      <c r="E367" s="37">
        <v>28001</v>
      </c>
      <c r="F367" s="37">
        <v>60</v>
      </c>
      <c r="G367" s="77">
        <v>20.660000000000082</v>
      </c>
      <c r="H367" s="81">
        <v>19703.96303864949</v>
      </c>
      <c r="I367" s="77">
        <v>328.39938397749148</v>
      </c>
      <c r="J367" s="168">
        <v>13.68</v>
      </c>
      <c r="K367" s="170">
        <f>_xlfn.XLOOKUP(A367,'[2]Rate Calculation'!$T:$T,'[2]Rate Calculation'!$BF:$BF)</f>
        <v>1.1947000000000001</v>
      </c>
    </row>
    <row r="368" spans="1:11" x14ac:dyDescent="0.25">
      <c r="A368">
        <v>1932145836</v>
      </c>
      <c r="B368" s="49">
        <v>0.63637832162183994</v>
      </c>
      <c r="C368" s="81">
        <v>47949</v>
      </c>
      <c r="D368" s="81">
        <v>47949</v>
      </c>
      <c r="E368" s="37">
        <v>28501</v>
      </c>
      <c r="F368" s="37">
        <v>175</v>
      </c>
      <c r="G368" s="77">
        <v>10.75</v>
      </c>
      <c r="H368" s="81">
        <v>61154</v>
      </c>
      <c r="I368" s="77">
        <v>349.45142857142855</v>
      </c>
      <c r="J368" s="168">
        <v>13.68</v>
      </c>
      <c r="K368" s="170">
        <f>_xlfn.XLOOKUP(A368,'[2]Rate Calculation'!$T:$T,'[2]Rate Calculation'!$BF:$BF)</f>
        <v>1.123</v>
      </c>
    </row>
    <row r="369" spans="1:11" x14ac:dyDescent="0.25">
      <c r="A369">
        <v>1932368586</v>
      </c>
      <c r="B369" s="49">
        <v>0.65</v>
      </c>
      <c r="C369" s="81">
        <v>5717</v>
      </c>
      <c r="D369" s="81">
        <v>5717</v>
      </c>
      <c r="E369" s="37">
        <v>27215</v>
      </c>
      <c r="F369" s="37">
        <v>16</v>
      </c>
      <c r="G369" s="77">
        <v>2</v>
      </c>
      <c r="H369" s="81">
        <v>216687</v>
      </c>
      <c r="I369" s="77">
        <v>13542.9375</v>
      </c>
      <c r="J369" s="168">
        <v>0</v>
      </c>
      <c r="K369" s="170">
        <f>_xlfn.XLOOKUP(A369,'[2]Rate Calculation'!$T:$T,'[2]Rate Calculation'!$BF:$BF)</f>
        <v>1.1688924274286907</v>
      </c>
    </row>
    <row r="370" spans="1:11" x14ac:dyDescent="0.25">
      <c r="A370">
        <v>1932606530</v>
      </c>
      <c r="B370" s="49">
        <v>0.6701800276965687</v>
      </c>
      <c r="C370" s="81">
        <v>48489</v>
      </c>
      <c r="D370" s="81">
        <v>48489</v>
      </c>
      <c r="E370" s="37">
        <v>28144</v>
      </c>
      <c r="F370" s="37">
        <v>185</v>
      </c>
      <c r="G370" s="77">
        <v>30.630000000000109</v>
      </c>
      <c r="H370" s="81">
        <v>54789</v>
      </c>
      <c r="I370" s="77">
        <v>296.15675675675675</v>
      </c>
      <c r="J370" s="168">
        <v>7.18</v>
      </c>
      <c r="K370" s="170">
        <f>_xlfn.XLOOKUP(A370,'[2]Rate Calculation'!$T:$T,'[2]Rate Calculation'!$BF:$BF)</f>
        <v>1.1041000000000001</v>
      </c>
    </row>
    <row r="371" spans="1:11" x14ac:dyDescent="0.25">
      <c r="A371">
        <v>1932750841</v>
      </c>
      <c r="B371" s="49">
        <v>0.72054864109728212</v>
      </c>
      <c r="C371" s="81">
        <v>47334</v>
      </c>
      <c r="D371" s="81">
        <v>47334</v>
      </c>
      <c r="E371" s="37">
        <v>28078</v>
      </c>
      <c r="F371" s="37">
        <v>168</v>
      </c>
      <c r="G371" s="77">
        <v>2</v>
      </c>
      <c r="H371" s="81">
        <v>0</v>
      </c>
      <c r="I371" s="77">
        <v>0</v>
      </c>
      <c r="J371" s="168">
        <v>13.68</v>
      </c>
      <c r="K371" s="170">
        <f>_xlfn.XLOOKUP(A371,'[2]Rate Calculation'!$T:$T,'[2]Rate Calculation'!$BF:$BF)</f>
        <v>1.1495</v>
      </c>
    </row>
    <row r="372" spans="1:11" x14ac:dyDescent="0.25">
      <c r="A372">
        <v>1942236161</v>
      </c>
      <c r="B372" s="49">
        <v>0.55957225324122273</v>
      </c>
      <c r="C372" s="81">
        <v>19246</v>
      </c>
      <c r="D372" s="81">
        <v>19246</v>
      </c>
      <c r="E372" s="37">
        <v>28507</v>
      </c>
      <c r="F372" s="37">
        <v>64</v>
      </c>
      <c r="G372" s="77">
        <v>10.430000000000064</v>
      </c>
      <c r="H372" s="81">
        <v>27742</v>
      </c>
      <c r="I372" s="77">
        <v>433.46875</v>
      </c>
      <c r="J372" s="168">
        <v>13.68</v>
      </c>
      <c r="K372" s="170">
        <f>_xlfn.XLOOKUP(A372,'[2]Rate Calculation'!$T:$T,'[2]Rate Calculation'!$BF:$BF)</f>
        <v>1.1958</v>
      </c>
    </row>
    <row r="373" spans="1:11" x14ac:dyDescent="0.25">
      <c r="A373">
        <v>1942279609</v>
      </c>
      <c r="B373" s="49">
        <v>0.60953024018520297</v>
      </c>
      <c r="C373" s="81">
        <v>32456</v>
      </c>
      <c r="D373" s="81">
        <v>32456</v>
      </c>
      <c r="E373" s="37">
        <v>28025</v>
      </c>
      <c r="F373" s="37">
        <v>120</v>
      </c>
      <c r="G373" s="77">
        <v>33.5</v>
      </c>
      <c r="H373" s="81">
        <v>35674</v>
      </c>
      <c r="I373" s="77">
        <v>297.28333333333336</v>
      </c>
      <c r="J373" s="168">
        <v>13.68</v>
      </c>
      <c r="K373" s="170">
        <f>_xlfn.XLOOKUP(A373,'[2]Rate Calculation'!$T:$T,'[2]Rate Calculation'!$BF:$BF)</f>
        <v>1.3262</v>
      </c>
    </row>
    <row r="374" spans="1:11" x14ac:dyDescent="0.25">
      <c r="A374">
        <v>1942583752</v>
      </c>
      <c r="B374" s="49">
        <v>0.54752287527821286</v>
      </c>
      <c r="C374" s="81">
        <v>17920</v>
      </c>
      <c r="D374" s="81">
        <v>17920</v>
      </c>
      <c r="E374" s="37">
        <v>27573</v>
      </c>
      <c r="F374" s="37">
        <v>60</v>
      </c>
      <c r="G374" s="77">
        <v>5</v>
      </c>
      <c r="H374" s="81">
        <v>0</v>
      </c>
      <c r="I374" s="77">
        <v>0</v>
      </c>
      <c r="J374" s="168">
        <v>13.68</v>
      </c>
      <c r="K374" s="170">
        <f>_xlfn.XLOOKUP(A374,'[2]Rate Calculation'!$T:$T,'[2]Rate Calculation'!$BF:$BF)</f>
        <v>1.0165</v>
      </c>
    </row>
    <row r="375" spans="1:11" x14ac:dyDescent="0.25">
      <c r="A375">
        <v>1952337073</v>
      </c>
      <c r="B375" s="49">
        <v>0.59403582317073167</v>
      </c>
      <c r="C375" s="81">
        <v>18247</v>
      </c>
      <c r="D375" s="81">
        <v>18247</v>
      </c>
      <c r="E375" s="37">
        <v>28655</v>
      </c>
      <c r="F375" s="37">
        <v>121</v>
      </c>
      <c r="G375" s="77">
        <v>33.5</v>
      </c>
      <c r="H375" s="81">
        <v>38940</v>
      </c>
      <c r="I375" s="77">
        <v>321.81818181818181</v>
      </c>
      <c r="J375" s="168">
        <v>13.68</v>
      </c>
      <c r="K375" s="170">
        <f>_xlfn.XLOOKUP(A375,'[2]Rate Calculation'!$T:$T,'[2]Rate Calculation'!$BF:$BF)</f>
        <v>1.2334000000000001</v>
      </c>
    </row>
    <row r="376" spans="1:11" x14ac:dyDescent="0.25">
      <c r="A376">
        <v>1952354565</v>
      </c>
      <c r="B376" s="49">
        <v>0.70996568487274814</v>
      </c>
      <c r="C376" s="81">
        <v>61966</v>
      </c>
      <c r="D376" s="81">
        <v>61966</v>
      </c>
      <c r="E376" s="37">
        <v>27262</v>
      </c>
      <c r="F376" s="37">
        <v>199</v>
      </c>
      <c r="G376" s="77">
        <v>28.089999999999918</v>
      </c>
      <c r="H376" s="81">
        <v>55114.999999999993</v>
      </c>
      <c r="I376" s="77">
        <v>276.95979899497485</v>
      </c>
      <c r="J376" s="168">
        <v>7.18</v>
      </c>
      <c r="K376" s="170">
        <f>_xlfn.XLOOKUP(A376,'[2]Rate Calculation'!$T:$T,'[2]Rate Calculation'!$BF:$BF)</f>
        <v>1.1071</v>
      </c>
    </row>
    <row r="377" spans="1:11" x14ac:dyDescent="0.25">
      <c r="A377">
        <v>1952396509</v>
      </c>
      <c r="B377" s="49">
        <v>0.65638069402057198</v>
      </c>
      <c r="C377" s="81">
        <v>32870</v>
      </c>
      <c r="D377" s="81">
        <v>32870</v>
      </c>
      <c r="E377" s="37">
        <v>28713</v>
      </c>
      <c r="F377" s="37">
        <v>120</v>
      </c>
      <c r="G377" s="77">
        <v>33.5</v>
      </c>
      <c r="H377" s="81">
        <v>33782</v>
      </c>
      <c r="I377" s="77">
        <v>281.51666666666665</v>
      </c>
      <c r="J377" s="168">
        <v>13.68</v>
      </c>
      <c r="K377" s="170">
        <f>_xlfn.XLOOKUP(A377,'[2]Rate Calculation'!$T:$T,'[2]Rate Calculation'!$BF:$BF)</f>
        <v>1.1802999999999999</v>
      </c>
    </row>
    <row r="378" spans="1:11" x14ac:dyDescent="0.25">
      <c r="A378">
        <v>1952446510</v>
      </c>
      <c r="B378" s="49">
        <v>0.66495057660626022</v>
      </c>
      <c r="C378" s="81">
        <v>38517</v>
      </c>
      <c r="D378" s="81">
        <v>38517</v>
      </c>
      <c r="E378" s="37">
        <v>28451</v>
      </c>
      <c r="F378" s="37">
        <v>175</v>
      </c>
      <c r="G378" s="77">
        <v>23</v>
      </c>
      <c r="H378" s="81">
        <v>0</v>
      </c>
      <c r="I378" s="77">
        <v>0</v>
      </c>
      <c r="J378" s="168">
        <v>13.68</v>
      </c>
      <c r="K378" s="170">
        <f>_xlfn.XLOOKUP(A378,'[2]Rate Calculation'!$T:$T,'[2]Rate Calculation'!$BF:$BF)</f>
        <v>1.0045999999999999</v>
      </c>
    </row>
    <row r="379" spans="1:11" x14ac:dyDescent="0.25">
      <c r="A379">
        <v>1952486771</v>
      </c>
      <c r="B379" s="49">
        <v>0.63870246085011184</v>
      </c>
      <c r="C379" s="81">
        <v>35567</v>
      </c>
      <c r="D379" s="81">
        <v>35567</v>
      </c>
      <c r="E379" s="37">
        <v>28906</v>
      </c>
      <c r="F379" s="37">
        <v>134</v>
      </c>
      <c r="G379" s="77">
        <v>2</v>
      </c>
      <c r="H379" s="81">
        <v>74094.999999999985</v>
      </c>
      <c r="I379" s="77">
        <v>552.94776119402979</v>
      </c>
      <c r="J379" s="168">
        <v>13.68</v>
      </c>
      <c r="K379" s="170">
        <f>_xlfn.XLOOKUP(A379,'[2]Rate Calculation'!$T:$T,'[2]Rate Calculation'!$BF:$BF)</f>
        <v>1.3134999999999999</v>
      </c>
    </row>
    <row r="380" spans="1:11" x14ac:dyDescent="0.25">
      <c r="A380">
        <v>1952766271</v>
      </c>
      <c r="B380" s="49">
        <v>0.67435684647302907</v>
      </c>
      <c r="C380" s="81">
        <v>50751</v>
      </c>
      <c r="D380" s="81">
        <v>50751</v>
      </c>
      <c r="E380" s="37">
        <v>27909</v>
      </c>
      <c r="F380" s="37">
        <v>146</v>
      </c>
      <c r="G380" s="77">
        <v>9.4600000000000364</v>
      </c>
      <c r="H380" s="81">
        <v>65264.576470588232</v>
      </c>
      <c r="I380" s="77">
        <v>447.01764705882351</v>
      </c>
      <c r="J380" s="168">
        <v>7.18</v>
      </c>
      <c r="K380" s="170">
        <f>_xlfn.XLOOKUP(A380,'[2]Rate Calculation'!$T:$T,'[2]Rate Calculation'!$BF:$BF)</f>
        <v>1.3395999999999999</v>
      </c>
    </row>
    <row r="381" spans="1:11" x14ac:dyDescent="0.25">
      <c r="A381">
        <v>1962052498</v>
      </c>
      <c r="B381" s="49">
        <v>0.61241923905240481</v>
      </c>
      <c r="C381" s="81">
        <v>28124</v>
      </c>
      <c r="D381" s="81">
        <v>28124</v>
      </c>
      <c r="E381" s="37">
        <v>28211</v>
      </c>
      <c r="F381" s="37">
        <v>100</v>
      </c>
      <c r="G381" s="77">
        <v>33.5</v>
      </c>
      <c r="H381" s="81">
        <v>34999</v>
      </c>
      <c r="I381" s="77">
        <v>349.99</v>
      </c>
      <c r="J381" s="168">
        <v>13.68</v>
      </c>
      <c r="K381" s="170">
        <f>_xlfn.XLOOKUP(A381,'[2]Rate Calculation'!$T:$T,'[2]Rate Calculation'!$BF:$BF)</f>
        <v>0.94720000000000004</v>
      </c>
    </row>
    <row r="382" spans="1:11" x14ac:dyDescent="0.25">
      <c r="A382">
        <v>1962066480</v>
      </c>
      <c r="B382" s="49">
        <v>0.73197406452620895</v>
      </c>
      <c r="C382" s="81">
        <v>18873</v>
      </c>
      <c r="D382" s="81">
        <v>37438.288043478264</v>
      </c>
      <c r="E382" s="37">
        <v>28655</v>
      </c>
      <c r="F382" s="37">
        <v>120</v>
      </c>
      <c r="G382" s="77">
        <v>33.5</v>
      </c>
      <c r="H382" s="81">
        <v>34000</v>
      </c>
      <c r="I382" s="77">
        <v>283.33333333333331</v>
      </c>
      <c r="J382" s="168">
        <v>13.68</v>
      </c>
      <c r="K382" s="170">
        <f>_xlfn.XLOOKUP(A382,'[2]Rate Calculation'!$T:$T,'[2]Rate Calculation'!$BF:$BF)</f>
        <v>1.448</v>
      </c>
    </row>
    <row r="383" spans="1:11" x14ac:dyDescent="0.25">
      <c r="A383">
        <v>1962447565</v>
      </c>
      <c r="B383" s="49">
        <v>0.58305777086170008</v>
      </c>
      <c r="C383" s="81">
        <v>53383</v>
      </c>
      <c r="D383" s="81">
        <v>53383</v>
      </c>
      <c r="E383" s="37">
        <v>28540</v>
      </c>
      <c r="F383" s="37">
        <v>239</v>
      </c>
      <c r="G383" s="77">
        <v>27.3900000000001</v>
      </c>
      <c r="H383" s="81">
        <v>72465.366387687915</v>
      </c>
      <c r="I383" s="77">
        <v>303.202369822962</v>
      </c>
      <c r="J383" s="168">
        <v>7.18</v>
      </c>
      <c r="K383" s="170">
        <f>_xlfn.XLOOKUP(A383,'[2]Rate Calculation'!$T:$T,'[2]Rate Calculation'!$BF:$BF)</f>
        <v>1.1277999999999999</v>
      </c>
    </row>
    <row r="384" spans="1:11" x14ac:dyDescent="0.25">
      <c r="A384">
        <v>1962505313</v>
      </c>
      <c r="B384" s="49">
        <v>0.64005835764902042</v>
      </c>
      <c r="C384" s="81">
        <v>45565</v>
      </c>
      <c r="D384" s="81">
        <v>45565</v>
      </c>
      <c r="E384" s="37">
        <v>28640</v>
      </c>
      <c r="F384" s="37">
        <v>210</v>
      </c>
      <c r="G384" s="77">
        <v>20.650000000000091</v>
      </c>
      <c r="H384" s="81">
        <v>86795</v>
      </c>
      <c r="I384" s="77">
        <v>413.3095238095238</v>
      </c>
      <c r="J384" s="168">
        <v>13.68</v>
      </c>
      <c r="K384" s="170">
        <f>_xlfn.XLOOKUP(A384,'[2]Rate Calculation'!$T:$T,'[2]Rate Calculation'!$BF:$BF)</f>
        <v>1.2905</v>
      </c>
    </row>
    <row r="385" spans="1:11" x14ac:dyDescent="0.25">
      <c r="A385">
        <v>1962509505</v>
      </c>
      <c r="B385" s="49">
        <v>0.62327158883381162</v>
      </c>
      <c r="C385" s="81">
        <v>34851</v>
      </c>
      <c r="D385" s="81">
        <v>34851</v>
      </c>
      <c r="E385" s="37">
        <v>27292</v>
      </c>
      <c r="F385" s="37">
        <v>100</v>
      </c>
      <c r="G385" s="77">
        <v>15.309999999999945</v>
      </c>
      <c r="H385" s="81">
        <v>55000</v>
      </c>
      <c r="I385" s="77">
        <v>550</v>
      </c>
      <c r="J385" s="168">
        <v>13.68</v>
      </c>
      <c r="K385" s="170">
        <f>_xlfn.XLOOKUP(A385,'[2]Rate Calculation'!$T:$T,'[2]Rate Calculation'!$BF:$BF)</f>
        <v>1.2968</v>
      </c>
    </row>
    <row r="386" spans="1:11" x14ac:dyDescent="0.25">
      <c r="A386">
        <v>1962832899</v>
      </c>
      <c r="B386" s="49">
        <v>0.65</v>
      </c>
      <c r="C386" s="81">
        <v>33863</v>
      </c>
      <c r="D386" s="81">
        <v>33863</v>
      </c>
      <c r="E386" s="37">
        <v>28277</v>
      </c>
      <c r="F386" s="37">
        <v>120</v>
      </c>
      <c r="G386" s="77">
        <v>8.7000000000000455</v>
      </c>
      <c r="H386" s="81">
        <v>79370</v>
      </c>
      <c r="I386" s="77">
        <v>661.41666666666663</v>
      </c>
      <c r="J386" s="168">
        <v>13.68</v>
      </c>
      <c r="K386" s="170">
        <f>_xlfn.XLOOKUP(A386,'[2]Rate Calculation'!$T:$T,'[2]Rate Calculation'!$BF:$BF)</f>
        <v>1.1721999999999999</v>
      </c>
    </row>
    <row r="387" spans="1:11" x14ac:dyDescent="0.25">
      <c r="A387">
        <v>1972050276</v>
      </c>
      <c r="B387" s="49">
        <v>0.64708408485785451</v>
      </c>
      <c r="C387" s="81">
        <v>36782</v>
      </c>
      <c r="D387" s="81">
        <v>36782</v>
      </c>
      <c r="E387" s="37">
        <v>27589</v>
      </c>
      <c r="F387" s="37">
        <v>140</v>
      </c>
      <c r="G387" s="77">
        <v>33.5</v>
      </c>
      <c r="H387" s="81">
        <v>43225.396032540673</v>
      </c>
      <c r="I387" s="77">
        <v>308.75282880386197</v>
      </c>
      <c r="J387" s="168">
        <v>13.68</v>
      </c>
      <c r="K387" s="170">
        <f>_xlfn.XLOOKUP(A387,'[2]Rate Calculation'!$T:$T,'[2]Rate Calculation'!$BF:$BF)</f>
        <v>1.1893</v>
      </c>
    </row>
    <row r="388" spans="1:11" x14ac:dyDescent="0.25">
      <c r="A388">
        <v>1972071033</v>
      </c>
      <c r="B388" s="49">
        <v>0.66485654810390082</v>
      </c>
      <c r="C388" s="81">
        <v>30370</v>
      </c>
      <c r="D388" s="81">
        <v>33188.77245508982</v>
      </c>
      <c r="E388" s="37">
        <v>28677</v>
      </c>
      <c r="F388" s="37">
        <v>147</v>
      </c>
      <c r="G388" s="77">
        <v>25.779999999999973</v>
      </c>
      <c r="H388" s="81">
        <v>36461</v>
      </c>
      <c r="I388" s="77">
        <v>248.03401360544217</v>
      </c>
      <c r="J388" s="168">
        <v>13.68</v>
      </c>
      <c r="K388" s="170">
        <f>_xlfn.XLOOKUP(A388,'[2]Rate Calculation'!$T:$T,'[2]Rate Calculation'!$BF:$BF)</f>
        <v>1.1302000000000001</v>
      </c>
    </row>
    <row r="389" spans="1:11" x14ac:dyDescent="0.25">
      <c r="A389">
        <v>1972547321</v>
      </c>
      <c r="B389" s="49">
        <v>0.61660013306719885</v>
      </c>
      <c r="C389" s="81">
        <v>31993</v>
      </c>
      <c r="D389" s="81">
        <v>31993</v>
      </c>
      <c r="E389" s="37">
        <v>27536</v>
      </c>
      <c r="F389" s="37">
        <v>92</v>
      </c>
      <c r="G389" s="77">
        <v>19.339999999999918</v>
      </c>
      <c r="H389" s="81">
        <v>31684.573336672511</v>
      </c>
      <c r="I389" s="77">
        <v>344.39753626817946</v>
      </c>
      <c r="J389" s="168">
        <v>13.68</v>
      </c>
      <c r="K389" s="170">
        <f>_xlfn.XLOOKUP(A389,'[2]Rate Calculation'!$T:$T,'[2]Rate Calculation'!$BF:$BF)</f>
        <v>1.3849</v>
      </c>
    </row>
    <row r="390" spans="1:11" x14ac:dyDescent="0.25">
      <c r="A390">
        <v>1972587376</v>
      </c>
      <c r="B390" s="49">
        <v>0.6748282913018403</v>
      </c>
      <c r="C390" s="81">
        <v>33776</v>
      </c>
      <c r="D390" s="81">
        <v>33776</v>
      </c>
      <c r="E390" s="37">
        <v>27705</v>
      </c>
      <c r="F390" s="37">
        <v>110</v>
      </c>
      <c r="G390" s="77">
        <v>1</v>
      </c>
      <c r="H390" s="81">
        <v>0</v>
      </c>
      <c r="I390" s="77">
        <v>0</v>
      </c>
      <c r="J390" s="168">
        <v>0</v>
      </c>
      <c r="K390" s="170">
        <f>_xlfn.XLOOKUP(A390,'[2]Rate Calculation'!$T:$T,'[2]Rate Calculation'!$BF:$BF)</f>
        <v>1.0823</v>
      </c>
    </row>
    <row r="391" spans="1:11" x14ac:dyDescent="0.25">
      <c r="A391">
        <v>1982130811</v>
      </c>
      <c r="B391" s="49">
        <v>0.65</v>
      </c>
      <c r="C391" s="81">
        <v>45661</v>
      </c>
      <c r="D391" s="81">
        <v>45661</v>
      </c>
      <c r="E391" s="37">
        <v>27301</v>
      </c>
      <c r="F391" s="37">
        <v>134</v>
      </c>
      <c r="G391" s="77">
        <v>13</v>
      </c>
      <c r="H391" s="81">
        <v>66888</v>
      </c>
      <c r="I391" s="77">
        <v>499.16417910447763</v>
      </c>
      <c r="J391" s="168">
        <v>13.68</v>
      </c>
      <c r="K391" s="170">
        <f>_xlfn.XLOOKUP(A391,'[2]Rate Calculation'!$T:$T,'[2]Rate Calculation'!$BF:$BF)</f>
        <v>1.2998000000000001</v>
      </c>
    </row>
    <row r="392" spans="1:11" x14ac:dyDescent="0.25">
      <c r="A392">
        <v>1982640785</v>
      </c>
      <c r="B392" s="49">
        <v>0.60640268101243489</v>
      </c>
      <c r="C392" s="81">
        <v>43338</v>
      </c>
      <c r="D392" s="81">
        <v>43338</v>
      </c>
      <c r="E392" s="37">
        <v>27630</v>
      </c>
      <c r="F392" s="37">
        <v>140</v>
      </c>
      <c r="G392" s="77">
        <v>32.779999999999973</v>
      </c>
      <c r="H392" s="81">
        <v>36975.454545454551</v>
      </c>
      <c r="I392" s="77">
        <v>264.11038961038963</v>
      </c>
      <c r="J392" s="168">
        <v>13.68</v>
      </c>
      <c r="K392" s="170">
        <f>_xlfn.XLOOKUP(A392,'[2]Rate Calculation'!$T:$T,'[2]Rate Calculation'!$BF:$BF)</f>
        <v>1.1312</v>
      </c>
    </row>
    <row r="393" spans="1:11" x14ac:dyDescent="0.25">
      <c r="A393">
        <v>1982948550</v>
      </c>
      <c r="B393" s="49">
        <v>0.69409817981246547</v>
      </c>
      <c r="C393" s="81">
        <v>17231</v>
      </c>
      <c r="D393" s="81">
        <v>17231</v>
      </c>
      <c r="E393" s="37">
        <v>28711</v>
      </c>
      <c r="F393" s="37">
        <v>60</v>
      </c>
      <c r="G393" s="77">
        <v>33.5</v>
      </c>
      <c r="H393" s="81">
        <v>24074.334455928463</v>
      </c>
      <c r="I393" s="77">
        <v>401.23890759880771</v>
      </c>
      <c r="J393" s="168">
        <v>0</v>
      </c>
      <c r="K393" s="170">
        <f>_xlfn.XLOOKUP(A393,'[2]Rate Calculation'!$T:$T,'[2]Rate Calculation'!$BF:$BF)</f>
        <v>0.91990000000000005</v>
      </c>
    </row>
    <row r="394" spans="1:11" x14ac:dyDescent="0.25">
      <c r="A394">
        <v>1992106348</v>
      </c>
      <c r="B394" s="49">
        <v>0.65</v>
      </c>
      <c r="C394" s="81">
        <v>30681</v>
      </c>
      <c r="D394" s="81">
        <v>30681</v>
      </c>
      <c r="E394" s="37">
        <v>28110</v>
      </c>
      <c r="F394" s="37">
        <v>90</v>
      </c>
      <c r="G394" s="77">
        <v>5.2999999999999545</v>
      </c>
      <c r="H394" s="81">
        <v>61600</v>
      </c>
      <c r="I394" s="77">
        <v>684.44444444444446</v>
      </c>
      <c r="J394" s="168">
        <v>13.68</v>
      </c>
      <c r="K394" s="170">
        <f>_xlfn.XLOOKUP(A394,'[2]Rate Calculation'!$T:$T,'[2]Rate Calculation'!$BF:$BF)</f>
        <v>1.2117</v>
      </c>
    </row>
    <row r="395" spans="1:11" x14ac:dyDescent="0.25">
      <c r="A395">
        <v>1992242119</v>
      </c>
      <c r="B395" s="49">
        <v>0.61315637622619734</v>
      </c>
      <c r="C395" s="81">
        <v>48225</v>
      </c>
      <c r="D395" s="81">
        <v>48225</v>
      </c>
      <c r="E395" s="37">
        <v>27910</v>
      </c>
      <c r="F395" s="37">
        <v>151</v>
      </c>
      <c r="G395" s="77">
        <v>21.789999999999964</v>
      </c>
      <c r="H395" s="81">
        <v>43436</v>
      </c>
      <c r="I395" s="77">
        <v>287.65562913907286</v>
      </c>
      <c r="J395" s="168">
        <v>7.18</v>
      </c>
      <c r="K395" s="170">
        <f>_xlfn.XLOOKUP(A395,'[2]Rate Calculation'!$T:$T,'[2]Rate Calculation'!$BF:$BF)</f>
        <v>1.1436999999999999</v>
      </c>
    </row>
    <row r="396" spans="1:11" x14ac:dyDescent="0.25">
      <c r="A396">
        <v>1992724157</v>
      </c>
      <c r="B396" s="49">
        <v>0.6687388987566607</v>
      </c>
      <c r="C396" s="81">
        <v>29221</v>
      </c>
      <c r="D396" s="81">
        <v>29221</v>
      </c>
      <c r="E396" s="37">
        <v>28301</v>
      </c>
      <c r="F396" s="37">
        <v>85</v>
      </c>
      <c r="G396" s="77">
        <v>26.869999999999891</v>
      </c>
      <c r="H396" s="81">
        <v>22680</v>
      </c>
      <c r="I396" s="77">
        <v>266.8235294117647</v>
      </c>
      <c r="J396" s="168">
        <v>13.68</v>
      </c>
      <c r="K396" s="170">
        <f>_xlfn.XLOOKUP(A396,'[2]Rate Calculation'!$T:$T,'[2]Rate Calculation'!$BF:$BF)</f>
        <v>1.1419999999999999</v>
      </c>
    </row>
    <row r="397" spans="1:11" x14ac:dyDescent="0.25">
      <c r="A397">
        <v>1992793962</v>
      </c>
      <c r="B397" s="49">
        <v>0.6206303724928367</v>
      </c>
      <c r="C397" s="81">
        <v>37820</v>
      </c>
      <c r="D397" s="81">
        <v>37820</v>
      </c>
      <c r="E397" s="37">
        <v>28443</v>
      </c>
      <c r="F397" s="37">
        <v>112</v>
      </c>
      <c r="G397" s="77">
        <v>17.210000000000036</v>
      </c>
      <c r="H397" s="81">
        <v>54741.65635609204</v>
      </c>
      <c r="I397" s="77">
        <v>488.76478889367894</v>
      </c>
      <c r="J397" s="168">
        <v>13.68</v>
      </c>
      <c r="K397" s="170">
        <f>_xlfn.XLOOKUP(A397,'[2]Rate Calculation'!$T:$T,'[2]Rate Calculation'!$BF:$BF)</f>
        <v>1.3656999999999999</v>
      </c>
    </row>
    <row r="398" spans="1:11" x14ac:dyDescent="0.25">
      <c r="A398">
        <v>1992825848</v>
      </c>
      <c r="B398" s="49">
        <v>0.70793452008229718</v>
      </c>
      <c r="C398" s="81">
        <v>31961</v>
      </c>
      <c r="D398" s="81">
        <v>31961</v>
      </c>
      <c r="E398" s="37">
        <v>28677</v>
      </c>
      <c r="F398" s="37">
        <v>94</v>
      </c>
      <c r="G398" s="77">
        <v>22.119999999999891</v>
      </c>
      <c r="H398" s="81">
        <v>32776.426097271651</v>
      </c>
      <c r="I398" s="77">
        <v>348.68538401352822</v>
      </c>
      <c r="J398" s="168">
        <v>13.68</v>
      </c>
      <c r="K398" s="170">
        <f>_xlfn.XLOOKUP(A398,'[2]Rate Calculation'!$T:$T,'[2]Rate Calculation'!$BF:$BF)</f>
        <v>1.2625</v>
      </c>
    </row>
    <row r="399" spans="1:11" x14ac:dyDescent="0.25">
      <c r="A399">
        <v>1992998504</v>
      </c>
      <c r="B399" s="49">
        <v>0.65</v>
      </c>
      <c r="C399" s="81">
        <v>42401</v>
      </c>
      <c r="D399" s="81">
        <v>42401</v>
      </c>
      <c r="E399" s="37">
        <v>28215</v>
      </c>
      <c r="F399" s="37">
        <v>120</v>
      </c>
      <c r="G399" s="77">
        <v>5</v>
      </c>
      <c r="H399" s="81">
        <v>0</v>
      </c>
      <c r="I399" s="77">
        <v>0</v>
      </c>
      <c r="J399" s="168">
        <v>0</v>
      </c>
      <c r="K399" s="170">
        <f>_xlfn.XLOOKUP(A399,'[2]Rate Calculation'!$T:$T,'[2]Rate Calculation'!$BF:$BF)</f>
        <v>0.95250000000000001</v>
      </c>
    </row>
  </sheetData>
  <autoFilter ref="A1:D1" xr:uid="{EA842702-DDA3-4949-8C35-37848DAE03EC}"/>
  <sortState xmlns:xlrd2="http://schemas.microsoft.com/office/spreadsheetml/2017/richdata2" ref="A2:I414">
    <sortCondition ref="A2:A414"/>
  </sortState>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Read Me</vt:lpstr>
      <vt:lpstr>Rate Calculation</vt:lpstr>
      <vt:lpstr>New Facilities</vt:lpstr>
      <vt:lpstr>FRV Instructions</vt:lpstr>
      <vt:lpstr>FRV Rate Calculation</vt:lpstr>
      <vt:lpstr>Capital Data Survey Info</vt:lpstr>
      <vt:lpstr>2017 and newer renovations</vt:lpstr>
      <vt:lpstr>RSMeans Factors</vt:lpstr>
      <vt:lpstr>Lookup Info</vt:lpstr>
      <vt:lpstr>July 2022 Fee Schedule</vt:lpstr>
      <vt:lpstr>'FRV Rate Calculation'!Print_Area</vt:lpstr>
      <vt:lpstr>'Rate Calculation'!Print_Area</vt:lpstr>
    </vt:vector>
  </TitlesOfParts>
  <Company>UNC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Brookshire</dc:creator>
  <cp:lastModifiedBy>Sam Clark</cp:lastModifiedBy>
  <cp:lastPrinted>2008-01-10T15:29:20Z</cp:lastPrinted>
  <dcterms:created xsi:type="dcterms:W3CDTF">2005-12-22T15:27:23Z</dcterms:created>
  <dcterms:modified xsi:type="dcterms:W3CDTF">2022-09-06T13:00:16Z</dcterms:modified>
</cp:coreProperties>
</file>